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ylai\Downloads\"/>
    </mc:Choice>
  </mc:AlternateContent>
  <xr:revisionPtr revIDLastSave="0" documentId="13_ncr:1_{7CDE2580-EB2A-4E87-9C8B-E47AF1DBA8BD}" xr6:coauthVersionLast="47" xr6:coauthVersionMax="47" xr10:uidLastSave="{00000000-0000-0000-0000-000000000000}"/>
  <bookViews>
    <workbookView xWindow="-110" yWindow="-110" windowWidth="19420" windowHeight="10300" xr2:uid="{00000000-000D-0000-FFFF-FFFF00000000}"/>
  </bookViews>
  <sheets>
    <sheet name="PI" sheetId="1" r:id="rId1"/>
    <sheet name="PWRP" sheetId="2" r:id="rId2"/>
    <sheet name="Dana Eks + PKS" sheetId="3" r:id="rId3"/>
    <sheet name="SDM IPTEK" sheetId="4" r:id="rId4"/>
    <sheet name="POSTDOCVR" sheetId="5" r:id="rId5"/>
    <sheet name="KI" sheetId="6" r:id="rId6"/>
    <sheet name="PN" sheetId="7" r:id="rId7"/>
    <sheet name="Rekap Capaian Individu" sheetId="8" r:id="rId8"/>
    <sheet name="SITASI" sheetId="9" r:id="rId9"/>
    <sheet name="Rekap Capaian PR" sheetId="10" r:id="rId10"/>
    <sheet name="Rekap Capaian KR" sheetId="11" r:id="rId11"/>
    <sheet name="Dashboard" sheetId="12" r:id="rId12"/>
    <sheet name="Data Dashboard" sheetId="13" r:id="rId13"/>
    <sheet name="Master" sheetId="14" r:id="rId14"/>
    <sheet name="Dashboard Lama" sheetId="15" r:id="rId15"/>
  </sheets>
  <externalReferences>
    <externalReference r:id="rId16"/>
  </externalReferences>
  <definedNames>
    <definedName name="_xlnm._FilterDatabase" localSheetId="2" hidden="1">'Dana Eks + PKS'!$B$4:$AD$84</definedName>
    <definedName name="_xlnm._FilterDatabase" localSheetId="5" hidden="1">KI!$B$3:$W$82</definedName>
    <definedName name="_xlnm._FilterDatabase" localSheetId="0" hidden="1">PI!$B$5:$V$231</definedName>
    <definedName name="_xlnm._FilterDatabase" localSheetId="6" hidden="1">PN!$B$5:$U$199</definedName>
    <definedName name="_xlnm._FilterDatabase" localSheetId="4" hidden="1">POSTDOCVR!$A$5:$Q$31</definedName>
    <definedName name="_xlnm._FilterDatabase" localSheetId="1" hidden="1">PWRP!$B$5:$U$54</definedName>
    <definedName name="_xlnm._FilterDatabase" localSheetId="7" hidden="1">'Rekap Capaian Individu'!$B$5:$D$119</definedName>
    <definedName name="_xlnm._FilterDatabase" localSheetId="10" hidden="1">'Rekap Capaian KR'!$D$7:$D$145</definedName>
    <definedName name="_xlnm._FilterDatabase" localSheetId="9" hidden="1">'Rekap Capaian PR'!$C$2:$C$299</definedName>
    <definedName name="_xlnm._FilterDatabase" localSheetId="3" hidden="1">'SDM IPTEK'!$A$5:$J$61</definedName>
    <definedName name="de">'Dana Eks + PKS'!$E$5:$E$71</definedName>
    <definedName name="duplikasi">PI!$E$6:$E$231</definedName>
    <definedName name="index">Master!$F$10:$F$11</definedName>
    <definedName name="jdn">Master!$G$34:$G$35</definedName>
    <definedName name="jnjg">Master!$C$50:$C$53</definedName>
    <definedName name="jnski">Master!$A$10:$A$14</definedName>
    <definedName name="jnsolehan">Master!$C$34:$C$36</definedName>
    <definedName name="jnspi">Master!$A$17:$A$20</definedName>
    <definedName name="jnspwrp">Master!$C$25:$C$29</definedName>
    <definedName name="kelris">Master!$A$61:$A$68</definedName>
    <definedName name="ki">#REF!</definedName>
    <definedName name="mtr">Master!$J$25:$J$26</definedName>
    <definedName name="nmperiset">'Rekap Capaian Individu'!$C$6:$C$119</definedName>
    <definedName name="outputdana">Master!$A$45:$A$47</definedName>
    <definedName name="periodestamp">Master!$A$70:$A$81</definedName>
    <definedName name="psv">Master!$E$50:$E$51</definedName>
    <definedName name="publikasi" localSheetId="6">PN!$E$6:$E$199</definedName>
    <definedName name="publikasi" localSheetId="1">PWRP!$E$6:$E$53</definedName>
    <definedName name="publikasi">PI!$E$6:$E$231</definedName>
    <definedName name="reppi">Master!$C$17:$C$20</definedName>
    <definedName name="reppn">Master!$F$17:$F$18</definedName>
    <definedName name="satuan">Master!$L$50:$L$52</definedName>
    <definedName name="smbrdana">Master!$A$34:$A$41</definedName>
    <definedName name="statki">Master!$A$2:$A$5</definedName>
    <definedName name="statpi">Master!$A$25:$A$30</definedName>
    <definedName name="statuskelris">Master!$C$70:$C$71</definedName>
    <definedName name="stspwrp">Master!$G$25:$G$31</definedName>
    <definedName name="stssdm">Master!$A$50:$A$55</definedName>
    <definedName name="stsupload">Master!$C$10:$C$11</definedName>
    <definedName name="vol">Master!$I$50:$I$52</definedName>
    <definedName name="Z_FCAF690B_A1CB_4C23_90B1_52725D85E739_.wvu.FilterData" localSheetId="2" hidden="1">'Dana Eks + PKS'!$AH$16:$AH$27</definedName>
    <definedName name="Z_FCAF690B_A1CB_4C23_90B1_52725D85E739_.wvu.FilterData" localSheetId="0" hidden="1">PI!$C$5:$C$96</definedName>
    <definedName name="Z_FCAF690B_A1CB_4C23_90B1_52725D85E739_.wvu.FilterData" localSheetId="6" hidden="1">PN!$C$5:$C$91</definedName>
    <definedName name="Z_FCAF690B_A1CB_4C23_90B1_52725D85E739_.wvu.FilterData" localSheetId="1" hidden="1">PWRP!$C$5:$C$53</definedName>
  </definedNames>
  <calcPr calcId="191029"/>
  <customWorkbookViews>
    <customWorkbookView name="Filter 1" guid="{FCAF690B-A1CB-4C23-90B1-52725D85E73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2" i="15" l="1"/>
  <c r="B72" i="13"/>
  <c r="B71" i="13"/>
  <c r="B70" i="13"/>
  <c r="B69" i="13"/>
  <c r="B65" i="13"/>
  <c r="B64" i="13"/>
  <c r="B63" i="13"/>
  <c r="B62" i="13"/>
  <c r="B61" i="13"/>
  <c r="B60" i="13"/>
  <c r="B59" i="13"/>
  <c r="B58" i="13"/>
  <c r="B57" i="13"/>
  <c r="C47" i="13"/>
  <c r="B47" i="13"/>
  <c r="C46" i="13"/>
  <c r="B46" i="13"/>
  <c r="C45" i="13"/>
  <c r="B45" i="13"/>
  <c r="B40" i="13"/>
  <c r="C40" i="13" s="1"/>
  <c r="B39" i="13"/>
  <c r="C39" i="13" s="1"/>
  <c r="B38" i="13"/>
  <c r="C38" i="13" s="1"/>
  <c r="C34" i="13"/>
  <c r="B34" i="13"/>
  <c r="A34" i="13"/>
  <c r="C33" i="13"/>
  <c r="B33" i="13"/>
  <c r="A33" i="13"/>
  <c r="C32" i="13"/>
  <c r="B32" i="13"/>
  <c r="A32" i="13"/>
  <c r="C31" i="13"/>
  <c r="B31" i="13"/>
  <c r="A31" i="13"/>
  <c r="G15" i="13"/>
  <c r="G14" i="13"/>
  <c r="B14" i="13"/>
  <c r="B15" i="13" s="1"/>
  <c r="G13" i="13"/>
  <c r="B12" i="13"/>
  <c r="B11" i="13"/>
  <c r="B10" i="13"/>
  <c r="B9" i="13"/>
  <c r="D8" i="13"/>
  <c r="J8" i="13" s="1"/>
  <c r="B7" i="13"/>
  <c r="B6" i="13"/>
  <c r="B5" i="13"/>
  <c r="B4" i="13"/>
  <c r="G1" i="13"/>
  <c r="Q32" i="12"/>
  <c r="H124" i="11"/>
  <c r="G124" i="11"/>
  <c r="H121" i="11"/>
  <c r="G121" i="11"/>
  <c r="H119" i="11"/>
  <c r="G119" i="11"/>
  <c r="H117" i="11"/>
  <c r="G117" i="11"/>
  <c r="H115" i="11"/>
  <c r="G115" i="11"/>
  <c r="H113" i="11"/>
  <c r="G113" i="11"/>
  <c r="H110" i="11"/>
  <c r="G110" i="11"/>
  <c r="H107" i="11"/>
  <c r="G107" i="11"/>
  <c r="H104" i="11"/>
  <c r="G104" i="11"/>
  <c r="H100" i="11"/>
  <c r="G100" i="11"/>
  <c r="H97" i="11"/>
  <c r="G97" i="11"/>
  <c r="H95" i="11"/>
  <c r="G95" i="11"/>
  <c r="H93" i="11"/>
  <c r="G93" i="11"/>
  <c r="H91" i="11"/>
  <c r="G91" i="11"/>
  <c r="H89" i="11"/>
  <c r="G89" i="11"/>
  <c r="H86" i="11"/>
  <c r="G86" i="11"/>
  <c r="H83" i="11"/>
  <c r="G83" i="11"/>
  <c r="H80" i="11"/>
  <c r="G80" i="11"/>
  <c r="H76" i="11"/>
  <c r="G76" i="11"/>
  <c r="H73" i="11"/>
  <c r="G73" i="11"/>
  <c r="H71" i="11"/>
  <c r="G71" i="11"/>
  <c r="H69" i="11"/>
  <c r="G69" i="11"/>
  <c r="H67" i="11"/>
  <c r="G67" i="11"/>
  <c r="H65" i="11"/>
  <c r="G65" i="11"/>
  <c r="H62" i="11"/>
  <c r="G62" i="11"/>
  <c r="H59" i="11"/>
  <c r="G59" i="11"/>
  <c r="H56" i="11"/>
  <c r="G56" i="11"/>
  <c r="H52" i="11"/>
  <c r="G52" i="11"/>
  <c r="H49" i="11"/>
  <c r="G49" i="11"/>
  <c r="H47" i="11"/>
  <c r="G47" i="11"/>
  <c r="H45" i="11"/>
  <c r="G45" i="11"/>
  <c r="H43" i="11"/>
  <c r="G43" i="11"/>
  <c r="G41" i="11"/>
  <c r="H38" i="11"/>
  <c r="G38" i="11"/>
  <c r="H35" i="11"/>
  <c r="G35" i="11"/>
  <c r="H32" i="11"/>
  <c r="G32" i="11"/>
  <c r="H28" i="11"/>
  <c r="G28" i="11"/>
  <c r="H25" i="11"/>
  <c r="G25" i="11"/>
  <c r="H23" i="11"/>
  <c r="G23" i="11"/>
  <c r="H21" i="11"/>
  <c r="G21" i="11"/>
  <c r="H19" i="11"/>
  <c r="G19" i="11"/>
  <c r="G17" i="11"/>
  <c r="H14" i="11"/>
  <c r="G14" i="11"/>
  <c r="H11" i="11"/>
  <c r="G11" i="11"/>
  <c r="H8" i="11"/>
  <c r="G8" i="11"/>
  <c r="J7" i="11"/>
  <c r="H7" i="11"/>
  <c r="G7" i="11"/>
  <c r="H298" i="10"/>
  <c r="H296" i="10"/>
  <c r="I293" i="10"/>
  <c r="H293" i="10"/>
  <c r="C11" i="13" s="1"/>
  <c r="D11" i="13" s="1"/>
  <c r="J11" i="13" s="1"/>
  <c r="I290" i="10"/>
  <c r="H290" i="10"/>
  <c r="I288" i="10"/>
  <c r="H288" i="10"/>
  <c r="C7" i="13" s="1"/>
  <c r="I286" i="10"/>
  <c r="H286" i="10"/>
  <c r="C10" i="13" s="1"/>
  <c r="D10" i="13" s="1"/>
  <c r="I284" i="10"/>
  <c r="H284" i="10"/>
  <c r="C9" i="13" s="1"/>
  <c r="I282" i="10"/>
  <c r="H282" i="10"/>
  <c r="C12" i="13" s="1"/>
  <c r="I279" i="10"/>
  <c r="H279" i="10"/>
  <c r="C4" i="13" s="1"/>
  <c r="I276" i="10"/>
  <c r="H276" i="10"/>
  <c r="C6" i="13" s="1"/>
  <c r="M273" i="10"/>
  <c r="C14" i="13" s="1"/>
  <c r="L273" i="10"/>
  <c r="I273" i="10"/>
  <c r="H273" i="10"/>
  <c r="C5" i="13" s="1"/>
  <c r="H271" i="10"/>
  <c r="H269" i="10"/>
  <c r="I266" i="10"/>
  <c r="H266" i="10"/>
  <c r="I263" i="10"/>
  <c r="H263" i="10"/>
  <c r="I261" i="10"/>
  <c r="H261" i="10"/>
  <c r="I259" i="10"/>
  <c r="H259" i="10"/>
  <c r="I257" i="10"/>
  <c r="H257" i="10"/>
  <c r="I255" i="10"/>
  <c r="H255" i="10"/>
  <c r="I252" i="10"/>
  <c r="H252" i="10"/>
  <c r="I249" i="10"/>
  <c r="H249" i="10"/>
  <c r="M246" i="10"/>
  <c r="L246" i="10"/>
  <c r="I246" i="10"/>
  <c r="H246" i="10"/>
  <c r="H244" i="10"/>
  <c r="H242" i="10"/>
  <c r="I239" i="10"/>
  <c r="H239" i="10"/>
  <c r="I236" i="10"/>
  <c r="H236" i="10"/>
  <c r="I234" i="10"/>
  <c r="H234" i="10"/>
  <c r="I232" i="10"/>
  <c r="H232" i="10"/>
  <c r="I230" i="10"/>
  <c r="H230" i="10"/>
  <c r="I228" i="10"/>
  <c r="H228" i="10"/>
  <c r="I225" i="10"/>
  <c r="H225" i="10"/>
  <c r="I222" i="10"/>
  <c r="H222" i="10"/>
  <c r="M219" i="10"/>
  <c r="L219" i="10"/>
  <c r="I219" i="10"/>
  <c r="H219" i="10"/>
  <c r="H217" i="10"/>
  <c r="H215" i="10"/>
  <c r="I212" i="10"/>
  <c r="H212" i="10"/>
  <c r="I209" i="10"/>
  <c r="H209" i="10"/>
  <c r="I207" i="10"/>
  <c r="H207" i="10"/>
  <c r="I205" i="10"/>
  <c r="H205" i="10"/>
  <c r="I203" i="10"/>
  <c r="H203" i="10"/>
  <c r="I201" i="10"/>
  <c r="H201" i="10"/>
  <c r="I198" i="10"/>
  <c r="H198" i="10"/>
  <c r="I195" i="10"/>
  <c r="H195" i="10"/>
  <c r="M192" i="10"/>
  <c r="L192" i="10"/>
  <c r="I192" i="10"/>
  <c r="H192" i="10"/>
  <c r="H190" i="10"/>
  <c r="H188" i="10"/>
  <c r="I185" i="10"/>
  <c r="H185" i="10"/>
  <c r="I182" i="10"/>
  <c r="H182" i="10"/>
  <c r="I180" i="10"/>
  <c r="H180" i="10"/>
  <c r="I178" i="10"/>
  <c r="H178" i="10"/>
  <c r="I176" i="10"/>
  <c r="H176" i="10"/>
  <c r="I174" i="10"/>
  <c r="H174" i="10"/>
  <c r="I171" i="10"/>
  <c r="H171" i="10"/>
  <c r="I168" i="10"/>
  <c r="H168" i="10"/>
  <c r="M165" i="10"/>
  <c r="L165" i="10"/>
  <c r="I165" i="10"/>
  <c r="H165" i="10"/>
  <c r="H163" i="10"/>
  <c r="H161" i="10"/>
  <c r="I158" i="10"/>
  <c r="H158" i="10"/>
  <c r="I155" i="10"/>
  <c r="H155" i="10"/>
  <c r="I153" i="10"/>
  <c r="H153" i="10"/>
  <c r="I151" i="10"/>
  <c r="H151" i="10"/>
  <c r="I149" i="10"/>
  <c r="H149" i="10"/>
  <c r="I147" i="10"/>
  <c r="H147" i="10"/>
  <c r="I144" i="10"/>
  <c r="H144" i="10"/>
  <c r="I141" i="10"/>
  <c r="H141" i="10"/>
  <c r="M138" i="10"/>
  <c r="L138" i="10"/>
  <c r="I138" i="10"/>
  <c r="H138" i="10"/>
  <c r="H136" i="10"/>
  <c r="H134" i="10"/>
  <c r="I131" i="10"/>
  <c r="H131" i="10"/>
  <c r="I128" i="10"/>
  <c r="H128" i="10"/>
  <c r="I126" i="10"/>
  <c r="H126" i="10"/>
  <c r="I124" i="10"/>
  <c r="H124" i="10"/>
  <c r="I122" i="10"/>
  <c r="H122" i="10"/>
  <c r="I120" i="10"/>
  <c r="H120" i="10"/>
  <c r="I117" i="10"/>
  <c r="H117" i="10"/>
  <c r="I114" i="10"/>
  <c r="H114" i="10"/>
  <c r="M111" i="10"/>
  <c r="L111" i="10"/>
  <c r="I111" i="10"/>
  <c r="H111" i="10"/>
  <c r="H109" i="10"/>
  <c r="H107" i="10"/>
  <c r="I104" i="10"/>
  <c r="H104" i="10"/>
  <c r="I101" i="10"/>
  <c r="H101" i="10"/>
  <c r="I99" i="10"/>
  <c r="H99" i="10"/>
  <c r="I97" i="10"/>
  <c r="H97" i="10"/>
  <c r="I95" i="10"/>
  <c r="H95" i="10"/>
  <c r="I93" i="10"/>
  <c r="H93" i="10"/>
  <c r="I90" i="10"/>
  <c r="H90" i="10"/>
  <c r="I87" i="10"/>
  <c r="H87" i="10"/>
  <c r="M84" i="10"/>
  <c r="L84" i="10"/>
  <c r="I84" i="10"/>
  <c r="H84" i="10"/>
  <c r="H82" i="10"/>
  <c r="H80" i="10"/>
  <c r="I77" i="10"/>
  <c r="H77" i="10"/>
  <c r="I74" i="10"/>
  <c r="H74" i="10"/>
  <c r="I72" i="10"/>
  <c r="H72" i="10"/>
  <c r="I70" i="10"/>
  <c r="H70" i="10"/>
  <c r="I68" i="10"/>
  <c r="H68" i="10"/>
  <c r="I66" i="10"/>
  <c r="H66" i="10"/>
  <c r="I63" i="10"/>
  <c r="H63" i="10"/>
  <c r="I60" i="10"/>
  <c r="H60" i="10"/>
  <c r="M57" i="10"/>
  <c r="L57" i="10"/>
  <c r="I57" i="10"/>
  <c r="H57" i="10"/>
  <c r="H55" i="10"/>
  <c r="H53" i="10"/>
  <c r="I50" i="10"/>
  <c r="H50" i="10"/>
  <c r="I47" i="10"/>
  <c r="H47" i="10"/>
  <c r="I45" i="10"/>
  <c r="H45" i="10"/>
  <c r="I43" i="10"/>
  <c r="H43" i="10"/>
  <c r="I41" i="10"/>
  <c r="H41" i="10"/>
  <c r="I39" i="10"/>
  <c r="H39" i="10"/>
  <c r="I36" i="10"/>
  <c r="H36" i="10"/>
  <c r="I33" i="10"/>
  <c r="H33" i="10"/>
  <c r="M30" i="10"/>
  <c r="L30" i="10"/>
  <c r="I30" i="10"/>
  <c r="H30" i="10"/>
  <c r="H28" i="10"/>
  <c r="H26" i="10"/>
  <c r="I23" i="10"/>
  <c r="H23" i="10"/>
  <c r="I20" i="10"/>
  <c r="H20" i="10"/>
  <c r="I18" i="10"/>
  <c r="H18" i="10"/>
  <c r="I16" i="10"/>
  <c r="H16" i="10"/>
  <c r="I14" i="10"/>
  <c r="H14" i="10"/>
  <c r="I12" i="10"/>
  <c r="H12" i="10"/>
  <c r="I9" i="10"/>
  <c r="H9" i="10"/>
  <c r="I6" i="10"/>
  <c r="H6" i="10"/>
  <c r="M3" i="10"/>
  <c r="L3" i="10"/>
  <c r="I3" i="10"/>
  <c r="H3" i="10"/>
  <c r="M2" i="10"/>
  <c r="L2" i="10"/>
  <c r="I2" i="10"/>
  <c r="H2" i="10"/>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AH119" i="9"/>
  <c r="AG119" i="9"/>
  <c r="AH118" i="9"/>
  <c r="AG118" i="9"/>
  <c r="AH117" i="9"/>
  <c r="AG117" i="9"/>
  <c r="AJ116" i="9"/>
  <c r="AI116" i="9"/>
  <c r="AH116" i="9"/>
  <c r="AG116" i="9"/>
  <c r="AJ115" i="9"/>
  <c r="AI115" i="9"/>
  <c r="AH115" i="9"/>
  <c r="AG115" i="9"/>
  <c r="AJ114" i="9"/>
  <c r="AI114" i="9"/>
  <c r="AH114" i="9"/>
  <c r="AG114" i="9"/>
  <c r="AJ113" i="9"/>
  <c r="AI113" i="9"/>
  <c r="AH113" i="9"/>
  <c r="AG113" i="9"/>
  <c r="AJ112" i="9"/>
  <c r="AI112" i="9"/>
  <c r="AH112" i="9"/>
  <c r="AG112" i="9"/>
  <c r="AJ111" i="9"/>
  <c r="AI111" i="9"/>
  <c r="AH111" i="9"/>
  <c r="AG111" i="9"/>
  <c r="AJ110" i="9"/>
  <c r="AI110" i="9"/>
  <c r="AH110" i="9"/>
  <c r="AG110" i="9"/>
  <c r="AJ109" i="9"/>
  <c r="AI109" i="9"/>
  <c r="AH109" i="9"/>
  <c r="AG109" i="9"/>
  <c r="AJ108" i="9"/>
  <c r="AI108" i="9"/>
  <c r="AH108" i="9"/>
  <c r="AG108" i="9"/>
  <c r="AJ107" i="9"/>
  <c r="AI107" i="9"/>
  <c r="AH107" i="9"/>
  <c r="AG107" i="9"/>
  <c r="AJ106" i="9"/>
  <c r="AI106" i="9"/>
  <c r="AH106" i="9"/>
  <c r="AG106" i="9"/>
  <c r="AJ105" i="9"/>
  <c r="AI105" i="9"/>
  <c r="AH105" i="9"/>
  <c r="AG105" i="9"/>
  <c r="AJ104" i="9"/>
  <c r="AI104" i="9"/>
  <c r="AH104" i="9"/>
  <c r="AG104" i="9"/>
  <c r="AJ103" i="9"/>
  <c r="AI103" i="9"/>
  <c r="AH103" i="9"/>
  <c r="AG103" i="9"/>
  <c r="AJ102" i="9"/>
  <c r="AI102" i="9"/>
  <c r="AH102" i="9"/>
  <c r="AG102" i="9"/>
  <c r="AJ101" i="9"/>
  <c r="AI101" i="9"/>
  <c r="AH101" i="9"/>
  <c r="AG101" i="9"/>
  <c r="AJ100" i="9"/>
  <c r="AI100" i="9"/>
  <c r="AH100" i="9"/>
  <c r="AG100" i="9"/>
  <c r="AJ99" i="9"/>
  <c r="AI99" i="9"/>
  <c r="AH99" i="9"/>
  <c r="AG99" i="9"/>
  <c r="AJ98" i="9"/>
  <c r="AI98" i="9"/>
  <c r="AH98" i="9"/>
  <c r="AG98" i="9"/>
  <c r="AJ97" i="9"/>
  <c r="AI97" i="9"/>
  <c r="AH97" i="9"/>
  <c r="AG97" i="9"/>
  <c r="AJ96" i="9"/>
  <c r="AI96" i="9"/>
  <c r="AH96" i="9"/>
  <c r="AG96" i="9"/>
  <c r="AJ95" i="9"/>
  <c r="AI95" i="9"/>
  <c r="AH95" i="9"/>
  <c r="AG95" i="9"/>
  <c r="AJ94" i="9"/>
  <c r="AI94" i="9"/>
  <c r="AH94" i="9"/>
  <c r="AG94" i="9"/>
  <c r="AJ93" i="9"/>
  <c r="AI93" i="9"/>
  <c r="AH93" i="9"/>
  <c r="AG93" i="9"/>
  <c r="AJ92" i="9"/>
  <c r="AI92" i="9"/>
  <c r="AH92" i="9"/>
  <c r="AG92" i="9"/>
  <c r="AJ91" i="9"/>
  <c r="AI91" i="9"/>
  <c r="AH91" i="9"/>
  <c r="AG91" i="9"/>
  <c r="AJ90" i="9"/>
  <c r="AI90" i="9"/>
  <c r="AH90" i="9"/>
  <c r="AG90" i="9"/>
  <c r="AJ89" i="9"/>
  <c r="AI89" i="9"/>
  <c r="AH89" i="9"/>
  <c r="AG89" i="9"/>
  <c r="AJ88" i="9"/>
  <c r="AI88" i="9"/>
  <c r="AH88" i="9"/>
  <c r="AG88" i="9"/>
  <c r="AJ87" i="9"/>
  <c r="AI87" i="9"/>
  <c r="AH87" i="9"/>
  <c r="AG87" i="9"/>
  <c r="AJ86" i="9"/>
  <c r="AI86" i="9"/>
  <c r="AH86" i="9"/>
  <c r="AG86" i="9"/>
  <c r="AJ85" i="9"/>
  <c r="AI85" i="9"/>
  <c r="AH85" i="9"/>
  <c r="AG85" i="9"/>
  <c r="AJ84" i="9"/>
  <c r="AI84" i="9"/>
  <c r="AH84" i="9"/>
  <c r="AG84" i="9"/>
  <c r="AJ83" i="9"/>
  <c r="AI83" i="9"/>
  <c r="AH83" i="9"/>
  <c r="AG83" i="9"/>
  <c r="AJ82" i="9"/>
  <c r="AI82" i="9"/>
  <c r="AH82" i="9"/>
  <c r="AG82" i="9"/>
  <c r="AJ81" i="9"/>
  <c r="AI81" i="9"/>
  <c r="AH81" i="9"/>
  <c r="AG81" i="9"/>
  <c r="AJ80" i="9"/>
  <c r="AI80" i="9"/>
  <c r="AH80" i="9"/>
  <c r="AG80" i="9"/>
  <c r="AJ79" i="9"/>
  <c r="AI79" i="9"/>
  <c r="AH79" i="9"/>
  <c r="AG79" i="9"/>
  <c r="AJ78" i="9"/>
  <c r="AI78" i="9"/>
  <c r="AH78" i="9"/>
  <c r="AG78" i="9"/>
  <c r="AJ77" i="9"/>
  <c r="AI77" i="9"/>
  <c r="AH77" i="9"/>
  <c r="AG77" i="9"/>
  <c r="AJ76" i="9"/>
  <c r="AI76" i="9"/>
  <c r="AH76" i="9"/>
  <c r="AG76" i="9"/>
  <c r="AJ75" i="9"/>
  <c r="AI75" i="9"/>
  <c r="AH75" i="9"/>
  <c r="AG75" i="9"/>
  <c r="AJ74" i="9"/>
  <c r="AI74" i="9"/>
  <c r="AH74" i="9"/>
  <c r="AG74" i="9"/>
  <c r="AJ73" i="9"/>
  <c r="AI73" i="9"/>
  <c r="AH73" i="9"/>
  <c r="AG73" i="9"/>
  <c r="AJ72" i="9"/>
  <c r="AI72" i="9"/>
  <c r="AH72" i="9"/>
  <c r="AG72" i="9"/>
  <c r="AJ71" i="9"/>
  <c r="AI71" i="9"/>
  <c r="AH71" i="9"/>
  <c r="AG71" i="9"/>
  <c r="AJ70" i="9"/>
  <c r="AI70" i="9"/>
  <c r="AH70" i="9"/>
  <c r="AG70" i="9"/>
  <c r="AJ69" i="9"/>
  <c r="AI69" i="9"/>
  <c r="AH69" i="9"/>
  <c r="AG69" i="9"/>
  <c r="AJ68" i="9"/>
  <c r="AI68" i="9"/>
  <c r="AH68" i="9"/>
  <c r="AG68" i="9"/>
  <c r="AJ67" i="9"/>
  <c r="AI67" i="9"/>
  <c r="AH67" i="9"/>
  <c r="AG67" i="9"/>
  <c r="AJ66" i="9"/>
  <c r="AI66" i="9"/>
  <c r="AH66" i="9"/>
  <c r="AG66" i="9"/>
  <c r="AJ65" i="9"/>
  <c r="AI65" i="9"/>
  <c r="AH65" i="9"/>
  <c r="AG65" i="9"/>
  <c r="AJ64" i="9"/>
  <c r="AI64" i="9"/>
  <c r="AH64" i="9"/>
  <c r="AG64" i="9"/>
  <c r="AJ63" i="9"/>
  <c r="AI63" i="9"/>
  <c r="AH63" i="9"/>
  <c r="AG63" i="9"/>
  <c r="AJ62" i="9"/>
  <c r="AI62" i="9"/>
  <c r="AH62" i="9"/>
  <c r="AG62" i="9"/>
  <c r="AJ61" i="9"/>
  <c r="AI61" i="9"/>
  <c r="AH61" i="9"/>
  <c r="AG61" i="9"/>
  <c r="AJ60" i="9"/>
  <c r="AI60" i="9"/>
  <c r="AH60" i="9"/>
  <c r="AG60" i="9"/>
  <c r="AJ59" i="9"/>
  <c r="AI59" i="9"/>
  <c r="AH59" i="9"/>
  <c r="AG59" i="9"/>
  <c r="AJ58" i="9"/>
  <c r="AI58" i="9"/>
  <c r="AH58" i="9"/>
  <c r="AG58" i="9"/>
  <c r="AJ57" i="9"/>
  <c r="AI57" i="9"/>
  <c r="AH57" i="9"/>
  <c r="AG57" i="9"/>
  <c r="AJ56" i="9"/>
  <c r="AI56" i="9"/>
  <c r="AH56" i="9"/>
  <c r="AG56" i="9"/>
  <c r="AJ55" i="9"/>
  <c r="AI55" i="9"/>
  <c r="AH55" i="9"/>
  <c r="AG55" i="9"/>
  <c r="AJ54" i="9"/>
  <c r="AI54" i="9"/>
  <c r="AH54" i="9"/>
  <c r="AG54" i="9"/>
  <c r="AJ53" i="9"/>
  <c r="AI53" i="9"/>
  <c r="AH53" i="9"/>
  <c r="AG53" i="9"/>
  <c r="AJ52" i="9"/>
  <c r="AI52" i="9"/>
  <c r="AH52" i="9"/>
  <c r="AG52" i="9"/>
  <c r="AJ51" i="9"/>
  <c r="AI51" i="9"/>
  <c r="AH51" i="9"/>
  <c r="AG51" i="9"/>
  <c r="AJ50" i="9"/>
  <c r="AI50" i="9"/>
  <c r="AH50" i="9"/>
  <c r="AG50" i="9"/>
  <c r="AJ49" i="9"/>
  <c r="AI49" i="9"/>
  <c r="AH49" i="9"/>
  <c r="AG49" i="9"/>
  <c r="AJ48" i="9"/>
  <c r="AI48" i="9"/>
  <c r="AH48" i="9"/>
  <c r="AG48" i="9"/>
  <c r="AJ47" i="9"/>
  <c r="AI47" i="9"/>
  <c r="AH47" i="9"/>
  <c r="AG47" i="9"/>
  <c r="AJ46" i="9"/>
  <c r="AI46" i="9"/>
  <c r="AH46" i="9"/>
  <c r="AG46" i="9"/>
  <c r="AJ45" i="9"/>
  <c r="AI45" i="9"/>
  <c r="AH45" i="9"/>
  <c r="AG45" i="9"/>
  <c r="AJ44" i="9"/>
  <c r="AI44" i="9"/>
  <c r="AH44" i="9"/>
  <c r="AG44" i="9"/>
  <c r="AJ43" i="9"/>
  <c r="AI43" i="9"/>
  <c r="AH43" i="9"/>
  <c r="AG43" i="9"/>
  <c r="AJ42" i="9"/>
  <c r="AI42" i="9"/>
  <c r="AH42" i="9"/>
  <c r="AG42" i="9"/>
  <c r="AJ41" i="9"/>
  <c r="AI41" i="9"/>
  <c r="AH41" i="9"/>
  <c r="AG41" i="9"/>
  <c r="AJ40" i="9"/>
  <c r="AI40" i="9"/>
  <c r="AH40" i="9"/>
  <c r="AG40" i="9"/>
  <c r="AJ39" i="9"/>
  <c r="AI39" i="9"/>
  <c r="AH39" i="9"/>
  <c r="AG39" i="9"/>
  <c r="AJ38" i="9"/>
  <c r="AI38" i="9"/>
  <c r="AH38" i="9"/>
  <c r="AG38" i="9"/>
  <c r="AJ37" i="9"/>
  <c r="AI37" i="9"/>
  <c r="AH37" i="9"/>
  <c r="AG37" i="9"/>
  <c r="AJ36" i="9"/>
  <c r="AI36" i="9"/>
  <c r="AH36" i="9"/>
  <c r="AG36" i="9"/>
  <c r="AJ35" i="9"/>
  <c r="AI35" i="9"/>
  <c r="AH35" i="9"/>
  <c r="AG35" i="9"/>
  <c r="AJ34" i="9"/>
  <c r="AI34" i="9"/>
  <c r="AH34" i="9"/>
  <c r="AG34" i="9"/>
  <c r="AJ33" i="9"/>
  <c r="AI33" i="9"/>
  <c r="AH33" i="9"/>
  <c r="AG33" i="9"/>
  <c r="AJ32" i="9"/>
  <c r="AI32" i="9"/>
  <c r="AH32" i="9"/>
  <c r="AG32" i="9"/>
  <c r="AJ31" i="9"/>
  <c r="AI31" i="9"/>
  <c r="AH31" i="9"/>
  <c r="AG31" i="9"/>
  <c r="AJ30" i="9"/>
  <c r="AI30" i="9"/>
  <c r="AH30" i="9"/>
  <c r="AG30" i="9"/>
  <c r="AJ29" i="9"/>
  <c r="AI29" i="9"/>
  <c r="AH29" i="9"/>
  <c r="AG29" i="9"/>
  <c r="AJ28" i="9"/>
  <c r="AI28" i="9"/>
  <c r="AH28" i="9"/>
  <c r="AG28" i="9"/>
  <c r="AJ27" i="9"/>
  <c r="AI27" i="9"/>
  <c r="AH27" i="9"/>
  <c r="AG27" i="9"/>
  <c r="AJ26" i="9"/>
  <c r="AI26" i="9"/>
  <c r="AH26" i="9"/>
  <c r="AG26" i="9"/>
  <c r="AJ25" i="9"/>
  <c r="AI25" i="9"/>
  <c r="AH25" i="9"/>
  <c r="AG25" i="9"/>
  <c r="AJ24" i="9"/>
  <c r="AI24" i="9"/>
  <c r="AH24" i="9"/>
  <c r="AG24" i="9"/>
  <c r="AJ23" i="9"/>
  <c r="AI23" i="9"/>
  <c r="AH23" i="9"/>
  <c r="AG23" i="9"/>
  <c r="AJ22" i="9"/>
  <c r="AI22" i="9"/>
  <c r="AH22" i="9"/>
  <c r="AG22" i="9"/>
  <c r="AJ21" i="9"/>
  <c r="AI21" i="9"/>
  <c r="AH21" i="9"/>
  <c r="AG21" i="9"/>
  <c r="AJ20" i="9"/>
  <c r="AI20" i="9"/>
  <c r="AH20" i="9"/>
  <c r="AG20" i="9"/>
  <c r="AJ19" i="9"/>
  <c r="AI19" i="9"/>
  <c r="AH19" i="9"/>
  <c r="AG19" i="9"/>
  <c r="AJ18" i="9"/>
  <c r="AI18" i="9"/>
  <c r="AH18" i="9"/>
  <c r="AG18" i="9"/>
  <c r="AJ17" i="9"/>
  <c r="AI17" i="9"/>
  <c r="AH17" i="9"/>
  <c r="AG17" i="9"/>
  <c r="AJ16" i="9"/>
  <c r="AI16" i="9"/>
  <c r="AH16" i="9"/>
  <c r="AG16" i="9"/>
  <c r="AJ15" i="9"/>
  <c r="AI15" i="9"/>
  <c r="AH15" i="9"/>
  <c r="AG15" i="9"/>
  <c r="AJ14" i="9"/>
  <c r="AI14" i="9"/>
  <c r="AH14" i="9"/>
  <c r="AG14" i="9"/>
  <c r="AJ13" i="9"/>
  <c r="AI13" i="9"/>
  <c r="AH13" i="9"/>
  <c r="AG13" i="9"/>
  <c r="AJ12" i="9"/>
  <c r="AI12" i="9"/>
  <c r="AH12" i="9"/>
  <c r="AG12" i="9"/>
  <c r="AJ11" i="9"/>
  <c r="AI11" i="9"/>
  <c r="AH11" i="9"/>
  <c r="AG11" i="9"/>
  <c r="AJ10" i="9"/>
  <c r="AI10" i="9"/>
  <c r="AH10" i="9"/>
  <c r="AG10" i="9"/>
  <c r="AJ9" i="9"/>
  <c r="AI9" i="9"/>
  <c r="AH9" i="9"/>
  <c r="AG9" i="9"/>
  <c r="AJ8" i="9"/>
  <c r="AI8" i="9"/>
  <c r="AH8" i="9"/>
  <c r="AG8" i="9"/>
  <c r="AJ7" i="9"/>
  <c r="AI7" i="9"/>
  <c r="AH7" i="9"/>
  <c r="AG7" i="9"/>
  <c r="R161" i="8"/>
  <c r="Q161" i="8"/>
  <c r="P161" i="8"/>
  <c r="O161" i="8"/>
  <c r="M161" i="8"/>
  <c r="L161" i="8"/>
  <c r="R160" i="8"/>
  <c r="Q160" i="8"/>
  <c r="P160" i="8"/>
  <c r="O160" i="8"/>
  <c r="M160" i="8"/>
  <c r="L160" i="8"/>
  <c r="S159" i="8"/>
  <c r="R159" i="8"/>
  <c r="Q159" i="8"/>
  <c r="P159" i="8"/>
  <c r="M159" i="8"/>
  <c r="L159" i="8"/>
  <c r="S158" i="8"/>
  <c r="R158" i="8"/>
  <c r="Q158" i="8"/>
  <c r="P158" i="8"/>
  <c r="O158" i="8"/>
  <c r="M158" i="8"/>
  <c r="L158" i="8"/>
  <c r="S157" i="8"/>
  <c r="R157" i="8"/>
  <c r="Q157" i="8"/>
  <c r="P157" i="8"/>
  <c r="M157" i="8"/>
  <c r="L157" i="8"/>
  <c r="R156" i="8"/>
  <c r="Q156" i="8"/>
  <c r="P156" i="8"/>
  <c r="O156" i="8"/>
  <c r="L156" i="8"/>
  <c r="R155" i="8"/>
  <c r="Q155" i="8"/>
  <c r="P155" i="8"/>
  <c r="O155" i="8"/>
  <c r="M155" i="8"/>
  <c r="L155" i="8"/>
  <c r="R154" i="8"/>
  <c r="Q154" i="8"/>
  <c r="P154" i="8"/>
  <c r="M154" i="8"/>
  <c r="L154" i="8"/>
  <c r="S153" i="8"/>
  <c r="R153" i="8"/>
  <c r="Q153" i="8"/>
  <c r="P153" i="8"/>
  <c r="O153" i="8"/>
  <c r="M153" i="8"/>
  <c r="L153" i="8"/>
  <c r="S152" i="8"/>
  <c r="R152" i="8"/>
  <c r="Q152" i="8"/>
  <c r="P152" i="8"/>
  <c r="M152" i="8"/>
  <c r="L152" i="8"/>
  <c r="S151" i="8"/>
  <c r="R151" i="8"/>
  <c r="Q151" i="8"/>
  <c r="P151" i="8"/>
  <c r="M151" i="8"/>
  <c r="L151" i="8"/>
  <c r="S150" i="8"/>
  <c r="R150" i="8"/>
  <c r="Q150" i="8"/>
  <c r="P150" i="8"/>
  <c r="O150" i="8"/>
  <c r="M150" i="8"/>
  <c r="L150" i="8"/>
  <c r="S149" i="8"/>
  <c r="R149" i="8"/>
  <c r="Q149" i="8"/>
  <c r="P149" i="8"/>
  <c r="O149" i="8"/>
  <c r="M149" i="8"/>
  <c r="L149" i="8"/>
  <c r="S148" i="8"/>
  <c r="R148" i="8"/>
  <c r="Q148" i="8"/>
  <c r="P148" i="8"/>
  <c r="O148" i="8"/>
  <c r="M148" i="8"/>
  <c r="L148" i="8"/>
  <c r="S147" i="8"/>
  <c r="R147" i="8"/>
  <c r="Q147" i="8"/>
  <c r="P147" i="8"/>
  <c r="O147" i="8"/>
  <c r="M147" i="8"/>
  <c r="L147" i="8"/>
  <c r="S146" i="8"/>
  <c r="R146" i="8"/>
  <c r="Q146" i="8"/>
  <c r="P146" i="8"/>
  <c r="O146" i="8"/>
  <c r="M146" i="8"/>
  <c r="L146" i="8"/>
  <c r="S145" i="8"/>
  <c r="R145" i="8"/>
  <c r="Q145" i="8"/>
  <c r="P145" i="8"/>
  <c r="O145" i="8"/>
  <c r="M145" i="8"/>
  <c r="L145" i="8"/>
  <c r="R144" i="8"/>
  <c r="Q144" i="8"/>
  <c r="P144" i="8"/>
  <c r="O144" i="8"/>
  <c r="M144" i="8"/>
  <c r="L144" i="8"/>
  <c r="S143" i="8"/>
  <c r="R143" i="8"/>
  <c r="Q143" i="8"/>
  <c r="P143" i="8"/>
  <c r="O143" i="8"/>
  <c r="M143" i="8"/>
  <c r="L143" i="8"/>
  <c r="S142" i="8"/>
  <c r="R142" i="8"/>
  <c r="Q142" i="8"/>
  <c r="P142" i="8"/>
  <c r="M142" i="8"/>
  <c r="L142" i="8"/>
  <c r="S141" i="8"/>
  <c r="R141" i="8"/>
  <c r="Q141" i="8"/>
  <c r="P141" i="8"/>
  <c r="O141" i="8"/>
  <c r="M141" i="8"/>
  <c r="L141" i="8"/>
  <c r="R140" i="8"/>
  <c r="Q140" i="8"/>
  <c r="P140" i="8"/>
  <c r="O140" i="8"/>
  <c r="M140" i="8"/>
  <c r="L140" i="8"/>
  <c r="R139" i="8"/>
  <c r="Q139" i="8"/>
  <c r="P139" i="8"/>
  <c r="O139" i="8"/>
  <c r="M139" i="8"/>
  <c r="L139" i="8"/>
  <c r="S138" i="8"/>
  <c r="R138" i="8"/>
  <c r="Q138" i="8"/>
  <c r="P138" i="8"/>
  <c r="O138" i="8"/>
  <c r="M138" i="8"/>
  <c r="L138" i="8"/>
  <c r="S137" i="8"/>
  <c r="R137" i="8"/>
  <c r="Q137" i="8"/>
  <c r="P137" i="8"/>
  <c r="O137" i="8"/>
  <c r="M137" i="8"/>
  <c r="L137" i="8"/>
  <c r="R136" i="8"/>
  <c r="Q136" i="8"/>
  <c r="P136" i="8"/>
  <c r="M136" i="8"/>
  <c r="L136" i="8"/>
  <c r="S135" i="8"/>
  <c r="R135" i="8"/>
  <c r="Q135" i="8"/>
  <c r="P135" i="8"/>
  <c r="O135" i="8"/>
  <c r="M135" i="8"/>
  <c r="L135" i="8"/>
  <c r="R134" i="8"/>
  <c r="Q134" i="8"/>
  <c r="P134" i="8"/>
  <c r="O134" i="8"/>
  <c r="M134" i="8"/>
  <c r="L134" i="8"/>
  <c r="S133" i="8"/>
  <c r="R133" i="8"/>
  <c r="Q133" i="8"/>
  <c r="P133" i="8"/>
  <c r="O133" i="8"/>
  <c r="M133" i="8"/>
  <c r="L133" i="8"/>
  <c r="S132" i="8"/>
  <c r="R132" i="8"/>
  <c r="Q132" i="8"/>
  <c r="P132" i="8"/>
  <c r="O132" i="8"/>
  <c r="M132" i="8"/>
  <c r="L132" i="8"/>
  <c r="R131" i="8"/>
  <c r="Q131" i="8"/>
  <c r="P131" i="8"/>
  <c r="O131" i="8"/>
  <c r="M131" i="8"/>
  <c r="L131" i="8"/>
  <c r="R130" i="8"/>
  <c r="Q130" i="8"/>
  <c r="P130" i="8"/>
  <c r="O130" i="8"/>
  <c r="M130" i="8"/>
  <c r="L130" i="8"/>
  <c r="S129" i="8"/>
  <c r="R129" i="8"/>
  <c r="Q129" i="8"/>
  <c r="P129" i="8"/>
  <c r="O129" i="8"/>
  <c r="M129" i="8"/>
  <c r="L129" i="8"/>
  <c r="R128" i="8"/>
  <c r="Q128" i="8"/>
  <c r="P128" i="8"/>
  <c r="O128" i="8"/>
  <c r="M128" i="8"/>
  <c r="L128" i="8"/>
  <c r="R127" i="8"/>
  <c r="Q127" i="8"/>
  <c r="P127" i="8"/>
  <c r="O127" i="8"/>
  <c r="M127" i="8"/>
  <c r="L127" i="8"/>
  <c r="S126" i="8"/>
  <c r="R126" i="8"/>
  <c r="Q126" i="8"/>
  <c r="P126" i="8"/>
  <c r="O126" i="8"/>
  <c r="M126" i="8"/>
  <c r="L126" i="8"/>
  <c r="C69" i="8"/>
  <c r="C68" i="8"/>
  <c r="C67" i="8"/>
  <c r="C66" i="8"/>
  <c r="AJ65" i="8"/>
  <c r="AG65" i="8"/>
  <c r="AD65" i="8"/>
  <c r="C65" i="8"/>
  <c r="AJ64" i="8"/>
  <c r="AG64" i="8"/>
  <c r="AD64" i="8"/>
  <c r="C64" i="8"/>
  <c r="AJ63" i="8"/>
  <c r="AG63" i="8"/>
  <c r="AD63" i="8"/>
  <c r="C63" i="8"/>
  <c r="AJ62" i="8"/>
  <c r="AG62" i="8"/>
  <c r="AD62" i="8"/>
  <c r="C62" i="8"/>
  <c r="AJ61" i="8"/>
  <c r="AG61" i="8"/>
  <c r="AD61" i="8"/>
  <c r="C61" i="8"/>
  <c r="AJ60" i="8"/>
  <c r="AG60" i="8"/>
  <c r="AD60" i="8"/>
  <c r="C60" i="8"/>
  <c r="AJ59" i="8"/>
  <c r="AG59" i="8"/>
  <c r="AD59" i="8"/>
  <c r="C59" i="8"/>
  <c r="AJ58" i="8"/>
  <c r="AG58" i="8"/>
  <c r="AD58" i="8"/>
  <c r="C58" i="8"/>
  <c r="AJ57" i="8"/>
  <c r="AG57" i="8"/>
  <c r="AD57" i="8"/>
  <c r="C57" i="8"/>
  <c r="AJ56" i="8"/>
  <c r="AG56" i="8"/>
  <c r="AD56" i="8"/>
  <c r="AA56" i="8"/>
  <c r="X56" i="8"/>
  <c r="U56" i="8"/>
  <c r="R56" i="8"/>
  <c r="O56" i="8"/>
  <c r="L56" i="8"/>
  <c r="I56" i="8"/>
  <c r="F56" i="8"/>
  <c r="C56" i="8"/>
  <c r="AJ55" i="8"/>
  <c r="AG55" i="8"/>
  <c r="AD55" i="8"/>
  <c r="AA55" i="8"/>
  <c r="X55" i="8"/>
  <c r="U55" i="8"/>
  <c r="R55" i="8"/>
  <c r="O55" i="8"/>
  <c r="L55" i="8"/>
  <c r="I55" i="8"/>
  <c r="F55" i="8"/>
  <c r="C55" i="8"/>
  <c r="AJ54" i="8"/>
  <c r="AG54" i="8"/>
  <c r="AD54" i="8"/>
  <c r="AA54" i="8"/>
  <c r="X54" i="8"/>
  <c r="U54" i="8"/>
  <c r="R54" i="8"/>
  <c r="O54" i="8"/>
  <c r="L54" i="8"/>
  <c r="I54" i="8"/>
  <c r="F54" i="8"/>
  <c r="C54" i="8"/>
  <c r="AJ53" i="8"/>
  <c r="AG53" i="8"/>
  <c r="AD53" i="8"/>
  <c r="AA53" i="8"/>
  <c r="X53" i="8"/>
  <c r="U53" i="8"/>
  <c r="R53" i="8"/>
  <c r="O53" i="8"/>
  <c r="L53" i="8"/>
  <c r="I53" i="8"/>
  <c r="F53" i="8"/>
  <c r="C53" i="8"/>
  <c r="AJ52" i="8"/>
  <c r="AG52" i="8"/>
  <c r="AD52" i="8"/>
  <c r="AA52" i="8"/>
  <c r="X52" i="8"/>
  <c r="U52" i="8"/>
  <c r="R52" i="8"/>
  <c r="O52" i="8"/>
  <c r="L52" i="8"/>
  <c r="I52" i="8"/>
  <c r="F52" i="8"/>
  <c r="C52" i="8"/>
  <c r="AJ51" i="8"/>
  <c r="AG51" i="8"/>
  <c r="AD51" i="8"/>
  <c r="AA51" i="8"/>
  <c r="X51" i="8"/>
  <c r="U51" i="8"/>
  <c r="R51" i="8"/>
  <c r="O51" i="8"/>
  <c r="L51" i="8"/>
  <c r="I51" i="8"/>
  <c r="F51" i="8"/>
  <c r="C51" i="8"/>
  <c r="AJ50" i="8"/>
  <c r="AG50" i="8"/>
  <c r="AD50" i="8"/>
  <c r="AA50" i="8"/>
  <c r="X50" i="8"/>
  <c r="U50" i="8"/>
  <c r="R50" i="8"/>
  <c r="O50" i="8"/>
  <c r="L50" i="8"/>
  <c r="I50" i="8"/>
  <c r="F50" i="8"/>
  <c r="C50" i="8"/>
  <c r="AJ49" i="8"/>
  <c r="AG49" i="8"/>
  <c r="AD49" i="8"/>
  <c r="AA49" i="8"/>
  <c r="X49" i="8"/>
  <c r="U49" i="8"/>
  <c r="R49" i="8"/>
  <c r="O49" i="8"/>
  <c r="L49" i="8"/>
  <c r="I49" i="8"/>
  <c r="F49" i="8"/>
  <c r="C49" i="8"/>
  <c r="AJ48" i="8"/>
  <c r="AG48" i="8"/>
  <c r="AD48" i="8"/>
  <c r="AA48" i="8"/>
  <c r="X48" i="8"/>
  <c r="U48" i="8"/>
  <c r="R48" i="8"/>
  <c r="O48" i="8"/>
  <c r="L48" i="8"/>
  <c r="I48" i="8"/>
  <c r="F48" i="8"/>
  <c r="C48" i="8"/>
  <c r="AJ47" i="8"/>
  <c r="AG47" i="8"/>
  <c r="AD47" i="8"/>
  <c r="AA47" i="8"/>
  <c r="X47" i="8"/>
  <c r="U47" i="8"/>
  <c r="R47" i="8"/>
  <c r="O47" i="8"/>
  <c r="L47" i="8"/>
  <c r="I47" i="8"/>
  <c r="F47" i="8"/>
  <c r="C47" i="8"/>
  <c r="AJ46" i="8"/>
  <c r="AG46" i="8"/>
  <c r="AD46" i="8"/>
  <c r="AA46" i="8"/>
  <c r="X46" i="8"/>
  <c r="U46" i="8"/>
  <c r="R46" i="8"/>
  <c r="O46" i="8"/>
  <c r="L46" i="8"/>
  <c r="I46" i="8"/>
  <c r="F46" i="8"/>
  <c r="C46" i="8"/>
  <c r="AJ45" i="8"/>
  <c r="AG45" i="8"/>
  <c r="AD45" i="8"/>
  <c r="AA45" i="8"/>
  <c r="X45" i="8"/>
  <c r="U45" i="8"/>
  <c r="R45" i="8"/>
  <c r="O45" i="8"/>
  <c r="L45" i="8"/>
  <c r="I45" i="8"/>
  <c r="F45" i="8"/>
  <c r="C45" i="8"/>
  <c r="AJ44" i="8"/>
  <c r="AG44" i="8"/>
  <c r="AD44" i="8"/>
  <c r="AA44" i="8"/>
  <c r="X44" i="8"/>
  <c r="U44" i="8"/>
  <c r="R44" i="8"/>
  <c r="O44" i="8"/>
  <c r="L44" i="8"/>
  <c r="I44" i="8"/>
  <c r="F44" i="8"/>
  <c r="C44" i="8"/>
  <c r="AJ43" i="8"/>
  <c r="AG43" i="8"/>
  <c r="AD43" i="8"/>
  <c r="AA43" i="8"/>
  <c r="X43" i="8"/>
  <c r="U43" i="8"/>
  <c r="R43" i="8"/>
  <c r="O43" i="8"/>
  <c r="L43" i="8"/>
  <c r="I43" i="8"/>
  <c r="F43" i="8"/>
  <c r="C43" i="8"/>
  <c r="AJ42" i="8"/>
  <c r="AG42" i="8"/>
  <c r="AD42" i="8"/>
  <c r="AA42" i="8"/>
  <c r="X42" i="8"/>
  <c r="U42" i="8"/>
  <c r="R42" i="8"/>
  <c r="O42" i="8"/>
  <c r="L42" i="8"/>
  <c r="I42" i="8"/>
  <c r="F42" i="8"/>
  <c r="C42" i="8"/>
  <c r="AJ41" i="8"/>
  <c r="AG41" i="8"/>
  <c r="AD41" i="8"/>
  <c r="AA41" i="8"/>
  <c r="X41" i="8"/>
  <c r="U41" i="8"/>
  <c r="R41" i="8"/>
  <c r="O41" i="8"/>
  <c r="L41" i="8"/>
  <c r="I41" i="8"/>
  <c r="F41" i="8"/>
  <c r="C41" i="8"/>
  <c r="AJ40" i="8"/>
  <c r="AG40" i="8"/>
  <c r="AD40" i="8"/>
  <c r="AA40" i="8"/>
  <c r="X40" i="8"/>
  <c r="U40" i="8"/>
  <c r="R40" i="8"/>
  <c r="O40" i="8"/>
  <c r="L40" i="8"/>
  <c r="I40" i="8"/>
  <c r="F40" i="8"/>
  <c r="C40" i="8"/>
  <c r="AJ39" i="8"/>
  <c r="AG39" i="8"/>
  <c r="AD39" i="8"/>
  <c r="AA39" i="8"/>
  <c r="X39" i="8"/>
  <c r="U39" i="8"/>
  <c r="R39" i="8"/>
  <c r="O39" i="8"/>
  <c r="L39" i="8"/>
  <c r="I39" i="8"/>
  <c r="F39" i="8"/>
  <c r="C39" i="8"/>
  <c r="AJ38" i="8"/>
  <c r="AG38" i="8"/>
  <c r="AD38" i="8"/>
  <c r="AA38" i="8"/>
  <c r="X38" i="8"/>
  <c r="U38" i="8"/>
  <c r="R38" i="8"/>
  <c r="O38" i="8"/>
  <c r="L38" i="8"/>
  <c r="I38" i="8"/>
  <c r="F38" i="8"/>
  <c r="C38" i="8"/>
  <c r="AJ37" i="8"/>
  <c r="AG37" i="8"/>
  <c r="AD37" i="8"/>
  <c r="AA37" i="8"/>
  <c r="X37" i="8"/>
  <c r="U37" i="8"/>
  <c r="R37" i="8"/>
  <c r="O37" i="8"/>
  <c r="L37" i="8"/>
  <c r="I37" i="8"/>
  <c r="F37" i="8"/>
  <c r="C37" i="8"/>
  <c r="AJ36" i="8"/>
  <c r="AG36" i="8"/>
  <c r="AD36" i="8"/>
  <c r="AA36" i="8"/>
  <c r="X36" i="8"/>
  <c r="U36" i="8"/>
  <c r="R36" i="8"/>
  <c r="O36" i="8"/>
  <c r="L36" i="8"/>
  <c r="I36" i="8"/>
  <c r="F36" i="8"/>
  <c r="C36" i="8"/>
  <c r="AJ35" i="8"/>
  <c r="AG35" i="8"/>
  <c r="AD35" i="8"/>
  <c r="AA35" i="8"/>
  <c r="X35" i="8"/>
  <c r="U35" i="8"/>
  <c r="R35" i="8"/>
  <c r="O35" i="8"/>
  <c r="L35" i="8"/>
  <c r="I35" i="8"/>
  <c r="F35" i="8"/>
  <c r="C35" i="8"/>
  <c r="AJ34" i="8"/>
  <c r="AG34" i="8"/>
  <c r="AD34" i="8"/>
  <c r="AA34" i="8"/>
  <c r="X34" i="8"/>
  <c r="U34" i="8"/>
  <c r="R34" i="8"/>
  <c r="O34" i="8"/>
  <c r="L34" i="8"/>
  <c r="I34" i="8"/>
  <c r="F34" i="8"/>
  <c r="C34" i="8"/>
  <c r="AJ33" i="8"/>
  <c r="AG33" i="8"/>
  <c r="AD33" i="8"/>
  <c r="AA33" i="8"/>
  <c r="X33" i="8"/>
  <c r="U33" i="8"/>
  <c r="R33" i="8"/>
  <c r="O33" i="8"/>
  <c r="L33" i="8"/>
  <c r="I33" i="8"/>
  <c r="F33" i="8"/>
  <c r="C33" i="8"/>
  <c r="AJ32" i="8"/>
  <c r="AG32" i="8"/>
  <c r="AD32" i="8"/>
  <c r="AA32" i="8"/>
  <c r="X32" i="8"/>
  <c r="U32" i="8"/>
  <c r="R32" i="8"/>
  <c r="O32" i="8"/>
  <c r="L32" i="8"/>
  <c r="I32" i="8"/>
  <c r="F32" i="8"/>
  <c r="C32" i="8"/>
  <c r="AJ31" i="8"/>
  <c r="AG31" i="8"/>
  <c r="AD31" i="8"/>
  <c r="AA31" i="8"/>
  <c r="X31" i="8"/>
  <c r="U31" i="8"/>
  <c r="R31" i="8"/>
  <c r="O31" i="8"/>
  <c r="L31" i="8"/>
  <c r="I31" i="8"/>
  <c r="F31" i="8"/>
  <c r="C31" i="8"/>
  <c r="AJ30" i="8"/>
  <c r="AG30" i="8"/>
  <c r="AD30" i="8"/>
  <c r="AA30" i="8"/>
  <c r="X30" i="8"/>
  <c r="U30" i="8"/>
  <c r="R30" i="8"/>
  <c r="O30" i="8"/>
  <c r="L30" i="8"/>
  <c r="I30" i="8"/>
  <c r="F30" i="8"/>
  <c r="C30" i="8"/>
  <c r="AJ29" i="8"/>
  <c r="AG29" i="8"/>
  <c r="AD29" i="8"/>
  <c r="AA29" i="8"/>
  <c r="X29" i="8"/>
  <c r="U29" i="8"/>
  <c r="R29" i="8"/>
  <c r="O29" i="8"/>
  <c r="L29" i="8"/>
  <c r="I29" i="8"/>
  <c r="F29" i="8"/>
  <c r="C29" i="8"/>
  <c r="AJ28" i="8"/>
  <c r="AG28" i="8"/>
  <c r="AD28" i="8"/>
  <c r="AA28" i="8"/>
  <c r="X28" i="8"/>
  <c r="U28" i="8"/>
  <c r="R28" i="8"/>
  <c r="O28" i="8"/>
  <c r="L28" i="8"/>
  <c r="I28" i="8"/>
  <c r="F28" i="8"/>
  <c r="C28" i="8"/>
  <c r="AJ27" i="8"/>
  <c r="AG27" i="8"/>
  <c r="AD27" i="8"/>
  <c r="AA27" i="8"/>
  <c r="X27" i="8"/>
  <c r="U27" i="8"/>
  <c r="R27" i="8"/>
  <c r="O27" i="8"/>
  <c r="L27" i="8"/>
  <c r="I27" i="8"/>
  <c r="F27" i="8"/>
  <c r="C27" i="8"/>
  <c r="AJ26" i="8"/>
  <c r="AG26" i="8"/>
  <c r="AD26" i="8"/>
  <c r="AA26" i="8"/>
  <c r="X26" i="8"/>
  <c r="U26" i="8"/>
  <c r="R26" i="8"/>
  <c r="O26" i="8"/>
  <c r="L26" i="8"/>
  <c r="I26" i="8"/>
  <c r="F26" i="8"/>
  <c r="C26" i="8"/>
  <c r="AJ25" i="8"/>
  <c r="AG25" i="8"/>
  <c r="AD25" i="8"/>
  <c r="AA25" i="8"/>
  <c r="X25" i="8"/>
  <c r="U25" i="8"/>
  <c r="R25" i="8"/>
  <c r="O25" i="8"/>
  <c r="L25" i="8"/>
  <c r="I25" i="8"/>
  <c r="F25" i="8"/>
  <c r="C25" i="8"/>
  <c r="AJ24" i="8"/>
  <c r="AG24" i="8"/>
  <c r="AD24" i="8"/>
  <c r="AA24" i="8"/>
  <c r="X24" i="8"/>
  <c r="U24" i="8"/>
  <c r="R24" i="8"/>
  <c r="O24" i="8"/>
  <c r="L24" i="8"/>
  <c r="I24" i="8"/>
  <c r="F24" i="8"/>
  <c r="C24" i="8"/>
  <c r="AJ23" i="8"/>
  <c r="AG23" i="8"/>
  <c r="AD23" i="8"/>
  <c r="AA23" i="8"/>
  <c r="X23" i="8"/>
  <c r="U23" i="8"/>
  <c r="R23" i="8"/>
  <c r="O23" i="8"/>
  <c r="L23" i="8"/>
  <c r="I23" i="8"/>
  <c r="F23" i="8"/>
  <c r="C23" i="8"/>
  <c r="AJ22" i="8"/>
  <c r="AG22" i="8"/>
  <c r="AD22" i="8"/>
  <c r="AA22" i="8"/>
  <c r="X22" i="8"/>
  <c r="U22" i="8"/>
  <c r="R22" i="8"/>
  <c r="O22" i="8"/>
  <c r="L22" i="8"/>
  <c r="I22" i="8"/>
  <c r="F22" i="8"/>
  <c r="C22" i="8"/>
  <c r="AJ21" i="8"/>
  <c r="AG21" i="8"/>
  <c r="AD21" i="8"/>
  <c r="AA21" i="8"/>
  <c r="X21" i="8"/>
  <c r="U21" i="8"/>
  <c r="R21" i="8"/>
  <c r="O21" i="8"/>
  <c r="L21" i="8"/>
  <c r="I21" i="8"/>
  <c r="F21" i="8"/>
  <c r="C21" i="8"/>
  <c r="AJ20" i="8"/>
  <c r="AG20" i="8"/>
  <c r="AD20" i="8"/>
  <c r="AA20" i="8"/>
  <c r="X20" i="8"/>
  <c r="U20" i="8"/>
  <c r="R20" i="8"/>
  <c r="O20" i="8"/>
  <c r="L20" i="8"/>
  <c r="I20" i="8"/>
  <c r="F20" i="8"/>
  <c r="C20" i="8"/>
  <c r="AJ19" i="8"/>
  <c r="AG19" i="8"/>
  <c r="AD19" i="8"/>
  <c r="AA19" i="8"/>
  <c r="X19" i="8"/>
  <c r="U19" i="8"/>
  <c r="R19" i="8"/>
  <c r="O19" i="8"/>
  <c r="L19" i="8"/>
  <c r="I19" i="8"/>
  <c r="F19" i="8"/>
  <c r="C19" i="8"/>
  <c r="AJ18" i="8"/>
  <c r="AG18" i="8"/>
  <c r="AD18" i="8"/>
  <c r="AA18" i="8"/>
  <c r="X18" i="8"/>
  <c r="U18" i="8"/>
  <c r="R18" i="8"/>
  <c r="O18" i="8"/>
  <c r="L18" i="8"/>
  <c r="I18" i="8"/>
  <c r="F18" i="8"/>
  <c r="C18" i="8"/>
  <c r="AJ17" i="8"/>
  <c r="AG17" i="8"/>
  <c r="AD17" i="8"/>
  <c r="AA17" i="8"/>
  <c r="X17" i="8"/>
  <c r="U17" i="8"/>
  <c r="R17" i="8"/>
  <c r="O17" i="8"/>
  <c r="L17" i="8"/>
  <c r="I17" i="8"/>
  <c r="F17" i="8"/>
  <c r="C17" i="8"/>
  <c r="AJ16" i="8"/>
  <c r="AG16" i="8"/>
  <c r="AD16" i="8"/>
  <c r="AA16" i="8"/>
  <c r="X16" i="8"/>
  <c r="U16" i="8"/>
  <c r="R16" i="8"/>
  <c r="O16" i="8"/>
  <c r="L16" i="8"/>
  <c r="I16" i="8"/>
  <c r="F16" i="8"/>
  <c r="C16" i="8"/>
  <c r="AJ15" i="8"/>
  <c r="AG15" i="8"/>
  <c r="AD15" i="8"/>
  <c r="AA15" i="8"/>
  <c r="X15" i="8"/>
  <c r="U15" i="8"/>
  <c r="R15" i="8"/>
  <c r="O15" i="8"/>
  <c r="L15" i="8"/>
  <c r="I15" i="8"/>
  <c r="F15" i="8"/>
  <c r="C15" i="8"/>
  <c r="AJ14" i="8"/>
  <c r="AG14" i="8"/>
  <c r="AD14" i="8"/>
  <c r="AA14" i="8"/>
  <c r="X14" i="8"/>
  <c r="U14" i="8"/>
  <c r="R14" i="8"/>
  <c r="O14" i="8"/>
  <c r="L14" i="8"/>
  <c r="I14" i="8"/>
  <c r="F14" i="8"/>
  <c r="C14" i="8"/>
  <c r="AJ13" i="8"/>
  <c r="AG13" i="8"/>
  <c r="AD13" i="8"/>
  <c r="AA13" i="8"/>
  <c r="X13" i="8"/>
  <c r="U13" i="8"/>
  <c r="R13" i="8"/>
  <c r="O13" i="8"/>
  <c r="L13" i="8"/>
  <c r="I13" i="8"/>
  <c r="F13" i="8"/>
  <c r="C13" i="8"/>
  <c r="AJ12" i="8"/>
  <c r="AG12" i="8"/>
  <c r="AD12" i="8"/>
  <c r="AA12" i="8"/>
  <c r="X12" i="8"/>
  <c r="U12" i="8"/>
  <c r="R12" i="8"/>
  <c r="O12" i="8"/>
  <c r="L12" i="8"/>
  <c r="I12" i="8"/>
  <c r="F12" i="8"/>
  <c r="C12" i="8"/>
  <c r="AJ11" i="8"/>
  <c r="AG11" i="8"/>
  <c r="AD11" i="8"/>
  <c r="AA11" i="8"/>
  <c r="X11" i="8"/>
  <c r="U11" i="8"/>
  <c r="R11" i="8"/>
  <c r="O11" i="8"/>
  <c r="L11" i="8"/>
  <c r="I11" i="8"/>
  <c r="F11" i="8"/>
  <c r="C11" i="8"/>
  <c r="AJ10" i="8"/>
  <c r="AG10" i="8"/>
  <c r="AD10" i="8"/>
  <c r="AA10" i="8"/>
  <c r="X10" i="8"/>
  <c r="U10" i="8"/>
  <c r="R10" i="8"/>
  <c r="O10" i="8"/>
  <c r="L10" i="8"/>
  <c r="I10" i="8"/>
  <c r="F10" i="8"/>
  <c r="C10" i="8"/>
  <c r="AJ9" i="8"/>
  <c r="AG9" i="8"/>
  <c r="AD9" i="8"/>
  <c r="AA9" i="8"/>
  <c r="X9" i="8"/>
  <c r="U9" i="8"/>
  <c r="R9" i="8"/>
  <c r="O9" i="8"/>
  <c r="L9" i="8"/>
  <c r="I9" i="8"/>
  <c r="F9" i="8"/>
  <c r="C9" i="8"/>
  <c r="AJ8" i="8"/>
  <c r="AG8" i="8"/>
  <c r="AD8" i="8"/>
  <c r="AA8" i="8"/>
  <c r="X8" i="8"/>
  <c r="U8" i="8"/>
  <c r="R8" i="8"/>
  <c r="O8" i="8"/>
  <c r="L8" i="8"/>
  <c r="I8" i="8"/>
  <c r="F8" i="8"/>
  <c r="C8" i="8"/>
  <c r="AJ7" i="8"/>
  <c r="AG7" i="8"/>
  <c r="AD7" i="8"/>
  <c r="AA7" i="8"/>
  <c r="X7" i="8"/>
  <c r="U7" i="8"/>
  <c r="R7" i="8"/>
  <c r="O7" i="8"/>
  <c r="L7" i="8"/>
  <c r="I7" i="8"/>
  <c r="F7" i="8"/>
  <c r="C7" i="8"/>
  <c r="AJ6" i="8"/>
  <c r="AG6" i="8"/>
  <c r="AD6" i="8"/>
  <c r="AA6" i="8"/>
  <c r="X6" i="8"/>
  <c r="U6" i="8"/>
  <c r="R6" i="8"/>
  <c r="O6" i="8"/>
  <c r="L6" i="8"/>
  <c r="I6" i="8"/>
  <c r="F6" i="8"/>
  <c r="C6" i="8"/>
  <c r="AK5" i="8"/>
  <c r="AJ5" i="8"/>
  <c r="AI5" i="8"/>
  <c r="AH5" i="8"/>
  <c r="AG5" i="8"/>
  <c r="AF5" i="8"/>
  <c r="AE5" i="8"/>
  <c r="AD5" i="8"/>
  <c r="AC5" i="8"/>
  <c r="AB5" i="8"/>
  <c r="AA5" i="8"/>
  <c r="Z5" i="8"/>
  <c r="Y5" i="8"/>
  <c r="X5" i="8"/>
  <c r="V5" i="8"/>
  <c r="U5" i="8"/>
  <c r="S5" i="8"/>
  <c r="R5" i="8"/>
  <c r="P5" i="8"/>
  <c r="O5" i="8"/>
  <c r="M5" i="8"/>
  <c r="L5" i="8"/>
  <c r="J5" i="8"/>
  <c r="I5" i="8"/>
  <c r="G5" i="8"/>
  <c r="F5" i="8"/>
  <c r="C5" i="8"/>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75" i="6"/>
  <c r="B74" i="6"/>
  <c r="B73" i="6"/>
  <c r="B72" i="6"/>
  <c r="B71" i="6"/>
  <c r="B70" i="6"/>
  <c r="B69" i="6"/>
  <c r="B68" i="6"/>
  <c r="B67" i="6"/>
  <c r="B66" i="6"/>
  <c r="B65" i="6"/>
  <c r="B64" i="6"/>
  <c r="B63" i="6"/>
  <c r="B62" i="6"/>
  <c r="B61" i="6"/>
  <c r="B60" i="6"/>
  <c r="B59" i="6"/>
  <c r="B58" i="6"/>
  <c r="B57" i="6"/>
  <c r="B56" i="6"/>
  <c r="B55" i="6"/>
  <c r="B54" i="6"/>
  <c r="B53" i="6"/>
  <c r="B52" i="6"/>
  <c r="AB4" i="6"/>
  <c r="B31" i="5"/>
  <c r="B30" i="5"/>
  <c r="B29" i="5"/>
  <c r="B28" i="5"/>
  <c r="B27" i="5"/>
  <c r="B26" i="5"/>
  <c r="B25" i="5"/>
  <c r="B24" i="5"/>
  <c r="B23" i="5"/>
  <c r="B22" i="5"/>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84" i="3"/>
  <c r="B83" i="3"/>
  <c r="B82" i="3"/>
  <c r="B81" i="3"/>
  <c r="B80" i="3"/>
  <c r="B79" i="3"/>
  <c r="B78" i="3"/>
  <c r="B77" i="3"/>
  <c r="B76" i="3"/>
  <c r="B71" i="3"/>
  <c r="B70" i="3"/>
  <c r="B69" i="3"/>
  <c r="B68" i="3"/>
  <c r="B67" i="3"/>
  <c r="B66" i="3"/>
  <c r="B65" i="3"/>
  <c r="B64" i="3"/>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245" i="1"/>
  <c r="B244" i="1"/>
  <c r="B243" i="1"/>
  <c r="B242" i="1"/>
  <c r="B241" i="1"/>
  <c r="B240" i="1"/>
  <c r="B239" i="1"/>
  <c r="B238"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D5" i="13" l="1"/>
  <c r="J5" i="13" s="1"/>
  <c r="D12" i="13"/>
  <c r="J12" i="13" s="1"/>
  <c r="D7" i="13"/>
  <c r="J7" i="13" s="1"/>
  <c r="D4" i="13"/>
  <c r="D9" i="13"/>
  <c r="AG126" i="9"/>
  <c r="D6" i="13"/>
  <c r="J6" i="13" s="1"/>
  <c r="AH126" i="9"/>
  <c r="AI126" i="9"/>
  <c r="AJ126" i="9"/>
  <c r="B20" i="13" s="1"/>
  <c r="J4" i="13"/>
  <c r="C15" i="13"/>
  <c r="D14" i="13" l="1"/>
  <c r="L8" i="13"/>
  <c r="B29" i="6"/>
  <c r="B13" i="5"/>
  <c r="B51" i="1"/>
  <c r="B11" i="4"/>
  <c r="B17" i="3"/>
  <c r="B115" i="1"/>
  <c r="B15" i="5"/>
  <c r="B6" i="4"/>
  <c r="B16" i="7"/>
  <c r="B68" i="1"/>
  <c r="B45" i="1"/>
  <c r="B22" i="1"/>
  <c r="B63" i="1"/>
  <c r="B133" i="1"/>
  <c r="B107" i="1"/>
  <c r="B24" i="1"/>
  <c r="B4" i="6"/>
  <c r="B69" i="1"/>
  <c r="B131" i="1"/>
  <c r="B60" i="1"/>
  <c r="B18" i="1"/>
  <c r="B102" i="1"/>
  <c r="B105" i="1"/>
  <c r="B98" i="1"/>
  <c r="B61" i="3"/>
  <c r="B53" i="1"/>
  <c r="B104" i="1"/>
  <c r="B15" i="3"/>
  <c r="B36" i="1"/>
  <c r="B48" i="3"/>
  <c r="B12" i="1"/>
  <c r="B58" i="1"/>
  <c r="B80" i="1"/>
  <c r="B16" i="5"/>
  <c r="B75" i="1"/>
  <c r="B136" i="1"/>
  <c r="B81" i="1"/>
  <c r="B29" i="1"/>
  <c r="B41" i="1"/>
  <c r="B14" i="6"/>
  <c r="B50" i="1"/>
  <c r="B70" i="1"/>
  <c r="B7" i="1"/>
  <c r="B132" i="1"/>
  <c r="B60" i="3"/>
  <c r="B25" i="1"/>
  <c r="B100" i="1"/>
  <c r="B95" i="1"/>
  <c r="B61" i="1"/>
  <c r="B46" i="1"/>
  <c r="B86" i="1"/>
  <c r="B88" i="1"/>
  <c r="B124" i="1"/>
  <c r="B12" i="6"/>
  <c r="B11" i="7"/>
  <c r="B83" i="1"/>
  <c r="B5" i="3"/>
  <c r="B99" i="1"/>
  <c r="B129" i="1"/>
  <c r="B116" i="1"/>
  <c r="B19" i="3"/>
  <c r="B11" i="1"/>
  <c r="B35" i="3"/>
  <c r="B21" i="3"/>
  <c r="B38" i="6"/>
  <c r="B28" i="1"/>
  <c r="B78" i="1"/>
  <c r="B6" i="2"/>
  <c r="B56" i="3"/>
  <c r="B135" i="1"/>
  <c r="B46" i="6"/>
  <c r="B130" i="1"/>
  <c r="B94" i="1"/>
  <c r="B41" i="3"/>
  <c r="B20" i="5"/>
  <c r="B35" i="6"/>
  <c r="B45" i="3"/>
  <c r="B134" i="1"/>
  <c r="B50" i="3"/>
  <c r="B32" i="3"/>
  <c r="B72" i="1"/>
  <c r="B12" i="4"/>
  <c r="B42" i="1"/>
  <c r="B11" i="5"/>
  <c r="B63" i="3"/>
  <c r="B36" i="3"/>
  <c r="B8" i="3"/>
  <c r="B7" i="3"/>
  <c r="B30" i="1"/>
  <c r="B7" i="6"/>
  <c r="B44" i="1"/>
  <c r="B45" i="6"/>
  <c r="B39" i="6"/>
  <c r="B66" i="1"/>
  <c r="B59" i="1"/>
  <c r="B21" i="5"/>
  <c r="B29" i="3"/>
  <c r="B74" i="1"/>
  <c r="B51" i="6"/>
  <c r="B43" i="6"/>
  <c r="B39" i="1"/>
  <c r="B15" i="6"/>
  <c r="B49" i="1"/>
  <c r="B37" i="3"/>
  <c r="B25" i="3"/>
  <c r="B103" i="1"/>
  <c r="B43" i="1"/>
  <c r="B33" i="6"/>
  <c r="B12" i="7"/>
  <c r="B18" i="6"/>
  <c r="B73" i="1"/>
  <c r="B111" i="1"/>
  <c r="B46" i="3"/>
  <c r="B8" i="4"/>
  <c r="B22" i="3"/>
  <c r="B90" i="1"/>
  <c r="B13" i="7"/>
  <c r="B8" i="1"/>
  <c r="B19" i="1"/>
  <c r="B122" i="1"/>
  <c r="B64" i="1"/>
  <c r="B16" i="6"/>
  <c r="B32" i="1"/>
  <c r="B27" i="3"/>
  <c r="B31" i="1"/>
  <c r="B44" i="6"/>
  <c r="B24" i="3"/>
  <c r="B37" i="6"/>
  <c r="B9" i="7"/>
  <c r="B76" i="1"/>
  <c r="B24" i="6"/>
  <c r="B52" i="1"/>
  <c r="B54" i="3"/>
  <c r="B117" i="1"/>
  <c r="B38" i="3"/>
  <c r="B93" i="1"/>
  <c r="B125" i="1"/>
  <c r="B26" i="3"/>
  <c r="B5" i="6"/>
  <c r="B10" i="2"/>
  <c r="B91" i="1"/>
  <c r="B21" i="1"/>
  <c r="B53" i="3"/>
  <c r="B120" i="1"/>
  <c r="B119" i="1"/>
  <c r="B44" i="3"/>
  <c r="B85" i="1"/>
  <c r="B23" i="3"/>
  <c r="B40" i="3"/>
  <c r="B6" i="5"/>
  <c r="B12" i="2"/>
  <c r="B14" i="5"/>
  <c r="B7" i="7"/>
  <c r="B36" i="6"/>
  <c r="B9" i="2"/>
  <c r="B9" i="6"/>
  <c r="B26" i="6"/>
  <c r="B7" i="5"/>
  <c r="B18" i="3"/>
  <c r="B41" i="6"/>
  <c r="B30" i="3"/>
  <c r="B14" i="1"/>
  <c r="B57" i="1"/>
  <c r="B6" i="7"/>
  <c r="B109" i="1"/>
  <c r="B128" i="1"/>
  <c r="B84" i="1"/>
  <c r="B11" i="6"/>
  <c r="B16" i="1"/>
  <c r="B123" i="1"/>
  <c r="B20" i="3"/>
  <c r="B52" i="3"/>
  <c r="B65" i="1"/>
  <c r="B20" i="1"/>
  <c r="B15" i="7"/>
  <c r="B121" i="1"/>
  <c r="B8" i="2"/>
  <c r="B27" i="1"/>
  <c r="B47" i="1"/>
  <c r="B108" i="1"/>
  <c r="B8" i="6"/>
  <c r="B10" i="3"/>
  <c r="B42" i="3"/>
  <c r="B49" i="3"/>
  <c r="B28" i="3"/>
  <c r="B11" i="2"/>
  <c r="B17" i="5"/>
  <c r="B14" i="3"/>
  <c r="B7" i="2"/>
  <c r="B9" i="5"/>
  <c r="B113" i="1"/>
  <c r="B9" i="1"/>
  <c r="B26" i="1"/>
  <c r="B6" i="1"/>
  <c r="B20" i="6"/>
  <c r="B77" i="1"/>
  <c r="B114" i="1"/>
  <c r="B10" i="1"/>
  <c r="B82" i="1"/>
  <c r="B35" i="1"/>
  <c r="B40" i="6"/>
  <c r="B87" i="1"/>
  <c r="B40" i="1"/>
  <c r="B19" i="6"/>
  <c r="B34" i="6"/>
  <c r="B8" i="5"/>
  <c r="B49" i="6"/>
  <c r="B11" i="3"/>
  <c r="B17" i="6"/>
  <c r="B37" i="1"/>
  <c r="B54" i="1"/>
  <c r="B89" i="1"/>
  <c r="B101" i="1"/>
  <c r="B55" i="1"/>
  <c r="B33" i="1"/>
  <c r="B118" i="1"/>
  <c r="B106" i="1"/>
  <c r="B12" i="5"/>
  <c r="B31" i="3"/>
  <c r="B50" i="6"/>
  <c r="B39" i="3"/>
  <c r="B22" i="6"/>
  <c r="B6" i="3"/>
  <c r="B14" i="7"/>
  <c r="B43" i="3"/>
  <c r="B16" i="3"/>
  <c r="B6" i="6"/>
  <c r="B71" i="1"/>
  <c r="B34" i="1"/>
  <c r="B48" i="1"/>
  <c r="B110" i="1"/>
  <c r="B8" i="7"/>
  <c r="B97" i="1"/>
  <c r="B33" i="3"/>
  <c r="B23" i="1"/>
  <c r="B112" i="1"/>
  <c r="B62" i="1"/>
  <c r="B126" i="1"/>
  <c r="B96" i="1"/>
  <c r="B56" i="1"/>
  <c r="B38" i="1"/>
  <c r="B15" i="1"/>
  <c r="B10" i="5"/>
  <c r="B34" i="3"/>
  <c r="B21" i="6"/>
  <c r="B25" i="6"/>
  <c r="B17" i="1"/>
  <c r="B19" i="5"/>
  <c r="B32" i="6"/>
  <c r="B92" i="1"/>
  <c r="B18" i="5"/>
  <c r="B67" i="1"/>
  <c r="B13" i="1"/>
  <c r="B7" i="4"/>
  <c r="B10" i="7"/>
  <c r="B47" i="6"/>
  <c r="B62" i="3"/>
  <c r="B79" i="1"/>
  <c r="B28" i="6"/>
  <c r="B127" i="1"/>
  <c r="B27" i="6"/>
  <c r="B13" i="6"/>
  <c r="B51" i="3"/>
  <c r="B55" i="3"/>
  <c r="B42" i="6"/>
</calcChain>
</file>

<file path=xl/sharedStrings.xml><?xml version="1.0" encoding="utf-8"?>
<sst xmlns="http://schemas.openxmlformats.org/spreadsheetml/2006/main" count="8395" uniqueCount="3185">
  <si>
    <t>PUBLIKASI INTERNASIONAL</t>
  </si>
  <si>
    <t>DIISI OLEH PJ MONEV</t>
  </si>
  <si>
    <t xml:space="preserve">PUSAT RISET SAINS DATA DAN INFORMASI </t>
  </si>
  <si>
    <t>PENULIS (SIVITAS PRSDI)</t>
  </si>
  <si>
    <t>JENIS DAKUNG</t>
  </si>
  <si>
    <t>NO</t>
  </si>
  <si>
    <t>Periode Input</t>
  </si>
  <si>
    <t>Periode Stamp</t>
  </si>
  <si>
    <t>Validasi KR</t>
  </si>
  <si>
    <t>JUDUL</t>
  </si>
  <si>
    <t>KELOMPOK RISET</t>
  </si>
  <si>
    <t>1</t>
  </si>
  <si>
    <t>2</t>
  </si>
  <si>
    <t>3</t>
  </si>
  <si>
    <t>4</t>
  </si>
  <si>
    <t>5</t>
  </si>
  <si>
    <t>6</t>
  </si>
  <si>
    <t>7</t>
  </si>
  <si>
    <t>8</t>
  </si>
  <si>
    <t>9</t>
  </si>
  <si>
    <t>10</t>
  </si>
  <si>
    <t>NON SIVITAS PRSDI</t>
  </si>
  <si>
    <t>JENIS</t>
  </si>
  <si>
    <t>STATUS</t>
  </si>
  <si>
    <t>NAMA JURNAL/PROSIDING</t>
  </si>
  <si>
    <t>TERINDEX SCOPUS</t>
  </si>
  <si>
    <t>REPUTASI</t>
  </si>
  <si>
    <t>UPLOAD GDRIVE</t>
  </si>
  <si>
    <t>URL</t>
  </si>
  <si>
    <t>DOI/SCOPUS (Wajib Jika status Published)</t>
  </si>
  <si>
    <t>CATATAN</t>
  </si>
  <si>
    <t>Analysis of alternatives methodology for large-scale information system implementation</t>
  </si>
  <si>
    <t xml:space="preserve">Temu Kembali Informasi (Information Retrieval) </t>
  </si>
  <si>
    <t>Andria Arisal, M. Eng.</t>
  </si>
  <si>
    <t>Bambang Setiadi, Ichwanul Muslim</t>
  </si>
  <si>
    <t>Jurnal</t>
  </si>
  <si>
    <t>Published</t>
  </si>
  <si>
    <t>Bulletin of Electrical Engineering and Informatics</t>
  </si>
  <si>
    <t>Ya</t>
  </si>
  <si>
    <t>Q2</t>
  </si>
  <si>
    <t>PI</t>
  </si>
  <si>
    <r>
      <rPr>
        <u/>
        <sz val="9"/>
        <color rgb="FF1155CC"/>
        <rFont val="Calibri"/>
      </rPr>
      <t>https://www.scopus.com/record/display.uri?eid=2-s2.0-85210507847&amp;origin=resultslist</t>
    </r>
  </si>
  <si>
    <r>
      <rPr>
        <u/>
        <sz val="9"/>
        <color rgb="FF1155CC"/>
        <rFont val="Calibri"/>
      </rPr>
      <t>https://doi.org/10.11591/eei.v14i1.7800</t>
    </r>
  </si>
  <si>
    <t>Sudah diklaim 2024</t>
  </si>
  <si>
    <t>Generate fuzzy string-matching to build self attention on Indonesian medical-chatbot</t>
  </si>
  <si>
    <t>https://doi.org/10.11591/ijece.v14i1.pp819-829</t>
  </si>
  <si>
    <t>PRSDI</t>
  </si>
  <si>
    <t>Triwulan I</t>
  </si>
  <si>
    <t>Analysis of TRISO failure fraction in PeLUIt reactor with increasing power</t>
  </si>
  <si>
    <t>Rekayasa Pengetahuan dan Data (Knowledge and Data Engineering)</t>
  </si>
  <si>
    <t>Dr. Arya Adhyaksa Waskita, M.Si</t>
  </si>
  <si>
    <t>Fitria Miftasani, Steven Wijaya, Nina Widiawati, Anni Nuril Hidayati, Dany Mulyana, Hakimul Wafda, Anik Purwaningsih, Fajar Al Afghani, Muhammad Ilham Bayquni, Topan Setiadipura</t>
  </si>
  <si>
    <t>Nuclear Engineering and Design</t>
  </si>
  <si>
    <r>
      <rPr>
        <u/>
        <sz val="9"/>
        <color rgb="FF1155CC"/>
        <rFont val="Calibri"/>
      </rPr>
      <t>https://www.scopus.com/record/display.uri?eid=2-s2.0-85214489294&amp;origin=resultslist</t>
    </r>
  </si>
  <si>
    <r>
      <rPr>
        <u/>
        <sz val="9"/>
        <color rgb="FF1155CC"/>
        <rFont val="Calibri"/>
      </rPr>
      <t>https://doi.org/10.1016/j.nucengdes.2025.113842</t>
    </r>
  </si>
  <si>
    <t>UAV-assisted heavy metal tracking in oil palm plantations: present applications and future prospects</t>
  </si>
  <si>
    <t>https://doi.org/10.1080/2150704X.2023.2299268</t>
  </si>
  <si>
    <t>A Literature Review of Virtual Reality Exergames for Older Adults: Enhancing Physical, Cognitive, and Social Health</t>
  </si>
  <si>
    <t>Interaksi Manusia-Komputer dan Visualisasi (Human Computer Interaction and Visualisation)</t>
  </si>
  <si>
    <t>M. Yudhi Rezaldi, Ph.D</t>
  </si>
  <si>
    <t>Xiacheng Song, Nazlena Mohamad Ali, Mohamad Hidir Mhd Salim</t>
  </si>
  <si>
    <t>Applied Sciences (Switzerland)</t>
  </si>
  <si>
    <r>
      <rPr>
        <u/>
        <sz val="9"/>
        <color rgb="FF1155CC"/>
        <rFont val="Calibri"/>
      </rPr>
      <t>https://www.scopus.com/record/display.uri?eid=2-s2.0-85214446910&amp;origin=resultslist</t>
    </r>
  </si>
  <si>
    <r>
      <rPr>
        <u/>
        <sz val="9"/>
        <color rgb="FF1155CC"/>
        <rFont val="Calibri"/>
      </rPr>
      <t>https://doi.org/10.3390/app15010351</t>
    </r>
  </si>
  <si>
    <t>Decision support system for fish quarantine measures in Indonesia</t>
  </si>
  <si>
    <t>https://doi.org/10.1108/VJIKMS-08-2021-0144</t>
  </si>
  <si>
    <t>Clinical indicators for predicting physical activity levels in long-term COVID-19: Insights from physical exertion and oxygen saturation</t>
  </si>
  <si>
    <t>Pemerintahan Digital (Digital Government)</t>
  </si>
  <si>
    <t>Rezzy Eko Caraka ,S.Si.,M.Sc(RES).,PhD.</t>
  </si>
  <si>
    <t>Triana Karnadipa, Aditya Denny Pratama, Riza Pahlawi, Mita Noviana, Chye Wah Yu, Yi Wan</t>
  </si>
  <si>
    <t>Journal of Bodywork and Movement Therapies</t>
  </si>
  <si>
    <r>
      <rPr>
        <u/>
        <sz val="9"/>
        <color rgb="FF1155CC"/>
        <rFont val="Calibri"/>
      </rPr>
      <t>https://www.scopus.com/record/display.uri?eid=2-s2.0-85212560912&amp;origin=resultslist</t>
    </r>
  </si>
  <si>
    <r>
      <rPr>
        <u/>
        <sz val="9"/>
        <color rgb="FF1155CC"/>
        <rFont val="Calibri"/>
      </rPr>
      <t>https://doi.org/10.1016/j.jbmt.2024.11.031</t>
    </r>
  </si>
  <si>
    <t>Investigating Adolescent Vulnerability in Indonesia: A Socio-Remote Sensing Big Data Analytics Study Using Night Light Data</t>
  </si>
  <si>
    <t>https://doi.org/10.1109/ACCESS.2024.3355963</t>
  </si>
  <si>
    <t>Improved LSTM hyperparameters alongside sentiment walk-forward validation for time series prediction</t>
  </si>
  <si>
    <t>Eko Putra Wahyuddin, Wahyuddin E.P., Robert Kurniawan, Wahyu Caesarendra, 
 Caesarendra W., Prana Ugiana Gio, Bens Pardamean</t>
  </si>
  <si>
    <t>Journal of Open Innovation: Technology, Market, and Complexity</t>
  </si>
  <si>
    <t>Q1</t>
  </si>
  <si>
    <r>
      <rPr>
        <u/>
        <sz val="9"/>
        <color rgb="FF1155CC"/>
        <rFont val="Calibri"/>
      </rPr>
      <t>https://www.scopus.com/record/display.uri?eid=2-s2.0-85212942087&amp;origin=resultslist</t>
    </r>
  </si>
  <si>
    <r>
      <rPr>
        <u/>
        <sz val="9"/>
        <color rgb="FF1155CC"/>
        <rFont val="Calibri"/>
      </rPr>
      <t>https://doi.org/10.1016/j.joitmc.2024.100458</t>
    </r>
  </si>
  <si>
    <t>Implementing night light data as auxiliary variable of small area estimation</t>
  </si>
  <si>
    <t>https://doi.org/10.1080/03610926.2022.2077963</t>
  </si>
  <si>
    <t>Bibliometric analysis of model vehicle routing problem in logistics delivery</t>
  </si>
  <si>
    <t>Muhammad Khahfi Zuhanda, Hartono, Samsul Abdul Rahman Sidik Hasibuan, Dahlan Abdullah, Prana Ugiana Gio</t>
  </si>
  <si>
    <t>Indonesian Journal of Electrical Engineering and Computer Science</t>
  </si>
  <si>
    <t>Q3</t>
  </si>
  <si>
    <r>
      <rPr>
        <u/>
        <sz val="9"/>
        <color rgb="FF1155CC"/>
        <rFont val="Calibri"/>
      </rPr>
      <t>https://www.scopus.com/record/display.uri?eid=2-s2.0-85208030650&amp;origin=resultslist</t>
    </r>
  </si>
  <si>
    <r>
      <rPr>
        <u/>
        <sz val="9"/>
        <color rgb="FF1155CC"/>
        <rFont val="Calibri"/>
      </rPr>
      <t>https://doi.org/10.11591/ijeecs.v37.i1.pp530-539</t>
    </r>
  </si>
  <si>
    <t>Emphasizing Data Quality for the Identification of Chili Varieties in the Context of Smart Agriculture</t>
  </si>
  <si>
    <t>https://doi.org/10.28945/5257</t>
  </si>
  <si>
    <t>The development of a Web-based in-text citation analysis tool</t>
  </si>
  <si>
    <t>Dr. Ambar Yoganingrum</t>
  </si>
  <si>
    <t>Hayuning Titi Karsanti S. Kom., M.Eng</t>
  </si>
  <si>
    <t>Yaniasih</t>
  </si>
  <si>
    <t>Ira Maryati, Gita Citra Puspita, Ekawati Marlina</t>
  </si>
  <si>
    <t>Emerald Publisher</t>
  </si>
  <si>
    <r>
      <rPr>
        <u/>
        <sz val="9"/>
        <color rgb="FF1155CC"/>
        <rFont val="Calibri"/>
      </rPr>
      <t>https://www.emerald.com/insight/content/doi/10.1108/lhtn-12-2024-0208/full/html</t>
    </r>
  </si>
  <si>
    <t>https://doi.org/10.1108/LHTN-12-2024-0208</t>
  </si>
  <si>
    <t>Improving Research Support Services in Indonesian Academic Digital Libraries: A Recommendation for Business Process Reengineering Implementation Strategies</t>
  </si>
  <si>
    <t>https://doi.org/10.5860/llm.v37i3.7559</t>
  </si>
  <si>
    <t>The Digital Twin City in Enhancing Flood Evacuation Systems: Future Opportunities and Challenges</t>
  </si>
  <si>
    <t>Abdurrakhman Prasetyadi, M.P</t>
  </si>
  <si>
    <t>Prof. Dr. Ana Hadiana, M.Eng.Sc.</t>
  </si>
  <si>
    <t>Ary Setijadi Prihatmanto, Ridwan Sutriadi</t>
  </si>
  <si>
    <t>IEEE Access</t>
  </si>
  <si>
    <r>
      <rPr>
        <u/>
        <sz val="9"/>
        <color rgb="FF1155CC"/>
        <rFont val="Calibri"/>
      </rPr>
      <t>https://ieeexplore.ieee.org/document/10876129</t>
    </r>
  </si>
  <si>
    <r>
      <rPr>
        <u/>
        <sz val="9"/>
        <color rgb="FF1155CC"/>
        <rFont val="Calibri"/>
      </rPr>
      <t>https://doi.org/10.1109/ACCESS.2025.3539346</t>
    </r>
  </si>
  <si>
    <t>The Evaluation of Fundamental Safety Function and Defence in Depth of AP1000 Using Probabilistic Analysis</t>
  </si>
  <si>
    <t>https://doi.org/10.1063/5.0192928</t>
  </si>
  <si>
    <t>Bibliometrics for analysing business opportunities and players in the pharmaceuticals fields</t>
  </si>
  <si>
    <t>Dr. Eng. Budi Nugroho</t>
  </si>
  <si>
    <t>Siti Kania Kushadiani, S.T., M.Kom.</t>
  </si>
  <si>
    <t>Yaniasih, Koharudin</t>
  </si>
  <si>
    <t>International Journal of Technological Learning, Innovation and Development (IJTLID)</t>
  </si>
  <si>
    <r>
      <rPr>
        <u/>
        <sz val="9"/>
        <color rgb="FF1155CC"/>
        <rFont val="Calibri"/>
      </rPr>
      <t>https://www.inderscienceonline.com/doi/abs/10.1504/IJTLID.2025.144531</t>
    </r>
  </si>
  <si>
    <r>
      <rPr>
        <u/>
        <sz val="9"/>
        <color rgb="FF1155CC"/>
        <rFont val="Calibri"/>
      </rPr>
      <t>https://doi.org/10.1504/IJTLID.2025.144531</t>
    </r>
  </si>
  <si>
    <t>Thematic evolution of smart learning environments, insights and directions from a 20-year research milestones: A bibliometric analysis</t>
  </si>
  <si>
    <t>https://doi.org/10.1016/j.heliyon.2024.e26191</t>
  </si>
  <si>
    <t>☑️</t>
  </si>
  <si>
    <t>Ira Maryati, Yaniasih Yaniasih, Gita Citra Puspita, Ekawati Marlina</t>
  </si>
  <si>
    <r>
      <rPr>
        <u/>
        <sz val="9"/>
        <color rgb="FF1155CC"/>
        <rFont val="Calibri"/>
      </rPr>
      <t>https://www.emerald.com/insight/content/doi/10.1108/lhtn-12-2024-0208/full/html</t>
    </r>
  </si>
  <si>
    <t>Fine-Tuning of Predictive Models CNN-LSTM and CONV-LSTM for Nowcasting PM2.5Level</t>
  </si>
  <si>
    <t>https://doi.org/10.1109/ACCESS.2024.3368034</t>
  </si>
  <si>
    <r>
      <rPr>
        <u/>
        <sz val="9"/>
        <color rgb="FF1155CC"/>
        <rFont val="Calibri"/>
      </rPr>
      <t>https://www.inderscienceonline.com/doi/abs/10.1504/IJTLID.2025.144531</t>
    </r>
  </si>
  <si>
    <t>https://doi.org/10.1504/IJTLID.2025.144531</t>
  </si>
  <si>
    <t>Business Predictive Analytics of Smallholder Indonesian Maize using Vector Error Correction</t>
  </si>
  <si>
    <t>Hyperparameter Tuning on Machine Learning-Based Landslide Susceptibility Mapping (Case study: Palu City and Its Surrounding areas)</t>
  </si>
  <si>
    <t>Andri Fachrur Rozie, M. Eng.</t>
  </si>
  <si>
    <t>Sukristiyanti, Pamela, Moch Hilmi Zaenal Putra, Yukni Arifianti, Hilda Lestiana, Tri Muji Susantoro, Sumaryono, Yohandi Kristiawan, Iqbal Eras Putra</t>
  </si>
  <si>
    <t>Indonesian Journal on Geoscience</t>
  </si>
  <si>
    <t>https://www.scopus.com/record/display.uri?eid=2-s2.0-85219687867&amp;origin=recordpage</t>
  </si>
  <si>
    <t>https://doi.org/10.17014/ijog.12.1.43-53</t>
  </si>
  <si>
    <t>Empowering deaf communication: a novel LSTM model for recognizing Indonesian sign language</t>
  </si>
  <si>
    <t>https://doi.org/10.1007/s10209-024-01095-1</t>
  </si>
  <si>
    <t>Remote Sensing Applications in Biodiversity Assessment and Conservation of the Sundaland Biodiversity Hotspot</t>
  </si>
  <si>
    <t>Wawan Hendriawan Nur, S.Si., M.T.</t>
  </si>
  <si>
    <t>Aang Gunawan S, S.Kom., M.T.</t>
  </si>
  <si>
    <t>Yuliana Susilowati, Waluyo Eko Cahyono, Ayubella Anggraini Leksono, Dewi Puspitasari Leksono, Putri Larasati Leksono, Redempta Bungan Krisetiawan Putri, Yugo Kumoro, Ibnu Maryanto</t>
  </si>
  <si>
    <t>Bag Buku</t>
  </si>
  <si>
    <t>Accepted</t>
  </si>
  <si>
    <t>Apple Academic Press</t>
  </si>
  <si>
    <t>Determinants of knowledge sharing among civil servants and the moderating effects of leadership styles</t>
  </si>
  <si>
    <t>https://doi.org/10.1177/02663821231216687</t>
  </si>
  <si>
    <t>The Examining of 360∘ Media That Support Learning in Field of Education</t>
  </si>
  <si>
    <t>Gema Ari Prahara</t>
  </si>
  <si>
    <t>Prosiding</t>
  </si>
  <si>
    <t>KnE Social Sciences</t>
  </si>
  <si>
    <t>https://kneopen.com/KnE-Social/article/view/17900/</t>
  </si>
  <si>
    <t>https://doi.org/10.18502/kss.v10i3.17900</t>
  </si>
  <si>
    <t>The development land utilization and cover of the Jambi district are examined and forecasted using Google Earth Engine and CNN1D</t>
  </si>
  <si>
    <t>https://doi.org/10.1016/j.rsase.2024.101175</t>
  </si>
  <si>
    <t>How could Virtual Reality Inclusively Improve Disaster Awareness to Tsunami?</t>
  </si>
  <si>
    <t>Gusti Ayu Ketut Surtiari, Syarifah Aini Dalimunthe, Abdul Fikri
Angga Reksa, Taro Arikawa and Diah Lenggogeni</t>
  </si>
  <si>
    <t>AIWEST 2024</t>
  </si>
  <si>
    <t>https://eprints.uad.ac.id/80093/1/BOOK%20OF%20ABSTRACT-AIWEST%20DR%202024.pdf</t>
  </si>
  <si>
    <t>Exploring usage-based and usability metrics for user experience for sus- tainable e-learning systems</t>
  </si>
  <si>
    <t>https://doi.org/10.1051/e3sconf/202450102003</t>
  </si>
  <si>
    <t>Design and Construction of an Automatic Dispenser for the Visually Impaired Using Microcontroller Technology</t>
  </si>
  <si>
    <t>Arafat Febriandirza, Ph.D</t>
  </si>
  <si>
    <t>Abdiel Alpriyan Gempa Alamsyah Sahurib</t>
  </si>
  <si>
    <t>ICMAT 2024</t>
  </si>
  <si>
    <t>https://www.scopus.com/record/display.uri?eid=2-s2.0-85215504172&amp;origin=recordpage</t>
  </si>
  <si>
    <t>https://doi.org/10.3233/ATDE241220</t>
  </si>
  <si>
    <t>Konferensi ICMAT pada akhir tahun 2024 belum diklaim dan indeks scopus muncul di tahun 2025</t>
  </si>
  <si>
    <t>https://ebooks.iospress.nl/doi/10.3233/ATDE241220</t>
  </si>
  <si>
    <t>Plant-Disease Relation Model through BERT-BiLSTM-CRF Approach</t>
  </si>
  <si>
    <t>https://doi.org/10.52549/ijeei.v12i1.5154</t>
  </si>
  <si>
    <t>Smart Home Innovation: IOT-Based Lighting Control System Design</t>
  </si>
  <si>
    <t>Christine Cecylia Munthe, S.Kom.</t>
  </si>
  <si>
    <t>https://www.scopus.com/record/display.uri?eid=2-s2.0-85215511644&amp;origin=recordpage</t>
  </si>
  <si>
    <t>https://doi.org/10.3233/ATDE241310</t>
  </si>
  <si>
    <t>https://ebooks.iospress.nl/doi/10.3233/ATDE241310</t>
  </si>
  <si>
    <t>Unveiling Sentiments: Social Media Analytics on Indonesian Startup and Fintech Discourse</t>
  </si>
  <si>
    <t>https://doi.org/10.1109/ICETSIS61505.2024.10459378</t>
  </si>
  <si>
    <t>April</t>
  </si>
  <si>
    <t>Exploring Features and Products in E-Commerce on Consumers Behavior using Cognitive Affective</t>
  </si>
  <si>
    <t>PAHRUDIN PAHRUDIN, LI-WEI LIU1, PRANA UGIANA GIO, NUR ANITA YUNIKAWATI, BENS PARDAMEAN</t>
  </si>
  <si>
    <t>https://ieeexplore.ieee.org/document/10934986</t>
  </si>
  <si>
    <t>https://doi.org/10.1109/ACCESS.2025.3553192</t>
  </si>
  <si>
    <t>Developing a Seismic Land Capability Framework for Earthquake-resistant Housing Based on GIS Approach: A Case of Sukabumi District</t>
  </si>
  <si>
    <t>https://doi.org/10.21163/GT_2024.191.12</t>
  </si>
  <si>
    <t>Triwulan IV</t>
  </si>
  <si>
    <t>Comparative Performance Analysis of CNN-Architectures on Coffee-bean Roast Classification</t>
  </si>
  <si>
    <t>Irfan Asfy Fakhry Anto S.Kom., M.T</t>
  </si>
  <si>
    <t xml:space="preserve"> Jony Winaryo Wibowo, Taufik Ibnu Salim, Aris Munandar</t>
  </si>
  <si>
    <t>Telecommunication Computing Electronics and
Control</t>
  </si>
  <si>
    <t>https://drive.google.com/file/d/1yjgKM3kYTg0HSk339-r_Yg230KeUajb-/view?usp=drive_link</t>
  </si>
  <si>
    <t>https://doi.org/10.12928/TELKOMNIKA.v23i6.27090</t>
  </si>
  <si>
    <t>BERTopic Analysis of Indonesian Biodiversity Policy on Social Media</t>
  </si>
  <si>
    <t>https://doi.org/10.37936/ecti-cit.2024173.255058</t>
  </si>
  <si>
    <t>Leveraging YOLOv8 for Real-Time Parking Space Detection</t>
  </si>
  <si>
    <t>Dr. Esa Prakasa, MT</t>
  </si>
  <si>
    <t>Dr. Eng. Ir Yuyun, S.Kom., M.T</t>
  </si>
  <si>
    <t>Mahabintang Pallawabonang, Muh. Adnan, Sitti Zuhriyah, Amirul Mukmin</t>
  </si>
  <si>
    <t>2024 Beyond Technology Summit on Informatics International Conference (BTS-I2C)</t>
  </si>
  <si>
    <t>https://ieeexplore.ieee.org/abstract/document/10942123</t>
  </si>
  <si>
    <t>https://doi.org/10.1109/BTS-I2C63534.2024.10942123</t>
  </si>
  <si>
    <t xml:space="preserve">A Systematic Literature Review on University Collaboration in Open Innovation: Trends, Technologies, and Frameworks </t>
  </si>
  <si>
    <t>https://doi.org/10.34190/ejkm.22.1.3407</t>
  </si>
  <si>
    <t>Leveraging the Pre-Trained Whisper Model and Levenshtein Distance for Audio Buginesse Transcription</t>
  </si>
  <si>
    <t>Pengolahan Bahasa Alami (Natural Language Processing)</t>
  </si>
  <si>
    <t>Amirul Mukmin, Muh. Adnan,Abdul Jalil, Mahabintang Pallawabonang</t>
  </si>
  <si>
    <t>https://ieeexplore.ieee.org/abstract/document/10942151</t>
  </si>
  <si>
    <t>https://doi.org/10.1109/BTS-I2C63534.2024.10942151</t>
  </si>
  <si>
    <t>Unraveling Knowledge-based Chatbot Adoption Intention in Enhancing Species Literacy</t>
  </si>
  <si>
    <t>https://doi.org/10.28945/5280</t>
  </si>
  <si>
    <t>Grammar Error Correction in Indonesian Sports News: Comparing the Performance of Pre-Trained T5 and BART Models</t>
  </si>
  <si>
    <t xml:space="preserve">Muh. Adnan, Najirah Umar, Nasrullah, Adi Sadli, A. Edeth Fuari Anatasya, Hazriani, Mashur Razak
</t>
  </si>
  <si>
    <t>https://ieeexplore.ieee.org/abstract/document/10941994</t>
  </si>
  <si>
    <t>https://doi.org/10.1109/BTS-I2C63534.2024.10941994</t>
  </si>
  <si>
    <t>Transactional Business Process Redesign of Procurement Planning System using Heuristic Method</t>
  </si>
  <si>
    <t>https://doi.org/10.1109/ICoSEIT60086.2024.10497473</t>
  </si>
  <si>
    <t>Supply chain pattern of blue swimming crabs in the north coast of Java, Indonesia</t>
  </si>
  <si>
    <t>https://doi.org/10.5267/j.uscm.2024.5.007</t>
  </si>
  <si>
    <t>Technology readiness level assessment of system information zoonosis and emerging infectious disease</t>
  </si>
  <si>
    <t>https://doi.org/10.1063/5.0208106</t>
  </si>
  <si>
    <t>Measurement of Si Pixel Sensor Alignment for the ALICE ITS Detector</t>
  </si>
  <si>
    <t>https://doi.org/10.1088/1361-6501/ad4fae</t>
  </si>
  <si>
    <t>Internet Service Assessment in Lombok Barat Regency</t>
  </si>
  <si>
    <t>Dra. Andrari Grahitandaru, M.Sc.</t>
  </si>
  <si>
    <t>Sumirah</t>
  </si>
  <si>
    <t>INTERNATIONAL CONFERENCE ON INFORMATION TECHNOLOGY SYSTEMS AND INNOVATION (ICITSI 2024)</t>
  </si>
  <si>
    <t>https://ieeexplore.ieee.org/abstract/document/10929191</t>
  </si>
  <si>
    <t>https://doi.org/10.1109/ICITSI65188.2024.10929191</t>
  </si>
  <si>
    <t>ICITSI 2024 dilaksanakan pada bulan Desember 2024, dan baru terbit di IEEE Xplore pada bulan Maret 2025. Paper belum kami klaim sebagai capaian di tahun 2024.</t>
  </si>
  <si>
    <t>An Analysis of the Open Government Data Ecosystem in Tangerang Regency to Promote Data Sharing Initiatives</t>
  </si>
  <si>
    <t>https://doi.org/10.1109/IC3INA64086.2024.10732524</t>
  </si>
  <si>
    <t>On the Use of Remote Sensing Data for Monitoring NDVI Anomalies and Correlations with Rainfall Anomalies in West Java Province, Indonesia: Addressing Sustainable Development Goal 2</t>
  </si>
  <si>
    <t>Hengki Muradi, M.Si.</t>
  </si>
  <si>
    <t>Orbita Roswintiarti, Novie Indriasari, Fadilah Halim Rasyidi, Inggit Lolita Sari, Kustiyo, Babag Purbantoro, Ansy Indrajad, Akhmad Ubehi</t>
  </si>
  <si>
    <t xml:space="preserve">Remote Sensing in Earth Systems Sciences </t>
  </si>
  <si>
    <r>
      <rPr>
        <u/>
        <sz val="9"/>
        <color theme="1"/>
        <rFont val="Calibri"/>
      </rPr>
      <t xml:space="preserve"> </t>
    </r>
    <r>
      <rPr>
        <u/>
        <sz val="9"/>
        <color rgb="FF1155CC"/>
        <rFont val="Calibri"/>
      </rPr>
      <t>https://link.springer.com/content/pdf/10.1007/s41976-025-00222-7.pdf</t>
    </r>
  </si>
  <si>
    <t>https://doi.org/10.1007/s41976-025-00222-7</t>
  </si>
  <si>
    <t>A qualitative exploration of challenges and factors in research data management across Indonesian research institutes</t>
  </si>
  <si>
    <t>https://doi.org/10.1177/09610006241252662</t>
  </si>
  <si>
    <t>Community preparedness for earthquake disasters: A preliminary assessment of awareness and disaster infrastructure response in Cianjur, West Java-Indonesia</t>
  </si>
  <si>
    <t>Prabu Kresna Putra, S.T., M.T.I.</t>
  </si>
  <si>
    <t>Dewayany Sutrisno, Yatin Suwarno, Ati Rahadiati,  Muhammad Iqbal Habibie, Hari Prayogi, Amien Widodo, Fathia Zulfati Sabrina, Ahmad Kosasih</t>
  </si>
  <si>
    <t>F1000Research</t>
  </si>
  <si>
    <t>https://www.scopus.com/record/display.uri?eid=2-s2.0-86000769038&amp;origin=recordpage</t>
  </si>
  <si>
    <t>https://doi.org/10.12688/f1000research.143577.3</t>
  </si>
  <si>
    <t>Air Quality Monitoring in Indonesia</t>
  </si>
  <si>
    <t>https://doi.org/10.1109/AGERS61027.2023.10490762</t>
  </si>
  <si>
    <t>The recognition and protection of customary law communities in maintaining culture as a tourist attraction in Sembalun village East Lombok</t>
  </si>
  <si>
    <t>Komang Mahawira, Ali Muhtasom, Amirosa Ria Satiadji, Achlan Fahlevi Royanow</t>
  </si>
  <si>
    <t>International Journal of Innovative Research and Scientific Studies</t>
  </si>
  <si>
    <t>https://www.scopus.com/record/display.uri?eid=2-s2.0-105000200852&amp;origin=recordpage</t>
  </si>
  <si>
    <t>https://doi.org/10.53894/ijirss.v8i2.5289</t>
  </si>
  <si>
    <t>Exploring Regional Dynamics Through Social Media Conversations and Socio-Economic Surveys: Uncovering Perspectives on the Cianjur Earthquake</t>
  </si>
  <si>
    <t>https://doi.org/10.1109/AGERS61027.2023.10490691</t>
  </si>
  <si>
    <t>Mei</t>
  </si>
  <si>
    <t>Strategies to encourage data owners to self-archive data sets</t>
  </si>
  <si>
    <t xml:space="preserve">Danarsiwi Tri Lastiwi,  Ekawati Marlina, Seno Yudhanto,  Dhian Kusumawardhani </t>
  </si>
  <si>
    <t>Library Hi Tech News (LHTN)</t>
  </si>
  <si>
    <t>https://www.emerald.com/insight/content/doi/10.1108/lhtn-03-2025-0044/full/html?skipTracking=true</t>
  </si>
  <si>
    <t>https://doi.org/10.1108/LHTN-03-2025-0044</t>
  </si>
  <si>
    <t>The Role of Data Governance in a High-Level Approach of Data Migration to Open Data</t>
  </si>
  <si>
    <t xml:space="preserve">https://doi.org/10.1177/02663821241264702 </t>
  </si>
  <si>
    <t>Chili leaf segmentation using meta-learning for improved model accuracy</t>
  </si>
  <si>
    <t>Dr. Wiwin Suwarningsih, M.T.</t>
  </si>
  <si>
    <t>Dr. Purnomo Husnul Khotimah, M.T</t>
  </si>
  <si>
    <t>Ir. Dianadewi Riswantini, M. Sc., M.B.A.</t>
  </si>
  <si>
    <t>Ekasari Nugraheni, M.T.</t>
  </si>
  <si>
    <t>Devi Munandar, S.Kom., M.Mat.</t>
  </si>
  <si>
    <t>Rinda Kirana, Noor Roufiq Ahmadi</t>
  </si>
  <si>
    <t>Bulletin of Electrical Engineering and Informatics (BEEI)</t>
  </si>
  <si>
    <t>https://beei.org/index.php/EEI/article/view/7929/4237</t>
  </si>
  <si>
    <t>https://doi.org/10.11591/eei.v14i3.7929</t>
  </si>
  <si>
    <t>A Grouper Fish Mortality Prediction Model Using Transfer Learning Approach</t>
  </si>
  <si>
    <t>https://doi.org/10.1109/AIMS61812.2024.10513177</t>
  </si>
  <si>
    <t>Triwulan II</t>
  </si>
  <si>
    <t>Virtual reality as a pandemic solution: adapting education, working, tourism, and industrial in COVID-19 situation</t>
  </si>
  <si>
    <t>Rio Nurtantyana, S.Pd., M.Pd., M.Sc., Ph.D.</t>
  </si>
  <si>
    <t>Aria Bisri, S.Kom. M.T.</t>
  </si>
  <si>
    <t>Ridwan Suhud, S.Kom., M.T.</t>
  </si>
  <si>
    <t>Rumadi, S.T., M.T.</t>
  </si>
  <si>
    <t>Nazlena Mohamad Ali, Cahyo Trianggoro</t>
  </si>
  <si>
    <t>The Prediction of Future Pandemic (Elsevier)</t>
  </si>
  <si>
    <t>https://www.sciencedirect.com/science/article/abs/pii/B9780443338717000179</t>
  </si>
  <si>
    <t>https://doi.org/10.1016/B978-0-443-33871-7.00017-9</t>
  </si>
  <si>
    <t>Requirements Engineering of Knowledge Management System for Smallholder Dairy Farmers</t>
  </si>
  <si>
    <t>https://doi.org/10.28991/HEF-2024-05-02-02</t>
  </si>
  <si>
    <t>Automated Detection of Helmet Wearing with YOLOv8 and Real-Time Monitoring for Factory Safety</t>
  </si>
  <si>
    <t>Ratna Santi, Ashwin Sasongko Sastrosubroto</t>
  </si>
  <si>
    <t xml:space="preserve">Interdisciplinary Journal of Information, Knowledge, and Management </t>
  </si>
  <si>
    <t>https://www.informingscience.org/Publications/5499</t>
  </si>
  <si>
    <t>https://doi.org/10.28945/5499</t>
  </si>
  <si>
    <t xml:space="preserve">Bibliometrics for Analysing Business Opportunities and Players in the Pharmaceuticals Fields
</t>
  </si>
  <si>
    <t>https://doi.org/10.1504/IJTLID.2025.10065144</t>
  </si>
  <si>
    <t>Analysis of Factors Influencing Digital Transformation of Tourism Villages: Evidence from Bogor, Indonesia</t>
  </si>
  <si>
    <t>Dr. Foni Agus Setiawan, M.Kom.</t>
  </si>
  <si>
    <t>Isbandriyati Muthmainnah, Iis Anisa Yulia, Aditya Sugih Setiawan, Immas Nurhayati, Bambang Hengky Rainanto, Sri Harini, Endri</t>
  </si>
  <si>
    <t>Tourism and Hospitality (MDPI)</t>
  </si>
  <si>
    <t>https://www.mdpi.com/2673-5768/6/2/57</t>
  </si>
  <si>
    <t>https://doi.org/10.3390/tourhosp6020057</t>
  </si>
  <si>
    <t>A Lexical and Post-lexical Prosodic Documentation of Embaloh Language</t>
  </si>
  <si>
    <t>https://doi.org/10.33736/ils.6025.2024</t>
  </si>
  <si>
    <t>Analyzing Halal Concerns on Korean Food Using Text-Mining: Perspectives from Indonesian Social Media Users</t>
  </si>
  <si>
    <t>International Journal on Food System Dynamics</t>
  </si>
  <si>
    <t>https://brill.com/view/journals/fsd/aop/article-10.1163-18696945-bja00006/article-10.1163-18696945-bja00006.xml</t>
  </si>
  <si>
    <t>https://doi.org/10.1163/18696945-bja00006</t>
  </si>
  <si>
    <t>Feature Selection and Performance Evaluation of Buzzer Classification Model</t>
  </si>
  <si>
    <t>https://doi.org/10.25077/josi.v23.n1.p1-14.2024</t>
  </si>
  <si>
    <t>The Development of A Digital Transformation Model for Higher Education Using the Object-Process Methodology</t>
  </si>
  <si>
    <t>Atina Putri, Allya Paramita Koesoema, Yusep Rosmansyah</t>
  </si>
  <si>
    <t>International Conference on Computer, Control, Informatics and its Applications, IC3INA</t>
  </si>
  <si>
    <t>https://www.scopus.com/record/display.uri?eid=2-s2.0-85211933869&amp;origin=recordpage</t>
  </si>
  <si>
    <t>https://doi.org/10.1109/IC3INA64086.2024.10732551</t>
  </si>
  <si>
    <t>IC3INA tahun 2024 akhir, belum diklaim</t>
  </si>
  <si>
    <t>Rice Phenology Classification Model Based on Sentinel-1 Using Machine 2 Learning Method on Google Earth Engine</t>
  </si>
  <si>
    <t>https://doi.org/10.1080/07038992.2024.2368036</t>
  </si>
  <si>
    <t>Ihoya: knowledge management system based on community using User-Centered Design (UCD) method</t>
  </si>
  <si>
    <t>Muhammad Rafi, Sulistyo Puspitodjati, Niken Fitria Apriani, Shidiq Al Hakim, Al Hafiz Akbar Maulana Siagian, Slamet Riyanto, Rodiah</t>
  </si>
  <si>
    <t>International Journal of Information Technology (Singapore)</t>
  </si>
  <si>
    <t>https://www.scopus.com/record/display.uri?eid=2-s2.0-85211901572&amp;origin=recordpage</t>
  </si>
  <si>
    <t>https://doi.org/10.1007/s41870-024-02344-5</t>
  </si>
  <si>
    <t>Performance of Weather Research Forecasting Model for Seasonal Prediction of Precipitation over Indonesian Maritime Continent</t>
  </si>
  <si>
    <t>https://doi.org/10.1016/j.kjs.2024.100293</t>
  </si>
  <si>
    <t>Development of an AI-Driven System for Scientific Article Context Extraction and Knowledge Graph Visualization</t>
  </si>
  <si>
    <t>Abdul Rasyid Himawan, Uun Hariyanti, Tri Afirianto</t>
  </si>
  <si>
    <t>Lecture Notes in Educational Technology</t>
  </si>
  <si>
    <t>https://drive.google.com/file/d/1Mg0DMI-eF61PyJguKFwRR2XhvxztsEGY/view?usp=drive_link</t>
  </si>
  <si>
    <t>Accepted, belum published; Output untuk PKS dengan UB tahun 2025</t>
  </si>
  <si>
    <t>Skin Microbial Composition and Genetic Mutation Analysis in Precision Medicine for Epidermolysis Bullosa</t>
  </si>
  <si>
    <t>https://doi.org/10.2174/0113894501290512240327091531</t>
  </si>
  <si>
    <t>Oktober</t>
  </si>
  <si>
    <t>The development of Contextual Chat Interactions with Retrieval-Augmented Generation (RAG) System for Facilitating Learning Hadith</t>
  </si>
  <si>
    <t>Yudi Priyadi, Eko Darwiyanto</t>
  </si>
  <si>
    <t>Q4</t>
  </si>
  <si>
    <t>https://ijeecs.iaescore.com/index.php/IJEECS/article/view/42679</t>
  </si>
  <si>
    <t>http://doi.org/10.11591/ijeecs.v39.i2.pp987-995</t>
  </si>
  <si>
    <t>Motivations and Potential Solutions in Developing a Knowledge Management System for Organization at Higher Education: A Systematic Literature Review</t>
  </si>
  <si>
    <t>https://doi.org/10.20473/jisebi.10.2.270-289</t>
  </si>
  <si>
    <t>Triwulan III</t>
  </si>
  <si>
    <t>Rural transformation research: Current state, dynamics, and future directions</t>
  </si>
  <si>
    <t>Galuh Syahbana Indraprahasta (BRIN); Arief Rahman, Andi Y. Saputra, Vely Brian (IPB)</t>
  </si>
  <si>
    <t>AREA (UK)</t>
  </si>
  <si>
    <t>https://rgs-ibg.onlinelibrary.wiley.com/doi/10.1111/area.70049</t>
  </si>
  <si>
    <t>https://doi.org/10.1111/area.70049</t>
  </si>
  <si>
    <t>RECOMMENDATION SYSTEM FOR AN ONLINE SHOPPING PAY-LATER SYSTEM USING A MULTISTAGE APPROACH: A CASE STUDY FROM INDONESIA</t>
  </si>
  <si>
    <t>https://doi.org/10.28945/5366</t>
  </si>
  <si>
    <t>Speech-Driven Facial Animation Using Transformer Models: A Foundational Layer for Smart System 4-Layer Architectures</t>
  </si>
  <si>
    <t>Ary Setijadi Prihatmanto, Agus Sukoco, Dewi Trisnawati (ITB)</t>
  </si>
  <si>
    <t>Under Review</t>
  </si>
  <si>
    <t>IEEE ACCESS</t>
  </si>
  <si>
    <t>Effectiveness of Landslide Susceptibility Mapping Using the Maximum Entropy Model and Weights of Evidence Modelling in the Kuningan Regency, West Java, Indonesia</t>
  </si>
  <si>
    <t>https://doi.org/10.17794/rgn.2024.3.3</t>
  </si>
  <si>
    <t>A WebGL Serious Game for Practicing English Conversations in Public Places Using Speech Recognition</t>
  </si>
  <si>
    <t>Rickman Roedavan, Iis Kunia Nurhayati, Kemas Muslim Lhaksmana, and Sritenaya Geovani Putri</t>
  </si>
  <si>
    <t>International Journal of Serious Games</t>
  </si>
  <si>
    <t>https://journal.seriousgamessociety.org/index.php/IJSG/article/view/890</t>
  </si>
  <si>
    <t>https://doi.org/10.17083/ijsg.v12i2.890</t>
  </si>
  <si>
    <t>Latest Research in Data Augmentation for Low Resource Language Text Translation: A Review</t>
  </si>
  <si>
    <t>https://doi.org/10.1109/IC3INA64086.2024.10732042.</t>
  </si>
  <si>
    <t>Revolutionizing Language Learning and Proficiency with Adaptive Assessments and AI Driven System</t>
  </si>
  <si>
    <t>Elvira Nurfadhilah, S.Komp., M. Kom</t>
  </si>
  <si>
    <t>Dian Isnaeni Nurul Afra, S.Kom., M.T.I.</t>
  </si>
  <si>
    <t>Nimas Ayu Untariyati, S.Kom, M.T.I</t>
  </si>
  <si>
    <t>Radhiyatul Fajri, S.Kom, M.Pd.T, M.Kom.</t>
  </si>
  <si>
    <t>Siska Pebiana S.Kom., M.Kom.</t>
  </si>
  <si>
    <t>Dr. Ir. Hammam Riza, M.Sc.</t>
  </si>
  <si>
    <t>IGI Global</t>
  </si>
  <si>
    <t>Enhancing Bugis Language POS Tagging Using Recurrent Neural Networks and Semi-Supervised Self-Training</t>
  </si>
  <si>
    <t>https://doi.org/10.1109/IC3INA64086.2024.10732738</t>
  </si>
  <si>
    <t>Functional and Non-Functional Requirement (FR and NFR) Formation Based on Requirement Elicitation Using Text Semantics in IdVar4CL Artifact</t>
  </si>
  <si>
    <t>Nayla Fatimatuzzahra; Yudi Priyadi</t>
  </si>
  <si>
    <t>2025 10th International Conference on Signal Processing and Communication (ICSC)</t>
  </si>
  <si>
    <t>https://ieeexplore.ieee.org/document/10968323</t>
  </si>
  <si>
    <t>https://doi.org/10.1109/ICSC64553.2025.10968323</t>
  </si>
  <si>
    <t>Unlocking insights from Ministry of Marine Affairs and Fisheries annual reports using LDA: a deep dive into SDG 14</t>
  </si>
  <si>
    <t>https://doi.org/10.12928/TELKOMNIKA.v22i4.26063</t>
  </si>
  <si>
    <t>Modeling sentiment analysis of Indonesian biodiversity policy Tweets using IndoBERTweet</t>
  </si>
  <si>
    <r>
      <rPr>
        <sz val="9"/>
        <color theme="1"/>
        <rFont val="Arial"/>
      </rPr>
      <t xml:space="preserve">Dr. Dipl.(FH) Ing Asril, </t>
    </r>
    <r>
      <rPr>
        <u/>
        <sz val="9"/>
        <color rgb="FF1155CC"/>
        <rFont val="Arial"/>
      </rPr>
      <t>M.Sc</t>
    </r>
  </si>
  <si>
    <t>M. Teduh Uliniansyah, B.Eng., M.Sc., Ph.D.</t>
  </si>
  <si>
    <t>Agung Santosa, BSEE, M.Kom</t>
  </si>
  <si>
    <t>Ir. Gunarso</t>
  </si>
  <si>
    <t>IAES International Journal of Artificial Intelligence (IJ-AI)</t>
  </si>
  <si>
    <t>https://ijai.iaescore.com/index.php/IJAI/article/view/26816</t>
  </si>
  <si>
    <t>http://doi.org/10.11591/ijai.v14.i3.pp2389-2401</t>
  </si>
  <si>
    <t>Flank wear detection with signal variational mode decomposition and support vector machine algorithm</t>
  </si>
  <si>
    <t>https://doi.org/10.1063/5.0205683</t>
  </si>
  <si>
    <t>Assessing the Economic Impact of Peat Fires on Industrial Plantation Forests in Mesuji Subdistrict, South Sumatra, Indonesia</t>
  </si>
  <si>
    <t>Tiara Grace FL, Azalea Eugenie, Doni Fernando, Evie Avianti, Rizki Amaliyah, Hari Priyadi, Ilvi Fauziyah Cahyaningtiyas, Muhammad Iqbal Habibie</t>
  </si>
  <si>
    <t>IEEE Asia-Pacific Conference on Geoscience, Electronics and Remote Sensing Technology (AGERS)</t>
  </si>
  <si>
    <t>https://ieeexplore.ieee.org/abstract/document/10932935/</t>
  </si>
  <si>
    <t>https://doi.org/10.1109/AGERS65212.2024.10932935</t>
  </si>
  <si>
    <t>Seminar pada akhir tahun. Published di Tanggal 26 March 2025</t>
  </si>
  <si>
    <t>Enhanced you only look once approach for automatic phytoplankton identification</t>
  </si>
  <si>
    <t>https://doi.org/10.11591/ijai.v13.i3.pp3426-3436</t>
  </si>
  <si>
    <t>Ensuring unbiasedness: foundational insights into integrating GSTARIMA and DNN models for rainfall prediction</t>
  </si>
  <si>
    <t xml:space="preserve">Budi Nurani Ruchjana,Atje Setiawan Abdullah &amp;Hilman Ferdinandus Pardede
</t>
  </si>
  <si>
    <t xml:space="preserve">Connection Science </t>
  </si>
  <si>
    <t>https://www.tandfonline.com/doi/full/10.1080/09540091.2025.2507179</t>
  </si>
  <si>
    <t>https://doi.org/10.1080/09540091.2025.2507179</t>
  </si>
  <si>
    <t>Implementation of Motion Estimation Algorithms in Multi-scalability to Provide High-efficiency Video Coding</t>
  </si>
  <si>
    <t>https://doi.org/10.22266/IJIES2024.0831.76</t>
  </si>
  <si>
    <t>Effect of heat treatment on the microstructure and corrosion properties of electroless Ni-P coating on AISI 1010 steel in a simulated seawater</t>
  </si>
  <si>
    <r>
      <rPr>
        <sz val="9"/>
        <color theme="1"/>
        <rFont val="Calibri"/>
      </rPr>
      <t xml:space="preserve">Dr. Arya Adhyaksa Waskita, </t>
    </r>
    <r>
      <rPr>
        <u/>
        <sz val="9"/>
        <color rgb="FF1155CC"/>
        <rFont val="Calibri"/>
      </rPr>
      <t>M.Si</t>
    </r>
  </si>
  <si>
    <t>Rahayu Kusumastuti, Arya Fahriansyah, Siti Musabikha, Siska Prifiharni, Arini Nikitasari, Yulinda Lestari, Sriyono, Ari Yustisia Akbar, Yudi Nugraha Thaha, Sigit Dwi Yudanto, Gadang Priyotomo</t>
  </si>
  <si>
    <t>Physica Scripta</t>
  </si>
  <si>
    <t>Pl</t>
  </si>
  <si>
    <t>https://www.scopus.com/record/display.uri?eid=2-s2.0-105007755356&amp;origin=recordpage</t>
  </si>
  <si>
    <t>https://doi.org/10.1088/1402-4896/add966</t>
  </si>
  <si>
    <t>Islam in business ethics research: a bibliometric analysis and future research agenda</t>
  </si>
  <si>
    <t>https://doi.org/10.1108/IJOES-02-2024-0058</t>
  </si>
  <si>
    <t>Customer Satisfaction Evaluation in Online Food Delivery Services: A Systematic Literature Review</t>
  </si>
  <si>
    <t>Adimas Fiqri Ramdhansya, 
Shella Maria Vernanda, Indra Budi, Aris Budi Santoso</t>
  </si>
  <si>
    <t>Jurnal RESTI</t>
  </si>
  <si>
    <t>https://www.scopus.com/record/display.uri?eid=2-s2.0-105005968093&amp;origin=recordpage</t>
  </si>
  <si>
    <t>https://doi.org/10.29207/resti.v9i2.6205</t>
  </si>
  <si>
    <t>Understanding Pediatric Health Trends in Papua: Insights from SUSENAS, RISKESDAS, Remote Sensing, and Its Relevance to Prabowo and Gibran's Free Lunch and Milk Program</t>
  </si>
  <si>
    <t>https://doi.org/10.1109/ACCESS.2024.3380018</t>
  </si>
  <si>
    <t>Maintaining Academic Integrity in the Era of Large Language Models: A Guideline for Responsible Prompt Engineering</t>
  </si>
  <si>
    <t>Nuraisa Novia Hidayati, S.Kom., M.Kom.</t>
  </si>
  <si>
    <t>Ir. Andi Djalal Latief, M.S.</t>
  </si>
  <si>
    <t>Dr. Kokoy Siti Komariah S.Kom., M.T., M.Eng.</t>
  </si>
  <si>
    <r>
      <rPr>
        <sz val="9"/>
        <color theme="1"/>
        <rFont val="Calibri"/>
      </rPr>
      <t xml:space="preserve">Dr. Dipl.(FH) Ing Asril, </t>
    </r>
    <r>
      <rPr>
        <u/>
        <sz val="9"/>
        <color rgb="FF1155CC"/>
        <rFont val="Calibri"/>
      </rPr>
      <t>M.Sc</t>
    </r>
  </si>
  <si>
    <r>
      <rPr>
        <sz val="9"/>
        <color theme="1"/>
        <rFont val="Calibri"/>
      </rPr>
      <t xml:space="preserve">Ir. Tri Sampurno, </t>
    </r>
    <r>
      <rPr>
        <u/>
        <sz val="9"/>
        <color rgb="FF1155CC"/>
        <rFont val="Calibri"/>
      </rPr>
      <t>M.Sc</t>
    </r>
  </si>
  <si>
    <t>https://www.igi-global.com/book/advanced-prompt-engineering-techniques-resources/359191</t>
  </si>
  <si>
    <t>https://doi.org/10.4018/979-8-3373-0250-8.ch005</t>
  </si>
  <si>
    <t>Using LLM to Convert Bahasa Indonesia Commands into JSON Structures for GIS System API</t>
  </si>
  <si>
    <t>https://doi.org/10.1109/IC3INA64086.2024.10732440.</t>
  </si>
  <si>
    <t>Juli</t>
  </si>
  <si>
    <t>Weighting in-text citation location and context meanings for proposing citation quality score metric</t>
  </si>
  <si>
    <t>Indra Budi</t>
  </si>
  <si>
    <t>Performance Measurement and Metrics</t>
  </si>
  <si>
    <t>https://www.emerald.com/insight/content/doi/10.1108/pmm-04-2024-0025/full/html</t>
  </si>
  <si>
    <t>https://doi.org/10.1108/PMM-04-2024-0025</t>
  </si>
  <si>
    <t>ALICE upgrades during the LHC Long Shutdown 2</t>
  </si>
  <si>
    <t>https://doi.org/10.1088/1748-0221/19/05/P05062</t>
  </si>
  <si>
    <t>Integrated seismo-geodetic observatory network for monitoring the Lembang Fault, West Java, Indonesia</t>
  </si>
  <si>
    <t>Nuraini Rahma Hanifa, Endra Gunawan, Dini Nurfiani, Achmad Fakhrus Shomim, Faiz Muttaqy, Lina Handayani, Deasy Arisa, Rian Amukti, Muhammad Hanif, Yayat Sudrajat, Dannie Hidayat, Iwan Hermawan, Agus Men Riyanto, Eko Yulianto, Adrin Tohari, Qori'atu Zahro, Atin Nur Aulia, Juniator Tulius, Sri Widiyantoro, Rachmah Ida, Cecep Pratama, Putri Natari Ratna, and Titi Anggono</t>
  </si>
  <si>
    <t>Earth and Planetary Physics</t>
  </si>
  <si>
    <t>https://www.eppcgs.org/en/article/doi/10.26464/epp2025076</t>
  </si>
  <si>
    <t>http://dx.doi.org/10.26464/epp2025076</t>
  </si>
  <si>
    <t>The preliminary test of the ide-Cabe application on chili seed production</t>
  </si>
  <si>
    <r>
      <rPr>
        <u/>
        <sz val="9"/>
        <color rgb="FF000000"/>
        <rFont val="Calibri"/>
      </rPr>
      <t>https://doi.org/</t>
    </r>
    <r>
      <rPr>
        <u/>
        <sz val="9"/>
        <color rgb="FF0000FF"/>
        <rFont val="Calibri"/>
      </rPr>
      <t>10.1088/1755-1315/1377/1/012102</t>
    </r>
  </si>
  <si>
    <t>Cancel Culture: Perspective of Social Media Team</t>
  </si>
  <si>
    <t>Dr. DIPL. ING (FH) Anne Parlina, M.P.</t>
  </si>
  <si>
    <t>Riri Kusumarani</t>
  </si>
  <si>
    <t>Alfred Deakin Institute for Citizenship and Globalisation (ADI)</t>
  </si>
  <si>
    <t>Assessing Regional Precipitation Patterns Using Multiple Global Satellite-Based Datasets in the Upper Citarum Watershed, Indonesia</t>
  </si>
  <si>
    <t>https://doi.org/10.1007/s12524-024-01952-9</t>
  </si>
  <si>
    <t>Digital Consumption Patterns: A Case Study of the Dirty Vote Movie</t>
  </si>
  <si>
    <t>Identifying Language Anxiety Among Foreign Language Learners Using GRU</t>
  </si>
  <si>
    <t>https://doi.org/10.1109/ICoABCD63526.2024.10704343</t>
  </si>
  <si>
    <t>Multiscale Geographically and Temporally Weighted Regression with LASSO and Adaptive LASSO for Tuberculosis Incidence Mapping in West Java</t>
  </si>
  <si>
    <t>Muhammad Yusuf Al Habsy, Ro'fah Nur Rachmawati, Rifani Bhakti Natari, Muh. Hafizh Izzaturrahim</t>
  </si>
  <si>
    <t>Communication in Biomathematical Sciences</t>
  </si>
  <si>
    <t>https://journals.itb.ac.id/index.php/cbms/article/view/23943</t>
  </si>
  <si>
    <t>https://doi.org/10.5614/cbms.2025.8.1.6</t>
  </si>
  <si>
    <t>Citrus Leaf Variety Identification Based on RGB and HSV Color Features</t>
  </si>
  <si>
    <t>https://doi.org/10.1109/IC3INA64086.2024.10732212</t>
  </si>
  <si>
    <t>Target Strength of Eels from Echosounder and Calibrated Fish Finder Using Acoustic Measurement and Numerical Model</t>
  </si>
  <si>
    <t>Angga Dwinovantyo, Triyanto, Endra Triwisesa, Octavianto Samir, Gadis Sri Haryani, Hendro Wibowo, Hidayat, Fachmijany Sulawesty, Eva Nafisyah, Lukman, Fauzan Ali</t>
  </si>
  <si>
    <t>International Journal of Technology</t>
  </si>
  <si>
    <t>https://ijtech.eng.ui.ac.id/article/view/6525</t>
  </si>
  <si>
    <t>https://doi.org/10.14716/ijtech.v16i4.6525</t>
  </si>
  <si>
    <t>Developing a Visual Dashboard to Improve Research Activity Assessment</t>
  </si>
  <si>
    <t>https://doi.org/10.1109/IC3INA64086.2024.10732819</t>
  </si>
  <si>
    <t>From Regulation to Response: Structuring Trust in Government Question Answering through Layout-Aware Retrieval</t>
  </si>
  <si>
    <t>Achmad Zaki Rahman, Aris Puji Widodo, Kusworo Adi</t>
  </si>
  <si>
    <t>Neural Computing and Applications</t>
  </si>
  <si>
    <t>Estimating Software Vulnerabilities from Git Project Open Source: A Machine Learning Approach</t>
  </si>
  <si>
    <t>10.1109/ICITRI62858.2024.10699087</t>
  </si>
  <si>
    <t>Wood Species Classification Based on Wood Porosity Distribution of Macroscopic Image</t>
  </si>
  <si>
    <t>Bambang Sugiarto; Norhaida Mohd Suaib; Mohd Shafry Mohd Rahim; Nor Anita Fairos Ismail; Ikmal Faiq Albakri Mustafa Albakri</t>
  </si>
  <si>
    <t>2024 IEEE International Symposium on Consumer Technology (ISCT)</t>
  </si>
  <si>
    <t>https://www.scopus.com/record/display.uri?eid=2-s2.0-85215306307&amp;origin=recordpage</t>
  </si>
  <si>
    <t>http://doi.org/10.1109/ISCT62336.2024.10791236</t>
  </si>
  <si>
    <t>Kegiatan di akhir tahun 2024</t>
  </si>
  <si>
    <t>Segmentation of Libraries, CMS, and PHP Frameworks Based on Code Characteristics: Implementation of Clustering Using K-Means</t>
  </si>
  <si>
    <t>10.1109/ICITRI62858.2024.10699032</t>
  </si>
  <si>
    <t>Dictionary-based extraction of hyperbole and swear words for sarcasm detection in Indonesian Tweets</t>
  </si>
  <si>
    <t>Novitasari Arlim, 
Al Hafiz Akbar Maulana Siagian, 
Slamet Riyanto, 
Rodiah,
Shidiq Al Hakim, 
Retno Asihanti Setiorini, 
Niken Fitria Apriani, 
Rini Arianty, 
Diana Tri Susetianingtias</t>
  </si>
  <si>
    <t>https://www.scopus.com/pages/publications/85212466361</t>
  </si>
  <si>
    <t>http://doi.org/10.1007/s41870-024-02361-4</t>
  </si>
  <si>
    <t>Development of Non-Immersive Virtual Reality for Rock Outcrops Learning</t>
  </si>
  <si>
    <t>https://doi.org/10.1109/IC3INA64086.2024.10732232</t>
  </si>
  <si>
    <t>Agustus</t>
  </si>
  <si>
    <t>Performance of CNN and LSTM Model on COVID-19 News Headline Data Classification</t>
  </si>
  <si>
    <t>Dian Kurniasari, Luthfia Nur Azizah, Warsono</t>
  </si>
  <si>
    <t>Baghdad Science Journal</t>
  </si>
  <si>
    <t>https://bsj.uobaghdad.edu.iq/home/vol22/iss7/29/</t>
  </si>
  <si>
    <t>https://doi.org/10.21123/2411-7986.5009</t>
  </si>
  <si>
    <t>Enhancing Waste Management Decisions: A Group DSS Approach Using SSM and AHP in Indonesia</t>
  </si>
  <si>
    <t>https://doi.org/10.28945/5373</t>
  </si>
  <si>
    <t>Integrating Sentinel-2 and ESA World Cover for Effective Land Use and Land Cover Assessment Using Machine Learning</t>
  </si>
  <si>
    <t>Muhammad Iqbal Habibie, Nety Nurda, Doni Fernando, Robby Arifandri, Hari Prayogi, Dionysius Bryan Sencaki</t>
  </si>
  <si>
    <t>Advances in Space Research</t>
  </si>
  <si>
    <t>https://www.sciencedirect.com/science/article/pii/S0273117725008385</t>
  </si>
  <si>
    <t>https://doi.org/10.1016/j.asr.2025.07.083</t>
  </si>
  <si>
    <t>Animation tsunami modelling in 3D to determine shelter and evacuation routes</t>
  </si>
  <si>
    <t>https://doi.org/10.1080/17477891.2024.2400140</t>
  </si>
  <si>
    <t>A simple Contrastive Embedding Framework for Low-resource Fake News Detection</t>
  </si>
  <si>
    <t>Iftitahu Ni'mah, S.Kom., M.I.T.</t>
  </si>
  <si>
    <t>Dr. Rini Wijayanti, S.Kom., M.Kom.</t>
  </si>
  <si>
    <r>
      <rPr>
        <sz val="9"/>
        <color theme="1"/>
        <rFont val="Calibri"/>
      </rPr>
      <t xml:space="preserve">Dr. Dipl.(FH) Ing Asril, </t>
    </r>
    <r>
      <rPr>
        <u/>
        <sz val="9"/>
        <color rgb="FF1155CC"/>
        <rFont val="Calibri"/>
      </rPr>
      <t>M.Sc</t>
    </r>
  </si>
  <si>
    <r>
      <rPr>
        <sz val="9"/>
        <color theme="1"/>
        <rFont val="Calibri"/>
      </rPr>
      <t xml:space="preserve">Ir. Tri Sampurno, </t>
    </r>
    <r>
      <rPr>
        <u/>
        <sz val="9"/>
        <color rgb="FF1155CC"/>
        <rFont val="Calibri"/>
      </rPr>
      <t>M.Sc</t>
    </r>
  </si>
  <si>
    <t>Meng Fang, Vlado Menkovski, Mykola Pechenizkiy</t>
  </si>
  <si>
    <t>https://drive.google.com/file/d/14XXmL7aNGpebuUsbPAc-xInEh448J6vf/view?usp=drive_link</t>
  </si>
  <si>
    <t>https://doi.org/10.1007/s00521-025-11467-0</t>
  </si>
  <si>
    <t>Improving Software Defect Prediction Performance through Effective Forward Selection Method with Linear Regression for Handling Class Imbalance</t>
  </si>
  <si>
    <t>https://doi.org/10.1109/ICITRI62858.2024.10699214</t>
  </si>
  <si>
    <t>Big Data Analytics for Uncovering Voxel Connectivity Patterns in Attention Deficit Hyperactivity Disorder</t>
  </si>
  <si>
    <t>Supardi K, Gio PU, Isnaniawardhani V, Chen RC, Djatmiko B, Pardamean B</t>
  </si>
  <si>
    <t>Dovepress, Taylor &amp; Francis Group</t>
  </si>
  <si>
    <t>https://www.dovepress.com/big-data-analytics-for-uncovering-voxel-connectivity-patterns-in-atten-peer-reviewed-fulltext-article-JMDH</t>
  </si>
  <si>
    <t>https://doi.org/10.2147/JMDH.S523137</t>
  </si>
  <si>
    <t>Teleworking and Psychological Well-being: Insights and Applications for TVET Institutions</t>
  </si>
  <si>
    <t>https://doi.org/10.30880/JTET.2024.16.02.002</t>
  </si>
  <si>
    <t>Strategies for Addressing the Limited Labeled Datasets in Fake News Detection: A Systematic Review</t>
  </si>
  <si>
    <r>
      <rPr>
        <sz val="9"/>
        <color theme="1"/>
        <rFont val="Calibri"/>
      </rPr>
      <t xml:space="preserve">Dr. Dipl.(FH) Ing Asril, </t>
    </r>
    <r>
      <rPr>
        <u/>
        <sz val="9"/>
        <color rgb="FF1155CC"/>
        <rFont val="Calibri"/>
      </rPr>
      <t>M.Sc</t>
    </r>
  </si>
  <si>
    <t>Gita Citra Puspita, Siti Saleha</t>
  </si>
  <si>
    <t>SN Computer Science</t>
  </si>
  <si>
    <t>https://link.springer.com/article/10.1007/s42979-025-04238-0</t>
  </si>
  <si>
    <t>https://doi.org/10.1007/s42979-025-04238-0</t>
  </si>
  <si>
    <t>Strategic insights for MSMEs: navigating the new normal with big data and business analytics</t>
  </si>
  <si>
    <t>https://doi.org/10.1108/JABS-10-2022-0354</t>
  </si>
  <si>
    <t>Geospatial intelligence framework for BTS infrastructure planning toward universal internet access target in Indonesia</t>
  </si>
  <si>
    <t>https://doi.org/10.1016/j.jag.2024.104274</t>
  </si>
  <si>
    <t>Machine Learning with Self-Assessment Manikin Valence Scale for Fine-Grained Sentiment Analysis</t>
  </si>
  <si>
    <t>Lindung Parningotan Manik, PDEng.</t>
  </si>
  <si>
    <t>Harry Susianto, Arawinda Dinakaramani, R. Niken Pramanik, Totok Suhardijanto</t>
  </si>
  <si>
    <t>Information (Switzerland)</t>
  </si>
  <si>
    <t>https://www.scopus.com/pages/publications/105011607308</t>
  </si>
  <si>
    <t>https://doi.org/10.3390/info16070562</t>
  </si>
  <si>
    <t>Geographically weighted regression analysis of electricity consumption in Indonesian households: aligning with SDG 7</t>
  </si>
  <si>
    <t>https://doi.org/10.12928/TELKOMNIKA.v22i6.26051</t>
  </si>
  <si>
    <t>Development of Fish Metabolome Database: Expanding Access and Advancing Management of Metabolite Data Resources</t>
  </si>
  <si>
    <t>Andre Sihombing, S.Kom., M.Sc.</t>
  </si>
  <si>
    <t>Ira Maryati, Giri Rohmad Brokah, Lia Sadita, Harry B. Santoso</t>
  </si>
  <si>
    <t>urkish Journal of FISHERIES and AQUATIC SCIENCES</t>
  </si>
  <si>
    <t>https://www.trjfas.org/abstract.php?lang=en&amp;id=15146</t>
  </si>
  <si>
    <t>https://doi.org/10.4194/TRJFAS26139</t>
  </si>
  <si>
    <t>Challenges and Technology Trends in Implementing a Human Resource Management System: A Systematic Literature Review</t>
  </si>
  <si>
    <t>https://doi.org/10.20473/jisebi.10.3.355-367</t>
  </si>
  <si>
    <t>Lithium-ion battery life prediction using gated convolutional neural network with convolutional block attention module</t>
  </si>
  <si>
    <t xml:space="preserve">Ade Ramdan
Vicky Zilvan, 
Asri Rizki Yuliani, 
Hilman F. Pardede, 
Endang Suryawati, 
Candra Nur Ihsan, 
Sandra Yuwana R.
Bambang Sugiarto, </t>
  </si>
  <si>
    <t>Journal of King Saud University - Engineering Sciences</t>
  </si>
  <si>
    <t>https://www.scopus.com/pages/publications/105015439698?origin=resultslist</t>
  </si>
  <si>
    <t>https://doi.org/10.1007/s44444-025-00035-5</t>
  </si>
  <si>
    <t>XoT (Xducation of Things): Harnessing AI and edge computing to educate all things</t>
  </si>
  <si>
    <t>https://doi.org/10.1109/ACCESS.2024.3474015</t>
  </si>
  <si>
    <t>Maize Breeding for Drought Tolerance: A Bibliometric Analysis of 54 Years of Research</t>
  </si>
  <si>
    <t xml:space="preserve">Sutrisno </t>
  </si>
  <si>
    <t>Submit</t>
  </si>
  <si>
    <t>Discover Applied Science: Springer Nature</t>
  </si>
  <si>
    <t>Indonesian Sign Language (BISINDO) Alphabet Detection Using the You Only Look Once (YOLO) Algorithm Version 8</t>
  </si>
  <si>
    <t>https://doi.org/10.1109/IC3INA64086.2024.10732209</t>
  </si>
  <si>
    <t xml:space="preserve">Comparative Performance of Water Index for Water Segmentation Model Using U-Net Architecture </t>
  </si>
  <si>
    <t>https://doi.org/10.1109/IC3INA64086.2024.10732848</t>
  </si>
  <si>
    <t>Malaria risk assessment in Indonesia: a machine and deep learning framework</t>
  </si>
  <si>
    <t>Anjar Dimara Sakti, 
Jasmine Nur Mahdani, 
Hubbi Nashrullah Muhammad, 
Elstri Sihotang, 
Cokro Santoso, 
Khairunnisah
Afina Nur Fauziyyah
Fedri Ruluwedrata Rinawan, 
Khairunnisa Supardi</t>
  </si>
  <si>
    <t>International Journal of Applied Earth Observation and Geoinformation</t>
  </si>
  <si>
    <t>https://www.scopus.com/pages/publications/105014811615?origin=resultslist</t>
  </si>
  <si>
    <t>https://doi.org/10.1016/j.jag.2025.104793</t>
  </si>
  <si>
    <t>Ensuring Trustworthiness in Qualitative Research: The Role of Triangulation Techniques</t>
  </si>
  <si>
    <t>https://doi.org/10.4018/979-8-3693-3069-2.ch012</t>
  </si>
  <si>
    <t>A Domain-Specific Retrieval-Augmented Generation Chatbot for Medical Queries on Adenomyosis and Endometriosis</t>
  </si>
  <si>
    <t>Luthfi Atikah</t>
  </si>
  <si>
    <t>International Conference on Computer, Control, Informatics and its Applications, IC3INA 2025</t>
  </si>
  <si>
    <t>Multi-Temporal Cloud Removal of Satellite Image for Surface Water Segmentation</t>
  </si>
  <si>
    <t>https://doi.org/10.1109/IC3INA64086.2024.10732147</t>
  </si>
  <si>
    <t>Spatio-Temporal Analysis of Environmental Influence Toward ARI Cases Spread in West Java Using INLA</t>
  </si>
  <si>
    <t>Melati Janet Livia Simanjuntat,Muhamad Syazali, Rifani Bhakti Natari, Noersomadi</t>
  </si>
  <si>
    <t>https://drive.google.com/file/d/1onfgUfcNhFiPmGmol8YhY4Y5QJDi2e5y/view?usp=drive_link</t>
  </si>
  <si>
    <t>Exploring the evolution of data management in E-government: bibliometric analysis</t>
  </si>
  <si>
    <t>https://doi.org/10.1109/IC3INA64086.2024.10732787</t>
  </si>
  <si>
    <t>Retrieval-Augmented Large Language Models for a Chronic Kidney Disease Patient Education Chatbot</t>
  </si>
  <si>
    <t>Assessment of Hyperparameter Optimization Techniques for Cross-Stitched Multi-Task Learning</t>
  </si>
  <si>
    <t>https://doi.org/10.1109/IC3INA64086.2024.10732471</t>
  </si>
  <si>
    <t>Towards a Safe and Trustworthy LLM-RAG Chatbot for Hemodialysis Patient Education: Design, Implementation, and Preliminary Evaluation</t>
  </si>
  <si>
    <t>Enhancing OCR Accuracy for Bugis Language to Bahasa Indonesia Dictionary Conversion Through Image Pre-Processing and Scaling Techniques</t>
  </si>
  <si>
    <t>https://doi.org/10.1109/IC3INA64086.2024.10732090</t>
  </si>
  <si>
    <t>Artificial Intelligence Technologies in Mental Health: Transforming Depression Care through Innovation</t>
  </si>
  <si>
    <t>https://doi.org/10.4018/979-8-3693-7011-7</t>
  </si>
  <si>
    <t>Support Vector Machine Performance: Simulation and Rice Phenology Application</t>
  </si>
  <si>
    <t>Asep Saefuddin, I Made Sumertajaya, Agus Mohamad Soleh, Dede Dirgahayu Domiri</t>
  </si>
  <si>
    <t>Jurnal IAES International Journal of Artificial Intelegence</t>
  </si>
  <si>
    <t>Evaluation of the Quality of ChatGPT in Translating Texts on Indonesian War of Independence From Dutch to Indonesian</t>
  </si>
  <si>
    <t>https://doi.org/10.1109/IC3INA64086.2024.10732746</t>
  </si>
  <si>
    <t>SKV-Cache: A Topology-Aware Cache Framework for Efficient Question Answering over Governmental Archival KGs</t>
  </si>
  <si>
    <t>Prof. Dr. Kusworo Adi, S.Si., M.T., Dr. Aris Puji Widodo, S.Si., M.T.</t>
  </si>
  <si>
    <t>The Development of the Mobile Interactive Virtual Nuclear Educator With AR and RAG for Learning Nuclear Energy in Indonesia</t>
  </si>
  <si>
    <t>https://doi.org/10.1109/IC3INA64086.2024.10732800</t>
  </si>
  <si>
    <t>Bridging Information Science and Data Science: The Strategic Role of Informetrics in the Era of Big Data and Open Science</t>
  </si>
  <si>
    <t>Dr. Ekawati Marlina, S.T., M.T.</t>
  </si>
  <si>
    <t>Ira Maryati</t>
  </si>
  <si>
    <t>Development of a Mental Health Chatbot Using Large Language Models for Indonesian Undergraduates</t>
  </si>
  <si>
    <t>https://doi.org/10.1109/IC3INA64086.2024.10732708</t>
  </si>
  <si>
    <t>Integration of Big Data, Dynamic Systems, and Artificial Intelligence in Local Government Decision Making: A Systematic Literature Review</t>
  </si>
  <si>
    <t>Sumirah, Adi Wibowo</t>
  </si>
  <si>
    <t>Enhanced U-Net models with encoder and augmentation for phytoplankton segmentation</t>
  </si>
  <si>
    <t>https://doi.org/10.11591/ijaas.v13.i4.pp1009-1018</t>
  </si>
  <si>
    <t>Village Website Content Analysis as an Indicator of Government Digital Readiness: An Informetric Study in West Lombok Regency</t>
  </si>
  <si>
    <t xml:space="preserve">International Conference on Smart-Green Technology in Electrical and Information Systems </t>
  </si>
  <si>
    <t>Spatial Analysis of Drought Vulnerability Related to Climate Change and Under Five Children’s Nutritional Status</t>
  </si>
  <si>
    <t>https://doi.org/10.1051/bioconf/202413300019</t>
  </si>
  <si>
    <t>A Review of Technology Evolution and Risk of Autonomous Vehicles</t>
  </si>
  <si>
    <t>Cahyo Trianggoro, Rabiah Abdul Kadir</t>
  </si>
  <si>
    <t>Climate Change and Rural Development: A Bibliometric Review</t>
  </si>
  <si>
    <t>https://doi/org/10.1051/bioconf/202413402006</t>
  </si>
  <si>
    <t>Artificial Intelligence Technology Approach in Nudging Strategies: A Bibliometric Analysis</t>
  </si>
  <si>
    <t>Winda Anestya Ayunda, Shidiq Al Hakim, Al Hafiz Akbar Maulana Siagian, Mirna Rahmadina Gumati, Marudur Pandapotan Damanik, Danarsiwi Tri Lastiwi</t>
  </si>
  <si>
    <t>Exploiting the leading potential of Indonesia through strategic alliances with the G20 and SDG-aligned policy making</t>
  </si>
  <si>
    <t>https://doi.org/10.15196/RS140502</t>
  </si>
  <si>
    <t>Non-Invasive Asthma Detection with FMCW Radar: An Imbalanced Learning Approach</t>
  </si>
  <si>
    <t>Ariana Tulus Purnomo, Ding-Bing Lin, Dian Nurdiana, Bong-Kee Sin</t>
  </si>
  <si>
    <t>User Emotion in Website Design: A Kansei Analysis Approach</t>
  </si>
  <si>
    <t>https://doi.org/10.1109/ICISS62896.2024.10751252</t>
  </si>
  <si>
    <t>Evaluating Generative Fusion Decoding for Indonesian Automatic Speech Recognition</t>
  </si>
  <si>
    <r>
      <rPr>
        <sz val="9"/>
        <color theme="1"/>
        <rFont val="Calibri"/>
      </rPr>
      <t xml:space="preserve">Dr. Dipl.(FH) Ing Asril, </t>
    </r>
    <r>
      <rPr>
        <u/>
        <sz val="9"/>
        <color rgb="FF1155CC"/>
        <rFont val="Calibri"/>
      </rPr>
      <t>M.Sc</t>
    </r>
  </si>
  <si>
    <t>Optical properties of Eu3+/Dy3+ ion co-doped TeO2 - B2O3 - CaO - Al2O3 glass and its potential for solar energy harvesting</t>
  </si>
  <si>
    <t>http://doi.org/10.1016/j.optmat.2024.115070</t>
  </si>
  <si>
    <t>PRE</t>
  </si>
  <si>
    <t>Design and Implementation of GeoMIMO: A Geoinformatic Data Platform for Multi Inputs and Multi Outputs</t>
  </si>
  <si>
    <t>Ahmad Sutanto, Andy Indradjad, Dede D. Domiri, Emiyati, Hastuadi Harsa, M. Rokhis Khomarudi, Muh. Hafizh Izzaturrahim, Muhammad Hanif Muslim , Nurmajid Setyasaputra, Rifki Sadikin, Rubini Jusuf, Silvan A. B. S. Permana, Sjaeful Afandi, Zaenal Akbar</t>
  </si>
  <si>
    <t>A comprehensive study on transparent conducting oxides in compact microbial fuel cells: Integrated spectroscopic and electrochemical analyses for monitoring biofilm growth</t>
  </si>
  <si>
    <t>https://doi.org/10.1016/j.bios.2024.116067</t>
  </si>
  <si>
    <t>Design and Evaluation of an ELK Stack-Based Monitoring Framework for Resource Optimization in National HPC Infrastructure</t>
  </si>
  <si>
    <t>Fatima Khairunnisa, Yan Mareden, Suharyo Sumowidagdo</t>
  </si>
  <si>
    <t>Electrical impedance spectroscopy for skin layer assessment: A scoping review of electrode design, measurement methods, and post-processing techniques</t>
  </si>
  <si>
    <t>https://doi.org/10.1016/j.measurement.2023.114111</t>
  </si>
  <si>
    <t>Modelling Process Mining Benefits: A context of Indonesia and Australia</t>
  </si>
  <si>
    <t>Nungki Dian Sulistyo Darmayanti</t>
  </si>
  <si>
    <t>Abel Armas Cervantes, Sherah Kurnia, Arti Dian Nastiti, Ainun Herlambang</t>
  </si>
  <si>
    <t>Challenges of using natural extracts as green reducing agents in the synthesis of rGO: A brief review</t>
  </si>
  <si>
    <t>http://doi.org/10.1016/j.rechem.2023.101270</t>
  </si>
  <si>
    <t>Transformer Based Hybridization Text Classifiers In Online Gambling Spam Identification Case Study</t>
  </si>
  <si>
    <t>Muh. Hafizh Izzaturrahim</t>
  </si>
  <si>
    <t>Improved efficiency and stability of dye-sensitized solar cells by using iodide-based electrolyte with high viscosity solvent</t>
  </si>
  <si>
    <t>https://doi.org/10.1016/j.matlet.2023.135847</t>
  </si>
  <si>
    <t>Who is My Audience?
Discovering Student Personas from LMS Data</t>
  </si>
  <si>
    <t>Ainun Herlambang, Abel Armas Cervantez, Antonette Mendoza</t>
  </si>
  <si>
    <t>36th Australasian Association for Engineering Education Annual Conference , Brisbane, 7 – 10 December 2025.</t>
  </si>
  <si>
    <t>Improved performance of protected CuO photocathodes evaluated by photoelectrochemical characterizations using hydrogen peroxide</t>
  </si>
  <si>
    <t>http://doi.org/10.1016/j.matlet.2023.135735</t>
  </si>
  <si>
    <t>Gamification System for Enhancing Personal Mobility Vehicle Driving Test Through Virtual Reality</t>
  </si>
  <si>
    <t>Roni Permana Saputra</t>
  </si>
  <si>
    <t>One-Dimensional HKUST-1-Decorated Glassy Carbon Electrode for the Sensitive Electrochemical Immunosensor of NS1 Dengue Virus Serotype‑3</t>
  </si>
  <si>
    <t>https://doi.org/10.1021/acsomega.3c07856</t>
  </si>
  <si>
    <t>Expertise Retrieval Using Adjusted TF-IDF and Keyword Mapping to ACM Classification Terms</t>
  </si>
  <si>
    <t>Lyla Ruslana Aini</t>
  </si>
  <si>
    <t xml:space="preserve">Evi Yulianti
</t>
  </si>
  <si>
    <t>https://www.scopus.com/pages/publications/105010384373?origin=resultslist</t>
  </si>
  <si>
    <t>https://doi.org/10.29207/resti.v9i3.6397</t>
  </si>
  <si>
    <t>Enhancing urine glucose sensing performance through the introduction of two dimensional-transition metal dichalcogenides and gold nanoparticles into silver/UiO-66 chip of surface plasmon resonance</t>
  </si>
  <si>
    <t>http://doi.org/10.1088/1361-6528/ad12ed</t>
  </si>
  <si>
    <t>November</t>
  </si>
  <si>
    <t>Rapid determination of daily ionospheric F-layer critical frequency value using a quick-scale method based on Frequency-Time-Intensity plots</t>
  </si>
  <si>
    <t>Satrio Adi Priyambada, S.Kom., M.Kom., Ph.D.</t>
  </si>
  <si>
    <t>Varuliantor Dear, Jiyo Harjosuwito, Annis Siradj Mardiani, Adi Purwono, Afrizal Bahar, Indah Susanti, Rezy Pradipta</t>
  </si>
  <si>
    <t>Journal of Atmospheric and Solar-Terrestrial Physics</t>
  </si>
  <si>
    <t>https://www.sciencedirect.com/science/article/pii/S136468262500255X</t>
  </si>
  <si>
    <t>https://doi.org/10.1016/j.jastp.2025.106671</t>
  </si>
  <si>
    <t>Label-free and early detection of HER2 breast cancer biomaker based on UiO-66-NH2 modified gold chip (Au/UiO-66-NH2) using surface plasmon
resonance technique</t>
  </si>
  <si>
    <t>https://doi.org/10.1016/j.microc.2024.109963</t>
  </si>
  <si>
    <t>Explaining Mental Disorder Classification in Dialogues: Turn-Level Analysis and Label Dynamics</t>
  </si>
  <si>
    <t>Ana Heryana</t>
  </si>
  <si>
    <t>Synthesis and Characterization of ZIF 67 Manganese Bimetal for Electrochemical Sensor Application</t>
  </si>
  <si>
    <t>http://doi.org/10.1088/1742-6596/2705/1/012007</t>
  </si>
  <si>
    <t>Exploring the influence of soft information from economic news on exchange rate and gold price movements</t>
  </si>
  <si>
    <t xml:space="preserve">Rahardito Dio Prastowo, S.T.
</t>
  </si>
  <si>
    <t>Indra Budi, Amanah Ramadiah, Aris Budi Santoso</t>
  </si>
  <si>
    <t>https://drive.google.com/file/d/1-hImjNbN26mOa7qGhYYOfR-FaMijCTvX/view?usp=sharing</t>
  </si>
  <si>
    <t>http://doi.org/10.11591/ijai.v14.i6.pp5231-5239</t>
  </si>
  <si>
    <t>The Impact of Export on the Development of Green Industries for Sustainability in DI Yogyakarta Region, Indonesia: an Extended Input-Output Analysis</t>
  </si>
  <si>
    <t>http://doi.org/10.15244/pjoes/174400</t>
  </si>
  <si>
    <t>Participatory Human-AI Mechanisms for Multi-Taxon Citizen Science Biodiversity Platforms: Architectural Design and Data Quality Management</t>
  </si>
  <si>
    <t>Muhamad Jafar Elly</t>
  </si>
  <si>
    <t>Ariani Indrawati, M.TI</t>
  </si>
  <si>
    <t>International Conference on Emerging Trends in Information Systems and Informatics (ICETISI 2025)</t>
  </si>
  <si>
    <t>https://drive.google.com/file/d/1DPe5Il-ryR7TGw8TWDvgs_4QiECrsXDZ/view?usp=sharing</t>
  </si>
  <si>
    <t>Pyrolysis process control: temperature control design and application for optimum process operation</t>
  </si>
  <si>
    <t>https://ijece.iaescore.com/index.php/IJECE/article/view/34009/17222</t>
  </si>
  <si>
    <t>Evaluating Retrieval Augmented Generation (RAG) Chunking Strategy for Question Answering in Indonesian Law of The Sea</t>
  </si>
  <si>
    <t>Machine Learning Model and Molecular Docking for Screening Medicinal Plants as HIV-1 Reverse Transcriptase Inhibitors</t>
  </si>
  <si>
    <t>http://doi.org/10.33640/2405-609X.3341</t>
  </si>
  <si>
    <t>A Comparative Analysis of Topic Coherence Across Textual Inputs and Modelling Algorithms in Scientific Literature</t>
  </si>
  <si>
    <t>Bimo Kusumo Putro Wicaksono, Evan Adkara Christian Putra, Yusry Anandita Yulianti, Chilla Ayu Nadira, M. Deriansyah Okutra, Lutfia Aisyah Putri</t>
  </si>
  <si>
    <t>Crystal structures and photoluminescence characteristics of cesium lead bromide perovskite nanoplatelets depending on the antisolvent and ligand used in their syntheses</t>
  </si>
  <si>
    <t>http://doi.org/10.1016/j.heliyon.2023.e23276</t>
  </si>
  <si>
    <t>Collab Identifier: A Prototype for Uncovering Research Collaboration Themes Using BERTopic</t>
  </si>
  <si>
    <t xml:space="preserve">Dimas Bratakusumah, Dian Raisa, Yusup Miftahuddin, Diash Firdaus </t>
  </si>
  <si>
    <t>CV Performance of ZnO-Carbon Nanocomposite Based on ZIF-8 as Lithium-Ion Battery Anode</t>
  </si>
  <si>
    <t>http://doi.org/10.1088/1742-6596/2705/1/012013</t>
  </si>
  <si>
    <t>From Research to Impact: Mapping BRIN Publications to the SDGs Using Topic Modelling</t>
  </si>
  <si>
    <t>Stevry Yushady CH Bissa</t>
  </si>
  <si>
    <t>College &amp; Research Libraries (C&amp;RL) News</t>
  </si>
  <si>
    <t>Design of Ethanol Concentration Measurement in Food (Fermented Black Sticky Rice) Using Grove-HCHO Sensor</t>
  </si>
  <si>
    <t>https://doi.org/10.1063/5.0184202</t>
  </si>
  <si>
    <t>AI Assisted Phoneme Segments Labeling Tools for Bahasa Indonesia</t>
  </si>
  <si>
    <r>
      <rPr>
        <sz val="9"/>
        <color theme="1"/>
        <rFont val="Calibri"/>
      </rPr>
      <t xml:space="preserve">Dr. Dipl.(FH) Ing Asril, </t>
    </r>
    <r>
      <rPr>
        <u/>
        <sz val="9"/>
        <color rgb="FF1155CC"/>
        <rFont val="Calibri"/>
      </rPr>
      <t>M.Sc</t>
    </r>
  </si>
  <si>
    <t>GO/ZnO Biosensor Synthesis and Characterization for Biosensors</t>
  </si>
  <si>
    <t>https://doi.org/10.1088/1742-6596/2705/1/012009</t>
  </si>
  <si>
    <t>Citizen Engagement in Digital Government Transformation: A Systematic Literature Review with Insights from Indonesia</t>
  </si>
  <si>
    <t>Drs. Zain Saifullah, M.Sc.</t>
  </si>
  <si>
    <t xml:space="preserve">Rival Adrian Juliansyah, S.Kom.
</t>
  </si>
  <si>
    <t>Armita Widyasuri</t>
  </si>
  <si>
    <t>A Theoretical Investigation on Nitrogen Dioxide Adsorption on Self-Assembled Monolayer-Functionalized ZnO Monolayer</t>
  </si>
  <si>
    <t>10.1088/1742-6596/2705/1/012003</t>
  </si>
  <si>
    <t>Risk Assessment of Information System Audit Tools Based on SPBE Risk Management Guidelines</t>
  </si>
  <si>
    <t xml:space="preserve">Harnum Annisa Prafitia, S.Si </t>
  </si>
  <si>
    <t>Prof. Dr. Drs. Nilo Legowo, M. Kom.</t>
  </si>
  <si>
    <t>International Journal of Safety and Security Engineering</t>
  </si>
  <si>
    <t>https://iieta.org/journals/ijsse/paper/10.18280/ijsse.150714</t>
  </si>
  <si>
    <t>https://doi.org/10.18280/ijsse.150714</t>
  </si>
  <si>
    <t>Preparation and properties of bimetallic Co/Cu ZIF-67 for electrochemical application</t>
  </si>
  <si>
    <t>https://doi.org/10.1088/1742-6596/2705/1/012004</t>
  </si>
  <si>
    <t>Human-Metaverse Interaction in TVET: Research Trends and Future Directions</t>
  </si>
  <si>
    <t>I Made Bambang Ariawan, Shamsiah Abd Kadir,  Anitawati Mohd Lokman</t>
  </si>
  <si>
    <t>Journal of Technical Education and Training</t>
  </si>
  <si>
    <t>https://www.scopus.com/pages/publications/105020728812?origin=resultslist</t>
  </si>
  <si>
    <t>https://doi.org/10.30880/jtet.2025.17.03.010</t>
  </si>
  <si>
    <t>Two-Dimensional Materials Integrated in Electrochemical Biosensors for Virus Detection: Property Engineering Strategies and Device Applications</t>
  </si>
  <si>
    <t>https://doi.org/10.1002/cben.202300043</t>
  </si>
  <si>
    <t>Revisiting connections of social, economic, and environmental factors on PM2.5 and NO2 concentrations regarding tuberculosis cases using Gaussian Bayesian network</t>
  </si>
  <si>
    <t>Syahrizal Kautsar, Robert Kurniawan,
Khairunnisa Supardi, Prana Ugiana Gio</t>
  </si>
  <si>
    <t>Discover Sustainability</t>
  </si>
  <si>
    <t>https://www.scopus.com/pages/publications/105018186117?origin=resultslist</t>
  </si>
  <si>
    <t>https://doi.org/10.1007/s43621-025-01789-3</t>
  </si>
  <si>
    <t>Synthesis and Characterization of SiO2-Based Graphene Nanoballs Using Copper-Vapor-Assisted APCVD for Thermoelectric Application</t>
  </si>
  <si>
    <t>https://www.mdpi.com/2079-4991/14/7/618</t>
  </si>
  <si>
    <t>Using Kolmogorov–Arnold network and ResNet for marine protein mapping in support of the Prabowo–Gibran MBG program</t>
  </si>
  <si>
    <t>Khairunnisa Supardi, Prana Ugiana Gio, 
Vijaya Isnaniawardhani, Bekti Djatmiko</t>
  </si>
  <si>
    <t>https://www.scopus.com/pages/publications/105019611059?origin=resultslist</t>
  </si>
  <si>
    <t xml:space="preserve">https://doi.org/10.1007/s43621-025-01880-9
</t>
  </si>
  <si>
    <t>Recent developments in low-dimensional heterostructures of halide perovskites and metal chalcogenides as emergent materials: Fundamental, implementation, and outlook</t>
  </si>
  <si>
    <t>https://doi.org/10.1063/5.0176763</t>
  </si>
  <si>
    <t>Bayesian Network analysis of spatial disparities in child nutrition status and health determinants across Indonesia</t>
  </si>
  <si>
    <t xml:space="preserve">
Khairunnisa Supardi, Prana Ugiana Gio, 
Noor Ell Goldameir, Vijaya Isnaniawardhani</t>
  </si>
  <si>
    <t>https://www.scopus.com/pages/publications/105020928881?origin=resultslist</t>
  </si>
  <si>
    <t>https://doi.org/10.1016/j.jag.2025.104936</t>
  </si>
  <si>
    <t>Microstructure characteristics of Cr3C2-NiCr Coating Deposited With The High-Velocity Oxy-Fuel-Thermal-Spray Technique</t>
  </si>
  <si>
    <t>https://doi.org/10.17222/mit.2023.869</t>
  </si>
  <si>
    <t>Deep Learning Approach for the Morphological Differentiation of Corn Seed Types</t>
  </si>
  <si>
    <t>Doni Rizqi Setiawan, Dimas Firmanda Al Riza, Sumardi Hadi Sumarlan, Muhammad Aqil</t>
  </si>
  <si>
    <t>ELCVIA Electronic Letters on Computer Vision and Image Analysis</t>
  </si>
  <si>
    <t>https://elcvia.cvc.uab.cat/article/view/2193</t>
  </si>
  <si>
    <t>https://doi.org/10.5565/rev/elcvia.2193</t>
  </si>
  <si>
    <t>Images Processing of Unmanned Aerial Vehicle (UAV) for Cannabis Identification</t>
  </si>
  <si>
    <t xml:space="preserve">DOI: 
https://doi.org/10.18280/ts.410335. </t>
  </si>
  <si>
    <t>BERT-based model and LLMs-generated synthetic data for conflict sentiment identification in aspect-based sentiment analysis</t>
  </si>
  <si>
    <t>Nuryani</t>
  </si>
  <si>
    <t>Rinaldi Munir, Ayu Purwarianti, Dessi Puji Lestari</t>
  </si>
  <si>
    <t>Interdisciplinary Journal of Information, Knowledge, and Management</t>
  </si>
  <si>
    <t>https://www.informingscience.org/Publications/5439?Source=%2FJournals%2FIJIKM%2FArticles%3FVolume%3D0-0</t>
  </si>
  <si>
    <t>https://doi.org/10.28945/5439</t>
  </si>
  <si>
    <t>Performance Evaluation of High-Energy LiFePO4 Battery Pack for Electric Shuttle</t>
  </si>
  <si>
    <t>https://iopscience.iop.org/article/10.1088/1755-1315/1344/1/012024</t>
  </si>
  <si>
    <t>THE SYSTEMATIC LITERATURE REVIEW: UTILIZATION OF ARTIFICIAL INTELLIGENCE IN LIBRARIES</t>
  </si>
  <si>
    <t>Kamaludin, Tupan, Dwiyanto Wahyu Ari Nugroho, Mayriyanti Annisa Anwar</t>
  </si>
  <si>
    <t>Proceedings of the 9th International Library and Information Science Society
Conference</t>
  </si>
  <si>
    <t>Tidak</t>
  </si>
  <si>
    <t>https://digilib.uin-suka.ac.id/id/eprint/74086/</t>
  </si>
  <si>
    <t>Hydrodynamics Characteristic for Catamaran Floatplane in Taxiing Condition</t>
  </si>
  <si>
    <t>https://doi.org/10.15866/irease.v17i1.24489</t>
  </si>
  <si>
    <t>Data Analytics Framework for Personalized Persuasive Technologies: A Theoretical Approach</t>
  </si>
  <si>
    <t>uhammad Aiman Md Zuki, Nazlena Mohamad Ali, Jut Kit Chaw, Muhammad Yudhi Rezaldi, Shuhadah</t>
  </si>
  <si>
    <t>Light Management Investigation of Transparent DSSC based on Ln3+ion doped BaO-ZnF2-B2O3-TeO2Glass (Ln3+= Dy3+/Sm37Eu3+) as UV Down-conversion Material</t>
  </si>
  <si>
    <t>https://doi.org/10.1088/1742-6596/2734/1/012034</t>
  </si>
  <si>
    <t>Building Interaction Virtual Reality
From the 3D Orthomosaic Model</t>
  </si>
  <si>
    <t>Perwira Ali Dzulfikar, Mochamad Azriel Saliqin, Ayung Candra Padmasari</t>
  </si>
  <si>
    <t>Comparison Study of Corn Leaf Disease Detection based on Deep Learning YOLO-v5 and YOLO-v8</t>
  </si>
  <si>
    <t>https://doi.org/10.5614/j.eng.technol.sci.2024.56.1.5</t>
  </si>
  <si>
    <t>Benchmarking The Pre-trained Transformers Model for Low-Resource Sulawesi Language Identification</t>
  </si>
  <si>
    <t>Zahrani, Hazriani, Andriansyah Oktafiandi Arisha, Muh Al-Hijr Asqalani</t>
  </si>
  <si>
    <t>Near fundamental limit performance of inverted perovskite solar cells with Anti-Reflective coating integration</t>
  </si>
  <si>
    <t>https://doi.org/10.1016/j.rio.2024.100670</t>
  </si>
  <si>
    <t>A Systematic Review of Few-Shot and Zero-Shot Learning for NLP in Low-Resource Languages: Insights and Challenges</t>
  </si>
  <si>
    <r>
      <rPr>
        <sz val="9"/>
        <color theme="1"/>
        <rFont val="Calibri"/>
      </rPr>
      <t xml:space="preserve">Dr. Dipl.(FH) Ing Asril, </t>
    </r>
    <r>
      <rPr>
        <u/>
        <sz val="9"/>
        <color rgb="FF1155CC"/>
        <rFont val="Calibri"/>
      </rPr>
      <t>M.Sc</t>
    </r>
  </si>
  <si>
    <t>Hammam Riza</t>
  </si>
  <si>
    <t>Enhanced performance of HTM-free perovskite solar cells with free-standing carbon electrode via surface treatment and conductive support</t>
  </si>
  <si>
    <t>https://doi.org/10.1016/j.synthmet.2024.117646</t>
  </si>
  <si>
    <t>Combination of rough set and cosine similarity approaches in student graduation prediction</t>
  </si>
  <si>
    <t>Ratna Yulika Go, Tinuk Andriyanti Asianto, Dewi Setiowati, Ranny Meilisa, R. Hendra Kusumawardhana</t>
  </si>
  <si>
    <t>International Journal of Electrical and Computer Engineering (IJECE)</t>
  </si>
  <si>
    <t>https://ijece.iaescore.com/index.php/IJECE/article/view/39332/18595</t>
  </si>
  <si>
    <t>https://doi.org/10.11591/ijece.v15i6.pp6001-6011</t>
  </si>
  <si>
    <t>Conformal Microstrip Antennas on the Rocket Cylinder</t>
  </si>
  <si>
    <t>https://doi.org/10.2528/PIERM23103104</t>
  </si>
  <si>
    <t>A COMPREHENSIVE BIBLIOMETRIC ANALYSIS OF OTOLITH RESEARCH ON EELS</t>
  </si>
  <si>
    <t>Metachul Kusna, T. Triyanto, Eri Sahabudin, Gadis S Haryani, L. Lukman, Hendro Wibowo, Fauzan Ali, Fachmijany Sulawesty, Endra Triwisesa, Angga Dwinovantyo, Octavianto Samir, Eva Nafisyah, N. Nurjirana &amp; S. Sutrisno</t>
  </si>
  <si>
    <t>Taprobanica: The Journal of Asian Biodiversity</t>
  </si>
  <si>
    <t>https://www.taprobanica.org/Archives/Volume-9-14-2020-26/volume-14-number-2-november-2025/v14i2-380.html</t>
  </si>
  <si>
    <t>https://www.doi.org/10.47605/tapro.v14i2.380</t>
  </si>
  <si>
    <t>Peptide-Based Flavivirus Biosensors: From Cell Structure to Virological and Serological Detection Methods</t>
  </si>
  <si>
    <t>https://doi.org/10.1021/acsbiomaterials.3c01965</t>
  </si>
  <si>
    <t>Enhancing Breast Lesion Segmentation in Ultrasound Images: a Deep Learning Approach with Modified Attention Module on U-Net</t>
  </si>
  <si>
    <t>Rachmawan Atmaji Perdana, Ilma Ainur Rahma</t>
  </si>
  <si>
    <r>
      <rPr>
        <u/>
        <sz val="9"/>
        <color rgb="FF1155CC"/>
        <rFont val="Calibri"/>
      </rPr>
      <t>PI</t>
    </r>
  </si>
  <si>
    <t>Development of Extreme Learning Machine Method for Detecting Cadmium Concentration in Beche-De-Mere Using Hyperspectral Imaging Technology</t>
  </si>
  <si>
    <t xml:space="preserve">https://doi.org/10.1109/ICMERALDA60125.2023.10458171
</t>
  </si>
  <si>
    <r>
      <rPr>
        <u/>
        <sz val="9"/>
        <color rgb="FF1155CC"/>
        <rFont val="Calibri"/>
      </rPr>
      <t>PI</t>
    </r>
  </si>
  <si>
    <t>https://brill.com/view/journals/fsd/16/2/article-p181_5.xml</t>
  </si>
  <si>
    <t>Photoluminescence and photovoltaic properties of cesium lead bromide nanocrystals with linoleic acid ligand</t>
  </si>
  <si>
    <t>https://doi.org/10.1088/1742-6596/2696/1/012006</t>
  </si>
  <si>
    <t xml:space="preserve">Bayesian Joint Spatio-Temporal Analysis of HIV/AIDS, Hepatitis B &amp; C, and Tuberculosis in Central Java
</t>
  </si>
  <si>
    <t>Elza Ully Tiara Tampubolon, Ro’fah Nur Rachmawati</t>
  </si>
  <si>
    <r>
      <rPr>
        <u/>
        <sz val="9"/>
        <color rgb="FF1155CC"/>
        <rFont val="Calibri"/>
      </rPr>
      <t>PI</t>
    </r>
  </si>
  <si>
    <t>Influence of photoanode pre-heating treatment temperatures prior to dye immersion process on dye-sensitized solar cells photovoltaic performances</t>
  </si>
  <si>
    <t>https://doi.org/10.1088/1755-1315/1344/1/012013</t>
  </si>
  <si>
    <t>Comparative Lexicon-Based Sentiment Analysis Towards Indonesian 'Cek Kesehatan Gratis' Program in X</t>
  </si>
  <si>
    <t>Fatur Rozak, Oja Widiyatama, Dian Kurniasari</t>
  </si>
  <si>
    <r>
      <rPr>
        <u/>
        <sz val="9"/>
        <color rgb="FF1155CC"/>
        <rFont val="Calibri"/>
      </rPr>
      <t>PI</t>
    </r>
  </si>
  <si>
    <t>Performance evaluation of airflow sensor for mechanical ventilator</t>
  </si>
  <si>
    <t>https://doi.org/10.1063/5.0216164</t>
  </si>
  <si>
    <t>Utilization of Large Language Models for NER Tasks with Synonym-Based Text Generation in Health News Classification</t>
  </si>
  <si>
    <t>Nur Annisa Putri Rezkia, Nazla Dzaalika Ainaya, Aang Nuryaman, Netti Herawati</t>
  </si>
  <si>
    <r>
      <rPr>
        <u/>
        <sz val="9"/>
        <color rgb="FF1155CC"/>
        <rFont val="Calibri"/>
      </rPr>
      <t>PI</t>
    </r>
  </si>
  <si>
    <t>Correlation between Two Sunshine Parameters and Three Hydrometeorological Parameters</t>
  </si>
  <si>
    <t>http://dx.doi.org/10.1088/1755-1315/1344/1/012020</t>
  </si>
  <si>
    <t>A Comparison of SAR, SEM and SARMA Models towards Pneumonia Spread in West Java</t>
  </si>
  <si>
    <t>Muhamad Syazali, Rifani Bhakti Natari, Noersomadi</t>
  </si>
  <si>
    <r>
      <rPr>
        <u/>
        <sz val="9"/>
        <color rgb="FF1155CC"/>
        <rFont val="Calibri"/>
      </rPr>
      <t>PI</t>
    </r>
  </si>
  <si>
    <t>Field Trial and Performance Evaluation of IoT Poultry Farm Monitoring System</t>
  </si>
  <si>
    <t>https://doi.org/10.24425/ijet.2024.149561</t>
  </si>
  <si>
    <t>PlanktonicX: Virtual Reality Application for Introducing Plankton and Its Environment</t>
  </si>
  <si>
    <t>Melinda Naurah Salsabila, Muhammad Iqbal Maulana, Fadillatus Syahidah, Diah Radini Noerdjito, Arief Rachman, Ery Setiyawan Jullev Atmadji</t>
  </si>
  <si>
    <t>https://drive.google.com/file/d/1hwD8ENxIodBBxYbGOmM7JUmvZzuKfCdG/view?usp=sharing</t>
  </si>
  <si>
    <t>Fabrication of binder-free TiO2 P 25 films on flexible PET/ITO substrate for photoanode in dye-sensitized solar cells</t>
  </si>
  <si>
    <t>https://doi.org/10.1016/j.optmat.2024.115690</t>
  </si>
  <si>
    <t>Interactive Real-Time Web-Based Dashboard for
Monitoring and Reporting of Cooperation
Agreement Funds Using the Streamlit Framework</t>
  </si>
  <si>
    <t>The 13th International Conference on Cyber and IT Service Management (CITSM 2025)</t>
  </si>
  <si>
    <t>https://drive.google.com/file/d/18O_fC6pCjE5eoM0qgDSi0j1nSfOPCIEE/view?usp=sharing</t>
  </si>
  <si>
    <t>Marine Larval Development Assay: Current Trends and Applications</t>
  </si>
  <si>
    <t xml:space="preserve">ISBN
978-104011200-7, 978-103241712-7
DOI : https://doi.org/10.1201/9781003359388-3 </t>
  </si>
  <si>
    <t>Real-Time Interactive Web-Based Dashboard for Researcher Network
Visualization and Intellectual Property Reporting Using the Streamlit
Framework</t>
  </si>
  <si>
    <t>125_Esa_HCIV_Accepted_Paper_174_FINAL.pdf</t>
  </si>
  <si>
    <t>A new look at an explanation of band gap of PECVD grown a-Si:H thin films using absorption spectra, spectroscopic ellipsometry, Raman, and FTIR spectrosopy</t>
  </si>
  <si>
    <t>DOI: https://doi.org/10.1016/j.optmat.2024.115809</t>
  </si>
  <si>
    <t>A comparative study of large language models with chain-of thought prompting for automated program repair</t>
  </si>
  <si>
    <t>Eko Darwiyanto, Rizky Akbar Gusnaen</t>
  </si>
  <si>
    <t>https://ijai.iaescore.com/index.php/IJAI/article/view/27992</t>
  </si>
  <si>
    <t>http://doi.org/10.11591/ijai.v14.i6.pp4579-4589</t>
  </si>
  <si>
    <t>Synthesis and characterization of Perovskite Manganate Based on La0.7Ca0.3MnO3 with Ni and Ti doping as Microwave Absorber Material</t>
  </si>
  <si>
    <t>DOI : https://doi.org/10.26554/sti.2024.9.3.577-585</t>
  </si>
  <si>
    <t>KomoTrip: a multi-day travel itinerary recommendation method based on the discrete komodo mlipir algorithm</t>
  </si>
  <si>
    <t>Z. K. Abdurahman Baizal​, Soni Fajar Surya Gumilang, Rahmat Hendrawan</t>
  </si>
  <si>
    <t>PeerJ Computer Science</t>
  </si>
  <si>
    <t>https://peerj.com/articles/cs-3350/</t>
  </si>
  <si>
    <t>https://doi.org/10.7717/peerj-cs.3350</t>
  </si>
  <si>
    <t>Gap-Embedded Patch-Antenna EOM</t>
  </si>
  <si>
    <t>DOI
https://doi.org/10.1007/978-981-33-4999-5_35-1</t>
  </si>
  <si>
    <t>The Development of an IoT and AI-Enabled Data Acquisition Module to Support Contextual EFL Writing with Future Integration of Robotics</t>
  </si>
  <si>
    <t>Ilyasa Nafan Faza, Mochammad Daffa Faqiha Fawwaz Hanjowo, Muqsit Muhammad Hanif, Wu-Yuin Hwang</t>
  </si>
  <si>
    <t>Temperature cycling effects on li-ion battery performance: An experimental study based on IEC 62660-2</t>
  </si>
  <si>
    <t>DOI : https://doi.org/10.1063/5.0205842</t>
  </si>
  <si>
    <t>Fine-Tuning Pretrained Language Models for Machine Translation in Extremely Low-Resource Language</t>
  </si>
  <si>
    <t>Development of insulation test system on DC electric vehicle charging station</t>
  </si>
  <si>
    <t>AIP Conf. Proc. 3069, 020126 (2024)
https://doi.org/10.1063/5.0205767</t>
  </si>
  <si>
    <t>The Development of the Hotel Price Monitoring Dashboard for Analyzing the Competitors Pricing: A case study</t>
  </si>
  <si>
    <t xml:space="preserve">Muhammad Fajar Jati Permana, Giap Van Nguyen, Pham Thao, Pramesthi Anggoro </t>
  </si>
  <si>
    <t>The 3rd International Conference on Artificial Intelligence, Blockchain, Cloud Computing, and Data Analytics 2025 (ICOABCD 2025)</t>
  </si>
  <si>
    <t>https://drive.google.com/file/d/1qGdpseN1UemijZsOpPZDOpF8KZ9xOueM/view?usp=sharing</t>
  </si>
  <si>
    <t>Hydrodynamic Characteristics for Catamaran Floatplane in Taxiing Conditions</t>
  </si>
  <si>
    <t>DOI: https://doi.org/10.15866/irease.v17i1.24489</t>
  </si>
  <si>
    <t>Design and Structure of the Indonesian Electronic Dictionary for Natural Language Processing</t>
  </si>
  <si>
    <t>https://drive.google.com/file/d/1N8uoTr4J1mD9xoxcEarBvXiP_OHVLIX2/view?usp=sharing</t>
  </si>
  <si>
    <t>Designing biaxial Lidar range finder based on continuous wave time of flight for middle-range application</t>
  </si>
  <si>
    <t>AIP Conf. Proc. 3069, 020050 (2024)
https://doi.org/10.1063/5.0205738</t>
  </si>
  <si>
    <t>Performance pressure control system for inlet turbine using neural network backpropagation and NARX model in the geothermal power plant 3 MW Kamojang-Indonesia</t>
  </si>
  <si>
    <t>AIP Conf. Proc. 3069, 020071 (2024)
https://doi.org/10.1063/5.0205821</t>
  </si>
  <si>
    <t>Digital transformation of operating off-shore mining vessels</t>
  </si>
  <si>
    <t>AIP Conf. Proc. 3069, 020056 (2024)
https://doi.org/10.1063/5.0205786</t>
  </si>
  <si>
    <t>Understanding magnetic interactions in SrFe12O19/CoFe2O4 nanocomposites: role of particle structure on exchange spring magnet behaviour</t>
  </si>
  <si>
    <t>Physica Scripta, Volume 99, Number 9
Citation N Idayanti et al 2024 Phys. Scr. 99 095933
DOI 10.1088/1402-4896/ad69e3</t>
  </si>
  <si>
    <t>A Technique to Enhance Two-Node Methods as Accurate as Multi-Node Methods: A Case for Human Body Temperature Measurements</t>
  </si>
  <si>
    <t>The Effect of Ti Doping on the Thermoelectric Performance of Bi2Te3 and Its Chemical Stability</t>
  </si>
  <si>
    <t>DOI: https://doi.org/10.1007/s11665-023-08444-w</t>
  </si>
  <si>
    <t>MICROSTRUCTURE CHARACTERISTICS OF Cr3C2-NiCr COATINGS DEPOSITED WITH THE HIGH-VELOCITY OXY-FUEL THERMAL-SPRAY TECHNIQUE</t>
  </si>
  <si>
    <t>DOI : https://doi.org/10.17222/mit.2023.869</t>
  </si>
  <si>
    <t>Concept and Preliminary Design of  
a Light-Weight Electric-Powered Aircraft  
with Two Seats Capacity</t>
  </si>
  <si>
    <t>https://eudl.eu/doi/10.4108/eai.8-11-2023.2345841</t>
  </si>
  <si>
    <t>The Design and Development of Lora-LoraWan Wireless Network Infrastructure with Multi Hop Capability</t>
  </si>
  <si>
    <t>Preparation and characterization of porous carbon-based oil palm empty fruit bunch as a candidate material for an electromagnetic waves absorber application</t>
  </si>
  <si>
    <t>DOI : https://doi.org/10.1063/5.0184349</t>
  </si>
  <si>
    <t>Optimizing Battery Consumption for Android-based Automatic Identification System (AIS) Application for Indonesian Fishermen</t>
  </si>
  <si>
    <t>DOI: https//doi.org/10.1109/EECSI63442.2024,</t>
  </si>
  <si>
    <t>Shedding light on N719 dye adsorption mechanisms on Degussa (Evonik) P25 TiO2 nanoparticles towards dye-sensitized solar cell performance</t>
  </si>
  <si>
    <t>DOI: https://doi.org/10.1016/j.powtec.2024.120087</t>
  </si>
  <si>
    <t>Performance Pressure Control System for Inlet Turbine 
Using Neural Network Backpropagation and NARX Model 
in the Geothermal Power Plant 3 MW Kamojang
Indonesia</t>
  </si>
  <si>
    <t>https://doi.org/10.1063/5.0205821</t>
  </si>
  <si>
    <t>Structural Stability of Vacancy and Substitutional Defects in g-GaN:   A First-Principles Study</t>
  </si>
  <si>
    <t>DOI: https://doi.org/10.48048/tis.2024.8592</t>
  </si>
  <si>
    <t>Photocatalysis-Assisted Process of Reusable PVA/TiO2 Nanofibers</t>
  </si>
  <si>
    <t>DOI: https://doi.org/10.48048/tis.2024.7772</t>
  </si>
  <si>
    <t>Evaluation of Linear-Quadratic Optimal Control in Automatic Train Operation (ATO) during Unplanned Event</t>
  </si>
  <si>
    <t>Defect passivation of organometal halide perovskite solar cells using low-cost green crystalline nanocellulose</t>
  </si>
  <si>
    <r>
      <rPr>
        <u/>
        <sz val="9"/>
        <color rgb="FF1155CC"/>
        <rFont val="Calibri"/>
      </rPr>
      <t>https://doi.org/10.1016/j.matlet.2024.137407</t>
    </r>
  </si>
  <si>
    <t>Robust  Haptic Shared Control Framework for Train Teledriving Operation : Improving  Safety and Efficiency</t>
  </si>
  <si>
    <t>Improvement of Uncertainty Evaluation on Impact Testing Machine by Implementation of Computer Vision</t>
  </si>
  <si>
    <t>Interfacial Engineering Using Low‑Temperature Indium Sulfide
Electron‑Transporting Material for Efficient Sn‑Based Perovskite Solar
Cells</t>
  </si>
  <si>
    <t>https://doi.org/10.1007/s11664-024-11488-w</t>
  </si>
  <si>
    <t>Analysis of Solar Energy Potential Based on Slope Angle Using PV-SYST 7.2.6 at the University of Pamulang—South Tangerang</t>
  </si>
  <si>
    <t>https://doi.org/10.1007/978-3-031-64330-9_8</t>
  </si>
  <si>
    <t>Detection of highly sensitive Escherichia coli (E. coli) bacteria using an electrochemical sensor based on zinc oxide/polyvinyl alcohol nanocomposite</t>
  </si>
  <si>
    <t>https://doi.org/10.1016/j.microc.2024.112044</t>
  </si>
  <si>
    <t>Super-Wideband Monopole Printed Antenna with Half-Elliptical-Shaped Patch</t>
  </si>
  <si>
    <t>https://doi.org/10.3390/telecom5030038</t>
  </si>
  <si>
    <t>Fabrication and Characterization of Dome-Shaped Actuator Membrane for Peristaltic Valveless Electromagnetic Micropump</t>
  </si>
  <si>
    <t>https://doi.org/10.58915/ijneam.v17i4.1273</t>
  </si>
  <si>
    <t>Characterization of BaFe12O19/Co3O4 using mechanical alloying approach for microwave absorbing materials</t>
  </si>
  <si>
    <t>http://doi.org/10.1016/j.cscee.2024.100965</t>
  </si>
  <si>
    <t>First-Principles Calculations of Thermoelectric Properties of Fe-Based Full-Heusler Fe2CuSi</t>
  </si>
  <si>
    <t>http://doi.org/10.7454/mss.v28i3.1469</t>
  </si>
  <si>
    <t>Characterization of A2G UAV Communication Channels Under Rician Fading Conditions</t>
  </si>
  <si>
    <t>http://doi.org/10.11591/ijeecs.v37.i1.pp143-153</t>
  </si>
  <si>
    <t>Enhancing ECG Signal Alignment Accuracy with Smoothed-QuasiPeriodic Dynamic Time Warping</t>
  </si>
  <si>
    <t>Healthcare ECG Monitoring Using MQTT For Telemedicine</t>
  </si>
  <si>
    <t>https://icipa.serral.org/2024/</t>
  </si>
  <si>
    <t>Development of Wearable Devices for Care of Patients with Heart Disorders</t>
  </si>
  <si>
    <t>Analysis of Composite Materials for UAV Airframe Towards Electromagnetic Characteristics of Airborne Circularly-Polarized Payload Antenna</t>
  </si>
  <si>
    <t>https://beei.org/index.php/EEI</t>
  </si>
  <si>
    <t>Design and Development of a 3D Object Imaging System Using Biaxial LiDAR with a Combined Motor Servo</t>
  </si>
  <si>
    <t>http://doi.org/10.1109/ICARES64249.2024.10767972</t>
  </si>
  <si>
    <t>Crosstalk Suppression by Using Aluminium and Copper Shield in UAV Cable</t>
  </si>
  <si>
    <t>A Promising Passivation Strategy using Hydroxyethyl Cellulose for Enhancing the Performance of Inorganic-based Perovskite Solar Cells</t>
  </si>
  <si>
    <t>Exploration of In2S3 as an Electron Transport Layer for All-Inorganic CsPbBr3 Perovskite Solar Cells</t>
  </si>
  <si>
    <t>Improved dye sensitized solar cells efficiency and stability using co-sensitization method of organic dyes</t>
  </si>
  <si>
    <t>Impact of Substrate on the SnO2 Electron Transport Layers and the Perovskite Solar Cells Performance</t>
  </si>
  <si>
    <t>Electron lifetime and electron transport time determination of device with Pt/PW11Cs/cellulose composite as counter electrode in dye-sensitized solar cells</t>
  </si>
  <si>
    <t>A Comparative Study of SnO₂ Deposition using Spray and Spin-Coating Technique for Electron Transport Layer of Inorganic Perovskite Solar Cells</t>
  </si>
  <si>
    <t>Zirconia Spacer Optimization for Improved Performance in HTL-Free Mesoscopic Perovskite Solar Cells with Carbon Electrode</t>
  </si>
  <si>
    <t>Impact of Uniaxial Strain Treatment on Thermoelectric Performance of Alkaline-Earth Stannate Oxides: DFT Study</t>
  </si>
  <si>
    <t>Improved performance of a SWCNT/ZnO nanostructure-integrated silicon thin-film solar cell: role of annealing temperature</t>
  </si>
  <si>
    <t>https://doi.org/10.1039/D4MA00726C</t>
  </si>
  <si>
    <t>Fabrication of a Photodetector Based on the Enhancement of Ce-Doped ZnO Thin Films Using Pulsed Laser Deposition</t>
  </si>
  <si>
    <t>https://edas.info/web/20247thisriti/program.html</t>
  </si>
  <si>
    <t xml:space="preserve">Experimental 
Evaluation of Pothole 
Detection and 
Its Dimension 
Estimation Using 
YOLOv8 and 
Depth Camera for Road 
Surface Analysis </t>
  </si>
  <si>
    <t>Sodium-Ion Concentration Extraction in Dermis Layer by Time-constant-domain Electrical Impedance Spectroscopy (TCD-EIS) with Dermis Separation Model (DSM)</t>
  </si>
  <si>
    <t>http://doi.org/10.1109/TIM.2024.3366287</t>
  </si>
  <si>
    <t>Mobile Adhoc Network (MANET) Protocol Performance with Mobility and Tx Power Variations</t>
  </si>
  <si>
    <t>“The Robustness of Linear Quadratic Regulator (LQR) and Linear Quadratic Regulator Tracker
(LQRT) Cascaded With Line-Of-Sight (LOS) Guidance Law for Quadrotor to Accomplish SAR
Mission</t>
  </si>
  <si>
    <t>Advanced Implementation of DNN Translator using ResNet9 for Edge Devices</t>
  </si>
  <si>
    <t>https://doi.org/10.15803/ijnc.14.2_145</t>
  </si>
  <si>
    <t>Microwave absorbing material of cobalt lanthanum ferrite: the contributions of intrinsic and extrinsic factors on the microwave absorption properties</t>
  </si>
  <si>
    <t>https://doi.org/10.1007/s00339-024-08062-w</t>
  </si>
  <si>
    <t>Structural Stability of Vacancy and Substitutional Defects in g-GaN: A First-Principles Study</t>
  </si>
  <si>
    <t>https://doi.org/10.48048/tis.2024.8592</t>
  </si>
  <si>
    <t>A novel combined-mode design for A MEMS-based micro passive direct methanol fuel cell</t>
  </si>
  <si>
    <t>https://doi.org/10.24191/mjcet.v7i2.1295</t>
  </si>
  <si>
    <t>Synthesis and characterization of Bamboo Activated Carbon (BAC) and Clitoria Ternatea Powder (CTP) for enhanced electromagnetic wave absorption</t>
  </si>
  <si>
    <t>https://doi.org/10.1016/j.cscee.2024.100947</t>
  </si>
  <si>
    <t>Performance Analysis of Graphene Oxide-coated QCM Sensors for Humidity Detection</t>
  </si>
  <si>
    <t>Band Stop Frequency Selective Surfaces Using Ring Resonators: Simulation and 6G Metasurface Potential</t>
  </si>
  <si>
    <t>Rapid and Low-Cost Microfluidic Devices Fabricated Using a 3D Printer</t>
  </si>
  <si>
    <t>Perfomance of PVA-SnO2 and PVA-ZnO as Sensing Materials for Thick Film Resistive Type Humidity Sensors</t>
  </si>
  <si>
    <t xml:space="preserve">Concrete Crack Detection, Orientation and 
Measurement Using a Wall Climbing Robot </t>
  </si>
  <si>
    <r>
      <rPr>
        <b/>
        <u/>
        <sz val="11"/>
        <color rgb="FF1155CC"/>
        <rFont val="&quot;Courier New&quot;"/>
      </rPr>
      <t>https://arqiipubl.com/ojs/index.php/AMS_Journal/article/view/757</t>
    </r>
  </si>
  <si>
    <t>Optimizing tumor treating fields for blood cancer therapy: Analysis of
electric field distribution and dose density</t>
  </si>
  <si>
    <t>doi: 10.2142/biophysico.bppb-v21.0013</t>
  </si>
  <si>
    <t>Indonesia Cable-Based Tsunameter (InaCBT): Tsunami
detection and identification on other seismic wave signals</t>
  </si>
  <si>
    <t>http://doi.org/10.1590/2675-2824072.23154</t>
  </si>
  <si>
    <t>Optimizing carrier transport properties in the intrinsic layer of a-Si single and double junction solar cells through numerical design</t>
  </si>
  <si>
    <t>DOI: http://doi.org/10.11591/ijeecs.v37.i1.pp69-77.</t>
  </si>
  <si>
    <t>Preliminary Study on Development of D-Shape Polymer Optical Fiber-Based SPR Sensor for Biochemical Applications</t>
  </si>
  <si>
    <t>The Design and Development of LoRa-LoRaWAN Wireless Network Infrastructure with Multi-hop Capability</t>
  </si>
  <si>
    <t>Utilization of Partial and Curling Shaped Ground Planes Microstrip Antenna for L-Band Satellite Reception</t>
  </si>
  <si>
    <t>Initial Research to Predict the Length and Weight of Nile Tilapia Using ImageAI</t>
  </si>
  <si>
    <t>Design and Analysis of Modified Rectangular Array Configurations for Improved Radiation Performance in Ku-band Applications</t>
  </si>
  <si>
    <t>Performance of PVA-SnO2 and PVA-ZnO as Sensing Materials for Thick Film Resistive Type Humidity Sensors</t>
  </si>
  <si>
    <t>Unstructured Road Detection Using A Superpixel Based Image Segmentation Clustering for Autonomous Vehicles</t>
  </si>
  <si>
    <t>First-Principles Calculations of Thermoelectric Properties of Fe Based Full- Heusler Fe2CuSi</t>
  </si>
  <si>
    <t xml:space="preserve">https://doi.org/10.7454/mss.v28i3.1469
</t>
  </si>
  <si>
    <t>Enhancement of Fire Danger Rating System for a Better Land/Forest Fire Warning in South Sumatera Province – Indonesia</t>
  </si>
  <si>
    <t>https://doi.org/10.1117/12.3009541</t>
  </si>
  <si>
    <t>PRGI</t>
  </si>
  <si>
    <t>Flood Inundation Prediction Model Related to Land Subsidence with Lidar in North Coastal Jakarta</t>
  </si>
  <si>
    <t>https://doi.org/10.1117/12.3009685</t>
  </si>
  <si>
    <t>Iterative bundle adjustment without Ground Control Points on SPOT-7 Stereogrammetry and its effect on DEM geometric accuracy</t>
  </si>
  <si>
    <t>https://doi.org/10.1117/12.3009209</t>
  </si>
  <si>
    <t>Analysis of Factors Influencing Spatial Distribution of Soil Erosion under Diverse Subwatershed Based on Geospatial Perspective: A Case Study at Citarum Watershed, West Java, Indonesia</t>
  </si>
  <si>
    <t>https://doi.org/10.1155/2024/7251691</t>
  </si>
  <si>
    <t xml:space="preserve">
Yield gap variation in rice cultivation in Indonesia</t>
  </si>
  <si>
    <t>https://doi.org/10.1515/opag-2022-0241</t>
  </si>
  <si>
    <t>Mapping of Garlic Fields Using Rules-based Techniques and Remote Sensing with A Limited Dataset</t>
  </si>
  <si>
    <t>https://doi.org/10.1117/12.3009195</t>
  </si>
  <si>
    <t>Seasonal potential fishing zone model in the regional fisheries management of Indonesia (WPP-RI) 716 based on remote sensing satellite data</t>
  </si>
  <si>
    <t>https://doi.org/10.1016/j.kjs.2023.10.002</t>
  </si>
  <si>
    <t>Multidimensional displacement analysis of Semeru Volcano, Indonesia following December 2021 eruption from multitrack InSAR observation</t>
  </si>
  <si>
    <t>https://doi.org/10.1007/s12145-024-01248-z</t>
  </si>
  <si>
    <t>Spatial-temporal dynamics of paddy productivity on the north coast of Java Island, Indonesia based on the principal component analysis of MODIS NDVI anomaly data</t>
  </si>
  <si>
    <t>https://doi.org/10.1088/1755-1315/1291/1/012016</t>
  </si>
  <si>
    <t>Adaptive Threshold from the Sentinel-2 Oil Spill Index for Oil Spill Detection</t>
  </si>
  <si>
    <t>https://doi.org/10.1117/12.3009372</t>
  </si>
  <si>
    <t>Monitoring Land Cover Change and Its Estimated Carbon Loss in the Nusantara Capital City Indonesia on High-Resolution Planet Satellite Imagery</t>
  </si>
  <si>
    <t>https://doi.org/10.1117/12.3009550</t>
  </si>
  <si>
    <t>Identification of Smoke Peatland Fire using Remote Sensing Data based on Machine Learning</t>
  </si>
  <si>
    <t>https://doi.org/10.1117/12.3009368</t>
  </si>
  <si>
    <t>Enhancing Fire Monitoring Method over Peatlands and Non-Peatlands in Indonesia Using Visible Infrared Imaging Radiometer Suite Data</t>
  </si>
  <si>
    <t>https://doi.org/10.3390/fire7010009</t>
  </si>
  <si>
    <t>Comparative Analysis of Urban Heat Island Phenomenon in Residential and Industrial Areas of Jakarta and Surabaya</t>
  </si>
  <si>
    <t>https://doi.org/10.1117/12.3009674</t>
  </si>
  <si>
    <t>Climate Change and Surface Urban Heat Islands in Jakarta: Analysis of Landsat Data and Ground Observations</t>
  </si>
  <si>
    <t>https://doi.org/10.1117/12.3009649</t>
  </si>
  <si>
    <t>PARAMETER TUNING OF UNSUPERVISED ALGORITHMS TO IDENTIFY OIL SPILLS ON THE SEA SURFACE</t>
  </si>
  <si>
    <t>https://doi.org/10.1117/12.3009603</t>
  </si>
  <si>
    <t>Earth Magnetic Fields Observation Using LAPAN-A3 Small Satellite</t>
  </si>
  <si>
    <t>https://doi.org/10.1109/LGRS.2023.3340410</t>
  </si>
  <si>
    <t>Drought index analysis on the Nusantara Capital City of Indonesia (IKN)</t>
  </si>
  <si>
    <t>https://doi.org/10.1117/12.3009696</t>
  </si>
  <si>
    <t>Development of Three-Dimensional Convolutional Neural Network for Urban Flood Classification Using Synthetic Aperture Radar Multi-Temporal Image</t>
  </si>
  <si>
    <t>https://doi.org/10.1109/APSAR58496.2023.10388541</t>
  </si>
  <si>
    <t>Performance Test of Clean-Coastal-Water Composite Sentinel 2A Image for Shallow Water Bathymetry Mapping</t>
  </si>
  <si>
    <t>https://doi.org/10.1016/j.rsase.2024.101212</t>
  </si>
  <si>
    <t>Time Series InSAR for Ground Deformation Observation in Semarang Area, Central Java</t>
  </si>
  <si>
    <t>https://doi.org/10.1109/APSAR58496.2023.10388980</t>
  </si>
  <si>
    <t>Burned Area Detection Using Convolutional Neural Network Based on Spatial Information of Synthetic Aperture Radar Data in Indonesia</t>
  </si>
  <si>
    <t>https://doi.org/10.24057/2071-9388-2024-3109</t>
  </si>
  <si>
    <t>ON RELOCATION OF SETTLEMENT AFTER THE CIANJUR EARTHQUAKE AND LANDSLIDE 2022</t>
  </si>
  <si>
    <t>https://doi.org/10.21837/pm.v22i30.1446</t>
  </si>
  <si>
    <t>Modeling the Surface Thermal Discomfort Index (STDI) in a Tropical Environments using Multi Sensors: A Case Study of East Kalimantan, The Future New Capital City of Indonesia</t>
  </si>
  <si>
    <t>https://doi.org/10.1007/s12524-024-01919-w</t>
  </si>
  <si>
    <t>Groundwater potential mapping using machine learning approach in West Java, Indonesia</t>
  </si>
  <si>
    <t>https://doi.org/10.1016/j.gsd.2024.101382</t>
  </si>
  <si>
    <t>Comparison between top and bottom of atmosphere Sentinel-2 image for mangrove mapping in Balikpapan Bay, East Kalimantan</t>
  </si>
  <si>
    <t>https://doi.org/10.1051/bioconf/20248907003</t>
  </si>
  <si>
    <t>Spatiotemporal relation of satellite-based meteorological to agricultural drought in the downstream Citarum watershed, Indonesia</t>
  </si>
  <si>
    <t>https://doi.org/10.1016/j.indic.2024.100339</t>
  </si>
  <si>
    <t>Precision Farming to Achieve Sustainable and Climate Smart Agriculture</t>
  </si>
  <si>
    <t>https://doi.org/10.1007/978-3-031-52708-1_12</t>
  </si>
  <si>
    <t>Climate Policies for Climate-Smart Approach</t>
  </si>
  <si>
    <t>https://doi.org/10.1007/978-3-031-52708-1_16</t>
  </si>
  <si>
    <t>Monitoring the Distribution of Mangrove Area using Synthetic Aperture Radar (SAR) and Optic Remote Sensing Data Fusion based on Deep Learning in Kotabaru Regency, Indonesia</t>
  </si>
  <si>
    <t>https://doi.org/10.5109/7172320</t>
  </si>
  <si>
    <t>Paddy fields classification using a 2-dimensional scatterplot of growth phenological features from Sentinel-1 data</t>
  </si>
  <si>
    <t>http://dx.doi.org/10.29244/jpsl.14.3.428</t>
  </si>
  <si>
    <t>Past and future land use change dynamics: assessing the impact of urban development on agricultural land in the Pantura Jabar region, Indonesia</t>
  </si>
  <si>
    <t>https://doi.org/10.1007/s10661-024-12819-4</t>
  </si>
  <si>
    <t>Improving the accuracy of mangrove forest mapping using sentinel image and developed classification algorithm based on machine learning</t>
  </si>
  <si>
    <t>https://doi.org/10.1080/14498596.2024.2337747</t>
  </si>
  <si>
    <t>Modelling and dynamic water analysis for the ecosystem service in the Central Citarum watershed, Indonesia</t>
  </si>
  <si>
    <t>https://doi.org/10.24425/jwld.2024.149114</t>
  </si>
  <si>
    <t>Internal and edge-effect environmental monitoring to assess the threats facing intact tropical peat swamp forest in Central Kalimantan</t>
  </si>
  <si>
    <t>https://doi.org/10.1088/1755-1315/1315/1/012021</t>
  </si>
  <si>
    <t>Rice fields classification through spectral-temporal data fusion during the rainy and dry seasons using Sentinel-2 optical images in Subang Regency, West Java, Indonesia</t>
  </si>
  <si>
    <t>https://doi.org/10.1007/s10333-024-00972-y</t>
  </si>
  <si>
    <t>Evaluating the Performance of Sentinel-1 GRDH and OCN Datasets in Capturing Sea Surface Wind in Indonesian Seas</t>
  </si>
  <si>
    <t>https://doi.org/10.1007/978-981-97-0740-9_28</t>
  </si>
  <si>
    <t>Spatial distribution models for the four commercial tuna in the sea of maritime continent using multi-sensor remote sensing and maximum entropy</t>
  </si>
  <si>
    <t>https://doi.org/10.1016/j.marenvres.2024.106540</t>
  </si>
  <si>
    <t>Comparison of Four Bivariate Statistical Models for Landslide Susceptibility Mapping (Case Study: Cisangkuy Sub Watershed, Bandung, Indonesia)</t>
  </si>
  <si>
    <t>https://doi.org/10.17794/rgn.2024.5.2</t>
  </si>
  <si>
    <t>Assessing land subsidence and analyzing tidal flooding in Tangerang, Banten</t>
  </si>
  <si>
    <t>https://doi.org/10.1051/bioconf/202410604010</t>
  </si>
  <si>
    <t>Seismic-Induced Displacement Dynamics in Banten’s Irrigation Zones: DInSAR Monitoring (2017–2020)</t>
  </si>
  <si>
    <t>https://link.springer.com/article/10.1134/S1028334X23602444</t>
  </si>
  <si>
    <t>Hydrocarbon Seepage Analysis on a Hydrocarbon Field in Indonesia Based on Plant Stress Using Landsat-8 Operational Land Imager and Field Measurements</t>
  </si>
  <si>
    <t>https://doi.org/10.5109/7183356</t>
  </si>
  <si>
    <t>Application of ChatGPT in soil science research and the perceptions of soil scientists in Indonesia</t>
  </si>
  <si>
    <t>https://doi.org/10.1016/j.aiig.2024.100078</t>
  </si>
  <si>
    <t>A phenology-based linear spectral unmixing method for rice varieties identification from Landsat 8 Satellite Image in Ngawi District, East Java, Indonesia</t>
  </si>
  <si>
    <t>https://doi.org/10.13057/biodiv/d250439</t>
  </si>
  <si>
    <t>Land Use Modeling Scenarios using Spatial Dynamic Model in Badung Regency</t>
  </si>
  <si>
    <t>hattps://doi.org/10.1088/1755-1315/1318/1/012004</t>
  </si>
  <si>
    <t>Si-Humate as soil ameliorant to improve the properties of acid sulfate soil, growth, and rice yield</t>
  </si>
  <si>
    <t>https://doi.org/10.4067/S0718-58392024000200267</t>
  </si>
  <si>
    <t>GIS-BASED ESTIMATION OF SHORELINE CHANGE AT THE OLIE PIER HARBOR HERITAGE SITE, MANGGAR, EAST BELITUNG, INDONESIA</t>
  </si>
  <si>
    <t>https://doi.org/10.30892/gtg.53202-1218</t>
  </si>
  <si>
    <t>Multisource spatiotemporal analysis of cropping patterns on dry upland: A case study in Rubaru Sub-district, Sumenep Regency</t>
  </si>
  <si>
    <t>https://doi.org/10.1016/j.ejrs.2024.04.008</t>
  </si>
  <si>
    <t>Bathymetry mapping with empirical bathymetry method based on sentinel application platform case study: Bawean Island, Central Java</t>
  </si>
  <si>
    <t>https://doi.org/10.1051/bioconf/202410604002</t>
  </si>
  <si>
    <t>Long-term Change of Water Transparency in Lake Singkarak Observed from Remote Sensing Data</t>
  </si>
  <si>
    <t>https://doi.org/10.1088/1755-1315/1313/1/012016</t>
  </si>
  <si>
    <t>Identification of petroleum degrading bacteria and the status of oil pool in South of Minas Field, Central Sumatra Basin Indonesia</t>
  </si>
  <si>
    <t>https://doi.org/10.62593/2090-2468.1033</t>
  </si>
  <si>
    <t>Evaluating Visible–Infrared Imaging Radiometer Suite Imagery for Developing Near-Real-Time Nationwide Vegetation Cover Monitoring in Indonesia</t>
  </si>
  <si>
    <t>https://doi.org/10.3390/rs16111958</t>
  </si>
  <si>
    <t>Monthly mapping of Indonesia’s burned areas: implementation, history, techniques, and future directions</t>
  </si>
  <si>
    <t>https://doi.org/10.1080/01431161.2024.2421942</t>
  </si>
  <si>
    <t>Reconstructing fresh green leaf spectra in the SWIR-2 region (2001–2500 nm) collected in a humid environment by referring to publicly available green leaf spectral databases</t>
  </si>
  <si>
    <t>https://doi.org/10.1016/j.jag.2024.103842</t>
  </si>
  <si>
    <t>An improved cloud detection method for high-resolution satellite imagery, using U-net algorithm</t>
  </si>
  <si>
    <t>https://doi.org/10.1063/5.0210240</t>
  </si>
  <si>
    <t>Inherent Optical Properties Attenuation Coefficient Modelling for Optical Shallow Water in Kepulauan Seribu of Jakarta, Indonesia</t>
  </si>
  <si>
    <t>https://doi.org/10.14710/ik.ijms.29.2.222-232</t>
  </si>
  <si>
    <t>A Wide Bandwidth 4×4 Circularly Polarized Microstrip Array Antenna for Communication Sensor</t>
  </si>
  <si>
    <t>https://doi.org/10.15866/irecap.v14i2.23911</t>
  </si>
  <si>
    <t>Coastal Vulnerability Assessment Based on Coastal Vulnerability Index (CVI) on the Coastal Area of Kolaka Regency, Southeast Sulawesi, Indonesia</t>
  </si>
  <si>
    <t>https://doi.org/10.29244/jpsl.14.2.267</t>
  </si>
  <si>
    <t>Current land subsidence in Jakarta: a multi-track SBAS InSAR analysis during 2017–2022 using C-band SAR data</t>
  </si>
  <si>
    <t>https://doi.org/10.1080/10106049.2024.2364726</t>
  </si>
  <si>
    <t>Land in limbo: Nearly one third of Indonesia’s cleared old-growth forests left idle</t>
  </si>
  <si>
    <t>https://doi.org/10.1073/pnas.2318029121</t>
  </si>
  <si>
    <t xml:space="preserve">Evaluating the effects of changes in land use and assessing the value of ecosystem services in the Cisadane Watershed, Banten Province, Indonesia
</t>
  </si>
  <si>
    <t>https://doi.org/10.24294/jipd.v8i6.3788</t>
  </si>
  <si>
    <t>Sentinel-2A multispectral image analysis for seagrass mapping in Bintan's shallow water ecosystem: A case study of Teluk Bakau, Malang Rapat, and Berakit villages</t>
  </si>
  <si>
    <t>https://doi.org/10.1016/j.kjs.2024.100286</t>
  </si>
  <si>
    <t>USG matrix analysis and power interest to improve community environmental awareness: A case study of mangrove land cover to support community and environmental education</t>
  </si>
  <si>
    <t>https://doi.org/10.21833/ijaas.2024.07.002</t>
  </si>
  <si>
    <t>Estimation of Potential Skipjack Tuna Fishing Ground Using MODIS Data in 2020–2021 (Case Study: Bali Strait)</t>
  </si>
  <si>
    <t>https://doi.org/10.1007/978-981-97-0740-9_31</t>
  </si>
  <si>
    <t>Monthly Variation of Potential Area of Skipjack Tuna in the Bali Strait Based on Modis Image Data, 2020</t>
  </si>
  <si>
    <t>https://doi.org/10.1007/978-981-97-0740-9_15</t>
  </si>
  <si>
    <t>Rice Phenology Classification Model Based on Sentinel-1 Using Machine Learning Method on Google Earth Engine</t>
  </si>
  <si>
    <t>Sequencing seabed morphology through bathymetric profiling on Brebes coastal area</t>
  </si>
  <si>
    <t>https://doi.org/10.1088/1755-1315/1357/1/012014</t>
  </si>
  <si>
    <t>Modeling Proboscis Monkey Conservation Sites on Borneo Using Ensemble Machine Learning</t>
  </si>
  <si>
    <t>https://doi.org/10.1016/j.gecco.2024.e03101</t>
  </si>
  <si>
    <t>Optimizing the development of renewable energy and fossil energy during the energy transition in Indonesia: A paper review</t>
  </si>
  <si>
    <t>https://doi.org/10.1063/5.0206075</t>
  </si>
  <si>
    <t>Potential of CCS in East Kalimantan’s Coal-Power Sector for Achieving Net-Zero Emissions</t>
  </si>
  <si>
    <t>https://doi.org/10.5109/7236896</t>
  </si>
  <si>
    <t>New Approach to Mapping Regional Vulnerability in Controlling Tuberculosis in Indonesia</t>
  </si>
  <si>
    <t>https://doi.org/10.21109/kesmas.v19isp1.2067</t>
  </si>
  <si>
    <t>A technology acceptance model of satellite-based hydrometeorological hazards early warning system in Indonesia: an-extended technology acceptance model</t>
  </si>
  <si>
    <t>https://doi.org/10.1080/23311975.2024.2374880</t>
  </si>
  <si>
    <t>Phenology Model of Oil Palm Plantation Based on Biophysical Parameter On Sentinel-1A Using Multiple Linear Regression (MLR)</t>
  </si>
  <si>
    <t>https://doi.org/10.1007/s12524-024-01973-4</t>
  </si>
  <si>
    <t>Evaluation of speckle filtering configurations on Sentinel-1 SAR backscatter analysis ready data (S1ARD) preparation framework on the google earth engine platform for supporting rice monitoring activities</t>
  </si>
  <si>
    <t>https://doi.org/10.1016/j.rsase.2024.101337</t>
  </si>
  <si>
    <t>Comparison of Statistical and Machine-Learning Model for Analyzing Landslide Susceptibility in Sumedang Area, Indonesia</t>
  </si>
  <si>
    <t>https://doi.org/10.7494/geom.2024.18.2.73</t>
  </si>
  <si>
    <t>Deep learning for real-time P-wave detection: A case study in Indonesia’s earthquake early warning system</t>
  </si>
  <si>
    <t>https://doi.org/10.1016/j.acags.2024.100194</t>
  </si>
  <si>
    <t>The LST and NDVI Before and After Earthquake of West Celebes 2021 Using Terra/Aqua MODIS Satellite Image</t>
  </si>
  <si>
    <t>https://doi.org/10.1007/978-981-97-5746-6_9</t>
  </si>
  <si>
    <t>Forecasting the Probability of Monthly Cloud Occurrence Over Eastern Java Using Deep Learning and Remote Sensing Data</t>
  </si>
  <si>
    <t>https://doi.org/10.1016/j.procs.2024.10.270</t>
  </si>
  <si>
    <t>Benchmarking data handling strategies for landslide susceptibility modeling using random forest workflows</t>
  </si>
  <si>
    <t>https://doi.org/10.1016/j.aiig.2024.100093</t>
  </si>
  <si>
    <t>Evaluating Digital Elevation Model generation from Sentinel-1 SAR data in challenging tropical environments</t>
  </si>
  <si>
    <t>https://doi.org/10.1007/s40808-024-02171-4</t>
  </si>
  <si>
    <t>Leveraging Machine Learning and Spatial Analysis to Analyze Dynamic Land-Use Changes in Indramayu Regency to Enhance Food Security</t>
  </si>
  <si>
    <t>https://doi.org/10.1109/IC3INA64086.2024.10732080</t>
  </si>
  <si>
    <t>The Performance of Bivariate Statistical Models in Landslide Susceptibility Mapping (Case Study: Cisangkuy Sub-Watershed, Bandung, Indonesia)</t>
  </si>
  <si>
    <t>http://doi.org/10.17794/rgn.2024.5.2</t>
  </si>
  <si>
    <t>Comparison of the Naïve Bayes and the Nearest Neighbor method to detect vegetation in some of the New Capital of Indonesia (IKN)</t>
  </si>
  <si>
    <t>https://doi.org/10.1088/1755-1315/1388/1/012045</t>
  </si>
  <si>
    <t>Using Neural Networks for Sustainable Land Use Prediction in Sumbawa Regency, Indonesia</t>
  </si>
  <si>
    <t>https://doi.org/10.35762/AER.2024045</t>
  </si>
  <si>
    <t>Preserving paddy fields through tourism in Indonesia: opportunities and challenges</t>
  </si>
  <si>
    <t>https://doi.org/10.1108/IJTC-01-2024-0040</t>
  </si>
  <si>
    <t>Incorporating Himawari-8 into the Indonesian National Remote Sensing Data Center</t>
  </si>
  <si>
    <t>https://doi.org/10.1063/5.0238344</t>
  </si>
  <si>
    <t>Automatic Flood Detection Products Conversion Module to Support Web-Based Dissemination System</t>
  </si>
  <si>
    <t>https://doi.org/10.1063/5.0226104</t>
  </si>
  <si>
    <t>Reproductive Performance of Sakub Ewes Kept By Smallholder Farmers in Brebes Regency</t>
  </si>
  <si>
    <t>https://doi.org/10.1063/5.0224037</t>
  </si>
  <si>
    <t>Multispectral Insights into Turbidity Variations Over Time in The Derawan Island</t>
  </si>
  <si>
    <t>https://doi.org/10.1088/1755-1315/1406/1/012011</t>
  </si>
  <si>
    <t>Development of CCSDS Remote Sensing Satellite Raw data Extraction Based on Reed Solomon Code Using SoC Development Board</t>
  </si>
  <si>
    <t>https://doi.org/10.1109/ICITISEE63424.2024.10730525</t>
  </si>
  <si>
    <t>Significance of weather condition, human mobility, and vaccination on global COVID-19 transmission</t>
  </si>
  <si>
    <t>https://doi.org/10.1016/j.sste.2024.100635</t>
  </si>
  <si>
    <t>PRK</t>
  </si>
  <si>
    <t>Solubility investigation of Regorafenib monohydrate (colorectal anticancer drug) in supercritical CO2: Experimental and thermodynamic modeling</t>
  </si>
  <si>
    <t>http://dx.doi.org/10.1016/j.heliyon.2024.e29049</t>
  </si>
  <si>
    <t>Fabrication and characterization of sealed source scandium-46 (46Sc) for industrial gamma scanning applications</t>
  </si>
  <si>
    <t>https://doi.org/10.1007/s10967-023-09208-5</t>
  </si>
  <si>
    <t>Internalization of Scandium-46 labeled Zirconium doped Hydroxyapatite in Lung Cancer Cell and In Silico Study of Its Mechanism</t>
  </si>
  <si>
    <t>https://doi.org/10.1063/5.0193439</t>
  </si>
  <si>
    <t>Preparation and Physicochemical Characterization of Novel [131I]I-Pramipexole Labeled Compound as Potential Agents for Brain Imaging</t>
  </si>
  <si>
    <t>https://doi.org/10.1063/5.0193260</t>
  </si>
  <si>
    <t>Preliminary Study of Radioisotopes Actinium-225 (225Ac) Production using Indonesian DECY-13 Cyclotron Conceptual Design</t>
  </si>
  <si>
    <t>https://doi.org/10.1063/5.0193405</t>
  </si>
  <si>
    <t>Landslide-generated tsunami wave simulation using Coupled Multi-
phase CFD and Boussinesq-type models</t>
  </si>
  <si>
    <t>https://doi.org/10.1016/j.oceaneng.2024.117461</t>
  </si>
  <si>
    <t>A Deep Learning Approach for Wind Downscaling Using Spatially Correlated Global Wind Data</t>
  </si>
  <si>
    <t>https://doi.org/10.1007/s41060-024-00629-3</t>
  </si>
  <si>
    <t>The complete chloroplast genome of Mangifera similis Blume (Anacardiaceae) from Bangka Island, Indonesia</t>
  </si>
  <si>
    <t>https://doi.org/10.1016/j.japb.2023.12.012</t>
  </si>
  <si>
    <t>Experimental and numerical analysis of crack propagation material Al 2024 under spectrum load</t>
  </si>
  <si>
    <t>https://doi.org/10.1063/5.0186423</t>
  </si>
  <si>
    <t>The Production of Microalgae and Cyanobacteria Biomass and Their Valuable Bioproducts</t>
  </si>
  <si>
    <t>https://doi.org/10.1007/978-981-99-7769-7_7</t>
  </si>
  <si>
    <t>An Overview on Managing Minute Duckweed (Lemna Perpusilla Torr) Cultivation for Fish Feed Purpose</t>
  </si>
  <si>
    <t>https://doi.org/10.1007/978-981-99-7769-7_8</t>
  </si>
  <si>
    <t>Numerical Simulation of Pipeline Scour and Sedimentation around Submerged Pipelines with an Open-Source Multiphase-CFD Model</t>
  </si>
  <si>
    <t>https://doi.org/10.37934/cfdl.16.7.150165</t>
  </si>
  <si>
    <t>Cultivation Of Spirulina Platensis for carbon dioxide bio sequestration in hybrid photobioreactor with real-time monitoring system</t>
  </si>
  <si>
    <t>https://doi.org/10.1016/j.jece.2024.112396</t>
  </si>
  <si>
    <t>Cellular Uptake and Computational Analysis of [131I]-Xanthine and [131I]-Hypoxanthine in Human Prostate Cancer Cell Line (LNCaP)</t>
  </si>
  <si>
    <t xml:space="preserve">https://doi.org/10.7454/mss.v28i3.2140
</t>
  </si>
  <si>
    <t>Potential biomarker signatures in male infertility: integrative genomic analysis</t>
  </si>
  <si>
    <t>https://doi.org/10.1186/s43042-024-00512-7</t>
  </si>
  <si>
    <t>Skin microbial composition combined with genetic mutation: a preciser tool for Epidermolysis Bullosa</t>
  </si>
  <si>
    <t>Determination of Regorafenib monohydrate (colorectal anticancer drug) solubility in supercritical CO2: Experimental and thermodynamic modeling</t>
  </si>
  <si>
    <t>https://doi.org/10.1016/j.heliyon.2024.e29049</t>
  </si>
  <si>
    <t>Global, regional, and national burden of disorders affecting the nervous system, 1990–2021: a systematic analysis for the Global Burden of Disease Study 2021</t>
  </si>
  <si>
    <t>https://doi.org/10.1016/S1474-4422(24)00038-3</t>
  </si>
  <si>
    <t>Identification of pathogenic gene variants in carpal tunnel syndrome using bioinformatics approaches</t>
  </si>
  <si>
    <t>https://doi.org/10.1051/e3sconf/202450101022</t>
  </si>
  <si>
    <t>Identifying pathogenic variants associated with Alzeimer by integrating genomic databases and bioinformatics approaches</t>
  </si>
  <si>
    <t>https://doi.org/10.1051/e3sconf/202450101021</t>
  </si>
  <si>
    <t>Global age-sex-specific mortality, life expectancy, and population estimates in 204 countries and territories and 811 subnational locations, 1950–2021, and the impact of the COVID-19 pandemic: a comprehensive demographic analysis for the Global Burden of Disease Study 2021</t>
  </si>
  <si>
    <t>https://doi.org/10.1016/S0140-6736(24)00476-8</t>
  </si>
  <si>
    <t>EXPLORATION OF THE ACTIVE COMPOUNDS OF MORINGA OLEIFERA LAM AS HIV-1 REVERSE TRANSCRIPTASE INHIBITOR: A NETWORK PHARMACOLOGY AND MOLECULAR DOCKING APPROACH</t>
  </si>
  <si>
    <t>https://doi.org/10.22159/ijap.2024v16i2.49855</t>
  </si>
  <si>
    <t>Scaling of waves between monotone slopes</t>
  </si>
  <si>
    <t>https://doi.org/10.1016/j.wavemoti.2024.103330</t>
  </si>
  <si>
    <t>Citric acid-glycerol-based NADES for microwave-assisted extraction enhances the polyphenols level of Eleutherine bulbosa mill. Urb. Bulbs</t>
  </si>
  <si>
    <t>https://doi.org/10.7324/JAPS.2024.180291</t>
  </si>
  <si>
    <t>Denoising Ambulatory Electrocardiogram Signal Using Interval Dedependent Thresholds based Stationary Wavelet Transform</t>
  </si>
  <si>
    <t>https://doi.org/10.62527/joiv.8.2.2428</t>
  </si>
  <si>
    <t>Nutritional profiling and in silico analysis of pharmacological activities from local rice Pulu Mandoti fermented with Pleurotus spp.</t>
  </si>
  <si>
    <t>https://doi.org/10.1007/s11274-024-03979-z</t>
  </si>
  <si>
    <t>Bathymetry Mapping with Empirical Bathymetry Method Based on Sentinel Application Platform Case Study: Bawean Island, Central Java</t>
  </si>
  <si>
    <t>Spatial Distribution Models for the Four Commercial Tuna in the Sea of Maritime Continent using Multi-Sensor Remote Sensing and Maximum Entropy</t>
  </si>
  <si>
    <t>Effect of bathymetry data on tsunami wave ray tracing in the western Banten sea</t>
  </si>
  <si>
    <t>https://doi.org/10.1016/j.csr.2024.105247</t>
  </si>
  <si>
    <t>Solubility measurement of Triamcinolone acetonide (steroid medication) in supercritical CO2: Experimental and thermodynamic modeling</t>
  </si>
  <si>
    <t>https://doi.org/10.1016/j.supflu.2023.106119</t>
  </si>
  <si>
    <t>A Study for a Radio Telescope in Indonesia: Parabolic Design, Simulation of a Horn Antenna, and Radio Frequency Survey in Frequency of 0.045–18 GHz</t>
  </si>
  <si>
    <t>https://doi.org/10.3390/aerospace11010052</t>
  </si>
  <si>
    <t>Investigations of Ni(II)Cysteine-Tyrosine Dithiocarbamate Complex: Synthesis, Characterization, Molecular Docking, Molecular Dynamic, and Anticancer Activity on MCF-7 Breast Cancer Cell Line</t>
  </si>
  <si>
    <t>https://doi.org/10.31557/APJCP.2024.25.4.1301</t>
  </si>
  <si>
    <t>Exploring the knowledge certainty shift: Metaknowledge analysis on drugs via assertion uncertainty burstiness</t>
  </si>
  <si>
    <t>https://doi.org/10.1016/j.joi.2023.101412</t>
  </si>
  <si>
    <t>Genetic-driven biomarkers for liver fibrosis through bioinformatic approach</t>
  </si>
  <si>
    <t>https://doi.org/10.1186/s43042-024-00528-z</t>
  </si>
  <si>
    <t>Global, regional, and national incidence and mortality burden of non-COVID-19 lower respiratory infections and aetiologies, 1990–2021: a systematic analysis from the Global Burden of Disease Study 2021</t>
  </si>
  <si>
    <t>https://doi.org/10.1016/S1473-3099(24)00176-2</t>
  </si>
  <si>
    <t>Phycoremediation of Food Processing Wastewater by Microalgae</t>
  </si>
  <si>
    <t>https://doi.org/10.1002/9783527843367.ch16</t>
  </si>
  <si>
    <t>Exploring the potential of metalloporphyrin-like C54N4 fullerene (TM-PC60F) nanoclusters as new drug delivery platform for 5-fluorouracil: A DFT and QTAIM study</t>
  </si>
  <si>
    <t>https://doi.org/10.1016/j.diamond.2024.111267</t>
  </si>
  <si>
    <t>Preliminary study of hydrodynamics of lake batur in connection to fish mortality cases</t>
  </si>
  <si>
    <t>Identification of variation in Fibromelanosis region on chromosome 20 for determining the purity of Indonesian Cemani chicken</t>
  </si>
  <si>
    <t>https://doi.org/10.1101/2022.11.13.516295</t>
  </si>
  <si>
    <t>The Road Safety: Utilising Machine Learning Approach for Predicting Fatality in Toll Road Accidents</t>
  </si>
  <si>
    <t>https://doi.org/10.31603/ae.11082</t>
  </si>
  <si>
    <t>Assessment of genetic diversity among sago palms (Metroxylon sagu Rottb.) in Bengkulu, Indonesia using simple sequence repeats</t>
  </si>
  <si>
    <t>https://doi.org/10.1007/s10722-023-01819-x</t>
  </si>
  <si>
    <t>Molecular Docking Study of Pramipexole Derivatives as Radiopharmaceutical Candidates for Brain Imaging</t>
  </si>
  <si>
    <t>https://doi.org/10.1051/e3sconf/202450303001</t>
  </si>
  <si>
    <t>The Fabrication Method of Scandium-46 (46Sc) Sealed Source For Calibration Standard</t>
  </si>
  <si>
    <t>https://doi.org/10.1007/s10967-024-09613-4</t>
  </si>
  <si>
    <t>Global pattern, trend, and cross-country inequality of early musculoskeletal disorders from 1990 to 2019, with projection from 2020 to 2050</t>
  </si>
  <si>
    <t>https://doi.org/10.1016/j.medj.2024.04.009</t>
  </si>
  <si>
    <t>The Rate of Modelling the Change of Hydrodynamic Components and Ecosystem Degradation due to the Existence of Coastal Reclamation Research in 2012-2022</t>
  </si>
  <si>
    <t>https://journal.rescollacomm.com/index.php/ijrcs/article/view/615/515</t>
  </si>
  <si>
    <t>Bioinformatics Insights into Transcriptomic Biomarkers for Atopic Dermatitis</t>
  </si>
  <si>
    <t>https://drive.google.com/file/d/1-53e0xdpMexQBo8g2leqFFcqat53umXP/view?usp=sharing</t>
  </si>
  <si>
    <t>The complete mitochondrial genome of the blackskin catfish (Clarias meladerma: Clariidae) from Rokan River, Riau, Indonesia</t>
  </si>
  <si>
    <t>https://doi.org/10.1080/23802359.2024.2392742</t>
  </si>
  <si>
    <t>Performance ranking of multiple CORDEX-SEA sensitivity experiments: towards an optimum choice of physical schemes for RegCM over Southeast Asia</t>
  </si>
  <si>
    <t>https://doi.org/10.1007/s00382-024-07353-5</t>
  </si>
  <si>
    <t>Effect of Mass Transfer on The Stability of CRTBP</t>
  </si>
  <si>
    <t>https://doi.org/10.59277/roaj.2024.1-2.03</t>
  </si>
  <si>
    <t>The AllWISE Catalog as an Infrared Celestial Reference Frame in the Gaia Era</t>
  </si>
  <si>
    <t>https://doi.org/10.3847/1538-3881/ad6dd5</t>
  </si>
  <si>
    <t>Two-level Modelling of Tuberculosis Treatment in Malang Regency</t>
  </si>
  <si>
    <t>https://doi.org/10.1063/5.0225815</t>
  </si>
  <si>
    <t>Modelling and mapping the poverty levels with applied spatial regression model in South Sulawesi province of Indonesia</t>
  </si>
  <si>
    <t>https://doi.org/10.18488/35.v11i1.3608</t>
  </si>
  <si>
    <t>The Coronal Flattening Index at the 20 April 2023 Total Solar Eclipse and the Prediction of Solar Cycle 25</t>
  </si>
  <si>
    <t>https://doi.org/10.1007/s11207-024-02307-w</t>
  </si>
  <si>
    <t>The Wiener Index, the Harmonic Index, and the Graph Representation of the Prime Ideal Graph for the Integers Modulo Rings with Prime Power Order</t>
  </si>
  <si>
    <t>https://doi.org/10.1007/978-981-97-2136-8_28</t>
  </si>
  <si>
    <t>Computational Systems and Network Biology Perspective: Understanding Klebsiella pneumoniae Infection Mechanisms</t>
  </si>
  <si>
    <t>https://doi.org/10.1016/j.microb.2024.100175</t>
  </si>
  <si>
    <t>Atmospheric Degradation Mechanism of Isoamyl Acetate Initiated by OH Radicals and Cl Atoms Revealed by Quantum Chemical Calculations and Kinetic Modeling</t>
  </si>
  <si>
    <t>https://doi.org/10.1021/acs.jpca.4c05204</t>
  </si>
  <si>
    <t>saLFIA: Semi-Automatic Live Feeds Image Annotation Tool for Vehicle Classification Dataset</t>
  </si>
  <si>
    <t>https://doi.org/10.5614/itbj.ict.res.appl.2023.18.2.5</t>
  </si>
  <si>
    <t>Can Milky Way rotation curve constrain dark matter gravity-matter coupling?</t>
  </si>
  <si>
    <t>Comparison Studi of Radio Telescope System For Radio Telescope On Timau National Observatory Of Indonesia</t>
  </si>
  <si>
    <t>Maximum Tides in West Coast of Sumatra Affected by Astronomical Constituents</t>
  </si>
  <si>
    <t>Implementation of Risk Factor on Optimisation Model to Minimise Transportation Cost of Fatty Acid Methyl Ester (FAME) as Biodiesel Raw Material</t>
  </si>
  <si>
    <t>https://doi.org/10.5109/7236904</t>
  </si>
  <si>
    <t>NMR-based metabolic profiling and antioxidant activity of Eleutherine bulbosa bulb ethanol extract</t>
  </si>
  <si>
    <t>https://doi.org/10.1080/14786419.2024.2406996</t>
  </si>
  <si>
    <t>Subaerial landslide-induced waves investigated with an adaptively mesh refined multiphase granular flow model</t>
  </si>
  <si>
    <t>https://doi.org/10.1016/j.coastaleng.2024.104628</t>
  </si>
  <si>
    <t>Ensemble Deep Learning for Lung Cancer Classification</t>
  </si>
  <si>
    <t>https://doi.org/10.1109/IC3INA64086.2024.10732035</t>
  </si>
  <si>
    <t>Location of the Collinear Equilibrium Points in the Elliptic Restricted Three-Body Problem with Various Perturbation Effects</t>
  </si>
  <si>
    <t>https://doi.org/10.1088/1742-6596/2866/1/012077</t>
  </si>
  <si>
    <t>CNN Architectures Exploration and Analysis for Multiclass Skin Diseases Identification</t>
  </si>
  <si>
    <t>Detection of DNA methylation from buccal swabs using nanopore sequencing to study stunting</t>
  </si>
  <si>
    <t>https://doi.org/10.1080/15592294.2024.2418717</t>
  </si>
  <si>
    <t>Kambo tourism village masterplan: Community participation in tourism development</t>
  </si>
  <si>
    <t>https://doi.org/10.24294/jipd.v8i12.8978</t>
  </si>
  <si>
    <t>Fine Tuning Swin Transformer Based Pretrained Model for Microscopic Fungi Images Classification</t>
  </si>
  <si>
    <t>http://dx.doi.org/10.1109/IC3INA64086.2024.10732255</t>
  </si>
  <si>
    <t>Exploring the diverse therapeutic benefits of metformin: from anti-cancer to anti-inflammation and PCOS management</t>
  </si>
  <si>
    <t>https://doi.org/10.69857/joapr.v12i4.573</t>
  </si>
  <si>
    <t>Unveiling the impacts of metformin on hepatocellular carcinoma: A bioinformatic exploration in cell lines</t>
  </si>
  <si>
    <t>https://doi.org/10.52225/narra.v4i3.968</t>
  </si>
  <si>
    <t>Potential Occurrence of Drug-Related Problems (DRPs) in Type 2 Diabetes Mellitus Patients</t>
  </si>
  <si>
    <t>Promising candidate drug target genes to be repurposed for cervical cancer through bioinformatic based approach</t>
  </si>
  <si>
    <t>https://narraj.org/main/article/view/938</t>
  </si>
  <si>
    <t>Atherosclerosis Disease Research Using Precision Medicine (1994–2024): A Bibliometric Analysis</t>
  </si>
  <si>
    <t>Insights into the structural features and phylogenetic implications of the complete mitochondrial genome of Fasin rainbow fish (Melanotaenia fasinensis)</t>
  </si>
  <si>
    <t>https://doi.org/10.1186/s12864-024-10996-7</t>
  </si>
  <si>
    <t>Dynamical Evolution of Earth Mini-Moon 2020 CD3: Role of Invariant Manifold</t>
  </si>
  <si>
    <t xml:space="preserve">https://www.scopus.com/record/display.uri?eid=2-s2.0-85212078279&amp;origin=resultslist&amp;sort=plf-f&amp;src=s&amp;sot=b&amp;sdt=b&amp;s=TITLE-ABS-KEY%28Dynamical+Evolution+of+Earth+Mini-Moon+2020+CD3%3A+Role+of+Invariant+Manifold%29&amp;sessionSearchId=53c218c9f6485df3533a01db87d41109&amp;relpos=0
</t>
  </si>
  <si>
    <t>Predicting Single Mutation of Monoclonal Antibodies Using Language Models</t>
  </si>
  <si>
    <t>Examining Between-Sectors Knowledge Transfer in the Pharmacology Field</t>
  </si>
  <si>
    <t>https://doi.org/10.1007/s11192-024-05040-0</t>
  </si>
  <si>
    <t>Dynamic Monitoring of Tropospheric Ozone  Concentrations in Northeast and Midwest Brazil: Insights into Seasonal Variations and Climatic Influences</t>
  </si>
  <si>
    <t>https://drive.google.com/drive/folders/1CFPpwUkvkhjrbIZDF4_4wbQZsNvJrEDH</t>
  </si>
  <si>
    <t>Assessing The Spatiotemporal Precipitation Trends from ERA5-Land over Indonesia Region</t>
  </si>
  <si>
    <t>Extreme Precipitation Analysis in Bengawan Solo</t>
  </si>
  <si>
    <t>Kinetic modeling of plasma fluorination on pyrene and coronene as graphene models</t>
  </si>
  <si>
    <t>A Comparative Study of the Organellar Genome of Gyrinops versteegii and Aquilaria malaccensis</t>
  </si>
  <si>
    <t>An eficient multi label deep learning approach for precision face skin condition identification</t>
  </si>
  <si>
    <t>Measuring the Solubility of Tacrolimus in supercritical Carbon Dioxide (binary and ternary systems), Comparing the performance of machine learning models with conventional models</t>
  </si>
  <si>
    <t>https://doi.org/10.1016/j.molliq.2024.126295</t>
  </si>
  <si>
    <t>Determination of 5-fluorouracil anti-cancer drug solubility in supercritical CO2: Evaluation of semi-empirical, quantum chemistry and machine learning models</t>
  </si>
  <si>
    <t>Profiling the non-targeted protein in Sunda porcupine (Hystrix javanica) quills to identify the wound healing potential substance</t>
  </si>
  <si>
    <t>A DFT study of doped first-row transition metals on Si12C12 nanocages as promising nanosensors for detecting volatile amines of fish spoilage</t>
  </si>
  <si>
    <t xml:space="preserve">https://doi.org/10.1016/j.comptc.2024.115051
</t>
  </si>
  <si>
    <t>Exploring the Anti-Inflammatory Properties of Metformin in Experimental Hemorrhoid Models</t>
  </si>
  <si>
    <t>Leukaemia Approach by Intensively Integrating Genomic and Bioinformatic Databases</t>
  </si>
  <si>
    <t>Machine Learning Surrogate Model for Neutron Star Mass and Radius from Piecewise Polytropic Parameters</t>
  </si>
  <si>
    <t>https://drive.google.com/file/d/15czx-WMz8fiKAt00dns-u48ZnowS28ro/view?usp=sharing</t>
  </si>
  <si>
    <t>A comparative evaluation of landslide susceptibility mapping using machine learning-based methods in Bogor area of Indonesia</t>
  </si>
  <si>
    <t>https://doi.org/10.1007/s12665-023-11402-3</t>
  </si>
  <si>
    <t>PRKAKS</t>
  </si>
  <si>
    <t>COVID-19 Preventive Behavior and Digital Media: A Bibliometric Study</t>
  </si>
  <si>
    <t>https://doi.org/10.11114/smc.v12i1.6407</t>
  </si>
  <si>
    <t>ISO 50001 BASED ENERGY MANAGEMENT SYSTEM: A BIBLIOMETRIC PERSPECTIVE</t>
  </si>
  <si>
    <t>https://doi.org/10.1108/IJESM-08-2023-0001</t>
  </si>
  <si>
    <t>Autonomous Vehicles and Consumer Acceptance: A Bibliometric Analysis Perspective</t>
  </si>
  <si>
    <t>https://doi.org/10.1108/K-09-2023-1734</t>
  </si>
  <si>
    <t>Optimisation of automatic optical inspection on THT-PCB based on image segmentation and GLCM</t>
  </si>
  <si>
    <t>https://doi.org/10.1080/2374068X.2024.2306572</t>
  </si>
  <si>
    <t>https://doi.org/10.33640/2405-609X.3341</t>
  </si>
  <si>
    <t>A Novel Approach for Face Recognition: YOLO-Based Face Detection and Facenet</t>
  </si>
  <si>
    <t>https://doi.org/10.1109/ICWT58823.2023.10335263</t>
  </si>
  <si>
    <t>Applying CNN to Classify Gender for Identity Verification System</t>
  </si>
  <si>
    <t>https://doi.org/10.1109/ICWT58823.2023.10335249</t>
  </si>
  <si>
    <t>Development of Passive Liveness Detection System Based on Deep Learning LivenessNet to Overcome Face Spoofing</t>
  </si>
  <si>
    <t>https://doi.org/10.1109/TSSA59948.2023.10366908</t>
  </si>
  <si>
    <t>Development of Active Liveness Detection System Based on Deep Learning ActivenessNet to Overcome Face Spoofing</t>
  </si>
  <si>
    <t>https://doi.org/10.1109/ICWT58823.2023.10335354</t>
  </si>
  <si>
    <t>On the Performance of Face Recognition Models for Local Faces Dataset</t>
  </si>
  <si>
    <t>https://doi.org/10.1109/TSSA59948.2023.10366896</t>
  </si>
  <si>
    <t>Web-Based Gender Classification ML Application Development for e-KYC</t>
  </si>
  <si>
    <t>https://doi.org/10.1109/TSSA59948.2023.10366938</t>
  </si>
  <si>
    <t>Web-based Face Detection and Recognition using YOLO and Dlib</t>
  </si>
  <si>
    <t>https://doi.org/10.1109/TSSA59948.2023.10366984</t>
  </si>
  <si>
    <t>https://doi.org/10.1063/5.020810</t>
  </si>
  <si>
    <t>Low-cost network-enabled dissolved oxygen sensor: Sensor linearity characteristic</t>
  </si>
  <si>
    <t>https://doi.org/10.1016/j.matpr.2024.04.099</t>
  </si>
  <si>
    <t>Study of Low-Cost Network-Enabled dissolved oxygen sensor</t>
  </si>
  <si>
    <t>https://doi.org/10.1016/j.matpr.2024.03.021</t>
  </si>
  <si>
    <t>Leveraging Technology Enhancement: The Well-Being Emotional Intelligence, Security Keys to the University Students’ Readiness in Digital Learning Ecosystem</t>
  </si>
  <si>
    <t>https://doi.org/10.3390/su16093765</t>
  </si>
  <si>
    <t>Enhancing Maize Germplasm Selection for Genebanks: A Decision Support System Combining Shannon-Weaver Diversity Index and Machine Learning</t>
  </si>
  <si>
    <t>https://doi.org/10.18280/ijdne.190229</t>
  </si>
  <si>
    <t>Utilization of Frequency Ratio and Logistic Regression Model for Landslide Susceptibility Mapping in Bogor Area</t>
  </si>
  <si>
    <t>https://doi.org/10.18517/ijaseit.14.2.19345</t>
  </si>
  <si>
    <t>Towards Deep Face Spoofing: Taxonomy, Recent Advances, and Open Challenges</t>
  </si>
  <si>
    <t>https://doi.org/10.1109/TBIOM.2024.3417372</t>
  </si>
  <si>
    <t>Factors Influencing Consumers' Intention to Use Over-the-Top (OTT) Services: A Study in Brunei Darussalam</t>
  </si>
  <si>
    <t>https://doi.org/10.61931/2224-9028.1568</t>
  </si>
  <si>
    <t>Privacy-preserving reservation model for public facilities based on public Blockchain</t>
  </si>
  <si>
    <t>https://doi.org/10.11591/ijece.v14i4.pp4418-4429</t>
  </si>
  <si>
    <t>The Diameter of Raindrops in Pontianak (West Kalimantan, Indonesia) in the Study of Variation and Its Relationship with Rainfall Intensity</t>
  </si>
  <si>
    <t>https://doi.org/10.1007/978-981-97-0740-9_44</t>
  </si>
  <si>
    <t>ISO 9001 research mapping: Trends, findings, and future issues</t>
  </si>
  <si>
    <t>https://doi.org/10.1080/10686967.2024.2355880</t>
  </si>
  <si>
    <t>The Deep Learning-based Intelligent System for Extracting Information from e-KTP</t>
  </si>
  <si>
    <t>https://doi.org/10.1109/ICoSEIT60086.2024.10497510</t>
  </si>
  <si>
    <t>Advancing Country-Level Research Benchmarking: A Bibliometric Multistage PCA-Based Composite Index Approach</t>
  </si>
  <si>
    <t>Hybrid Models for Emotion Classification and Sentiment Analysis in Indonesian Language</t>
  </si>
  <si>
    <t>https://doi.org/10.1155/2024/2826773</t>
  </si>
  <si>
    <t>https://doi.org/10.18280/ts.410335</t>
  </si>
  <si>
    <t>Utilizing a knowledge-based training algorithm and time-domain extraction for pattern recognition in cylindrical features through vibration and sound signals</t>
  </si>
  <si>
    <t>https://doi.org/10.21595/jme.2023.23452</t>
  </si>
  <si>
    <t>A 4-years of radar-based observation of bow echo over Bandung basin Indonesia</t>
  </si>
  <si>
    <t>https://doi.org/10.1186/s40677-024-00282-9</t>
  </si>
  <si>
    <t>Business continuity management: trends, structures and future issues</t>
  </si>
  <si>
    <t>https://doi.org/10.1108/BPMJ-01-2024-0046</t>
  </si>
  <si>
    <t>Robust remaining useful life prediction of lithium-ion battery with convolutional denoising autoencoder</t>
  </si>
  <si>
    <t>https://doi.org/10.55981/j.mev.2024.905</t>
  </si>
  <si>
    <t>The Role of Facial Hair on Roman Emperors' Face Recognition</t>
  </si>
  <si>
    <t>https://doi.org/10.1109/IWBF62628.2024.10593824</t>
  </si>
  <si>
    <t>Low-dose CT Image Denoising using Graph Wavelet Transform with Optimal Base</t>
  </si>
  <si>
    <t>Development of automatic tuning for combined preprocessing and hyperparameters of machine learning and its application to NIR spectral data of coconut milk adulteration</t>
  </si>
  <si>
    <t xml:space="preserve">https://doi.org/10.1016/j.foodchem.2024.140108
</t>
  </si>
  <si>
    <t>Exploring Deep Learning to Predict Coconut Milk Adulteration Using FT-NIR and Micro-NIR Spectroscopy</t>
  </si>
  <si>
    <t>https://doi.org/10.3390/s24072362</t>
  </si>
  <si>
    <t>Low-Cost Multispectral Sensor for Detecting Adulteration of Onion Powder with Machine Learning</t>
  </si>
  <si>
    <t>https://doi.org/10.1109/ICMRE60776.2024.10532183</t>
  </si>
  <si>
    <t>Classification of the Crosslink Density Level of Para Rubber Thick Film of Medical Glove by Using Near-Infrared Spectral Data</t>
  </si>
  <si>
    <t>https://doi.org/10.3390/polym16020184</t>
  </si>
  <si>
    <t>In silico Study of Clinical Prognosis Associated MicroRNAs for Patients with Metastasis in Clear Cell Renal Carcinoma</t>
  </si>
  <si>
    <t>https://doi.org/10.2174/1574893618666230905154441</t>
  </si>
  <si>
    <t>Fungi Image Segmentation using Efficient U-Net Architecture with ImageNet Pre-trained Model</t>
  </si>
  <si>
    <t>https://doi.org/10.1109/ICSINTESA62455.2024.10748108</t>
  </si>
  <si>
    <t>Enhanced Dynamic Anchor Learning for Oriented Object Detection on Satellite Images</t>
  </si>
  <si>
    <t>https://doi.org/10.1109/IC3INA64086.2024.10732432</t>
  </si>
  <si>
    <t>A Performance Analysis of Hyperledger Fabric for Blockchain-Based Concert Ticketing Systems</t>
  </si>
  <si>
    <t>https://doi.org/10.1109/ICECOS63900.2024.10791096</t>
  </si>
  <si>
    <t>Systematic Literature Review of the Use of Blockchain as a Secure Technology in e-Ticketing Systems</t>
  </si>
  <si>
    <t>https://doi.org/10.1109/ICECOS63900.2024.10791105</t>
  </si>
  <si>
    <t>Securing the Privacy of Transactions Using Blockchain: Swap Battery Framework for Massive Subsidy Electric Motorcycle in Jakarta</t>
  </si>
  <si>
    <t>https://doi.org/10.1109/IES63037.2024.10665758</t>
  </si>
  <si>
    <t>Robust and Efficient Automatic Splicing Image Forgery Detection Using Deep Learning</t>
  </si>
  <si>
    <t>Migration Service Process for Certification Authority Using Project Management Body of Knowledge</t>
  </si>
  <si>
    <t>The effect of inoculum composition, pH, and addition of nutrients to the optimum production of biogas from Palm Oil Mill Effluent</t>
  </si>
  <si>
    <t>https://doi.org/10.1063/5.0206076</t>
  </si>
  <si>
    <t>Testing and analysis of performance characteristics 2 kW BLDC motor</t>
  </si>
  <si>
    <t>https://doi.org/10.1063/5.0205720</t>
  </si>
  <si>
    <t>Design of low cost CAN bus sensor system for autonomous electric vehicle</t>
  </si>
  <si>
    <t>https://doi.org/10.1063/5.0205706</t>
  </si>
  <si>
    <t>Implementation of Scale-Invariant Feature Transform Convolutional Neural Network for Detecting Distracted Driver</t>
  </si>
  <si>
    <t>https://doi.org/10.47738/jads.v5i3.222</t>
  </si>
  <si>
    <t>Implementation of Switch Slicing in 5G/B5G/6G Networks</t>
  </si>
  <si>
    <t>https://doi.org/10.1007/978-3-031-64766-6_37</t>
  </si>
  <si>
    <t>Base-Station Resource Allocation Based on Frame/Sub-Frame</t>
  </si>
  <si>
    <t>https://doi.org/10.1007/978-3-031-64766-6_38</t>
  </si>
  <si>
    <t>Health communication and social media: Asian perspective</t>
  </si>
  <si>
    <t>https://doi.org/10.1108/GKMC-12-2023-0508</t>
  </si>
  <si>
    <t>Near-Infrared Spectroscopy with Machine Learning for Classifying and Quantifying Nutmeg Adulteration</t>
  </si>
  <si>
    <t>https://doi.org/10.1080/00032719.2023.2206665</t>
  </si>
  <si>
    <t>Feature Learning Using Deep Variational Autoencoder for Prediction of Defects in Car Engine</t>
  </si>
  <si>
    <t>https://doi.org/10.1109/ICITRI62858.2024.10699115</t>
  </si>
  <si>
    <t>Identification of Aedes Mosquitoes With Audio Data Using Gammatone Filter</t>
  </si>
  <si>
    <t>https://doi.org/10.1109/ICITRI62858.2024.10699195</t>
  </si>
  <si>
    <t xml:space="preserve">Attention Convolutional Neural Network for Sentiment Analysis on ChatGPT
</t>
  </si>
  <si>
    <t>https://doi.org/10.1109/ICITRI62858.2024.10699090</t>
  </si>
  <si>
    <t>Analysis of Hybrid Feature and Data Adaptation Techniques for User-Dependent and User-Independent Driver Condition Recognition</t>
  </si>
  <si>
    <t>https://doi.org/10.1109/ICRAMET62801.2024.10809158</t>
  </si>
  <si>
    <t>Robust Features with Convolutional Autoencoder Speech Command Recognition</t>
  </si>
  <si>
    <t>https://doi.org/10.1109/ICRAMET62801.2024.10809246</t>
  </si>
  <si>
    <t>Blockchain-based e-Voting System: A Bibliometric Analysis</t>
  </si>
  <si>
    <t>https://doi.org/10.1109/ICICoS62600.2024.10636912</t>
  </si>
  <si>
    <t>Strategies to Enhance Civic Awareness for State Defence in Indonesia: Measurement and Benchmarking of the State Defence Index (SDI)</t>
  </si>
  <si>
    <t>https://doi.org/10.24294/jipd.v8i11.8475</t>
  </si>
  <si>
    <t>A Low Complexity ML-Based Methods for Malware Classification</t>
  </si>
  <si>
    <t>https://doi.org/10.32604/cmc.2024.054849</t>
  </si>
  <si>
    <t>Hybrid Models for Recognizing Indonesian Textual Entailment</t>
  </si>
  <si>
    <t>https://doi.org/10.1109/ICICoS62600.2024.10636863</t>
  </si>
  <si>
    <t>An Expanded Spatial Durbin Model with Ordinary Kriging of Unobserved Big Climate Data</t>
  </si>
  <si>
    <t>https://doi.org/10.3390/math12162447</t>
  </si>
  <si>
    <t>Discrimination model of geographical area from coconut milk by near-infrared spectroscopy: Exploration in tandem with classical chemometrics, machine learning, and deep learning</t>
  </si>
  <si>
    <t>https://doi.org/10.1016/j.microc.2024.111538</t>
  </si>
  <si>
    <t>Network Subgraph-based Method: Alignment-free Technique for Molecular Network Analysis</t>
  </si>
  <si>
    <t>https://doi.org/10.2174/0115748936285057240126062220</t>
  </si>
  <si>
    <t>Multistage convolutional neural network (CNN) for fungi image classification</t>
  </si>
  <si>
    <t>https://doi.org/10.1063/5.0207420</t>
  </si>
  <si>
    <t>Automatic Detection of Potholes Uses Deep Learning to Reduce Traffic Accidents</t>
  </si>
  <si>
    <t>https://doi.org/10.1109/IoTaIS64014.2024.10799472</t>
  </si>
  <si>
    <t>Integration GSTARIMA with deep neural network to enhance prediction accuracy on rainfall data</t>
  </si>
  <si>
    <t>https://doi.org/10.1080/21642583.2024.2409106</t>
  </si>
  <si>
    <t>Deep autoencoder with gated convolutional neural networks for improving speech quality in secured communications</t>
  </si>
  <si>
    <t>https://doi.org/10.55214/25768484.v8i5.1684</t>
  </si>
  <si>
    <t>Deep fusion model for robust tomato disease detection</t>
  </si>
  <si>
    <t>ISSN:2089-3191E-ISSN:2302-9285</t>
  </si>
  <si>
    <t>A Systematic Review: The Utilization of Artificial Intelligence in Forensic Odontology</t>
  </si>
  <si>
    <t>https://doi.org/10.1109/IC3INA64086.2024.10732863</t>
  </si>
  <si>
    <t>Dental Diagnostic Imaging in AI-based System: A Systematic Mapping Study</t>
  </si>
  <si>
    <t>saLFIA: Semi-automatic Live Feeds Image Annotation Tool for Vehicle Classification Dataset</t>
  </si>
  <si>
    <t>Identifying the Encryption Algorithm of SSH Session Keys</t>
  </si>
  <si>
    <t>https://doi.org/10.1109/IC3INA64086.2024.10732523</t>
  </si>
  <si>
    <t>Process Mining Benefits Model: A Preliminary Study</t>
  </si>
  <si>
    <t>https://doi.org/10.1109/IC3INA64086.2024.10732567</t>
  </si>
  <si>
    <t>Rapid Classification of Sugarcane Nodes and Internodes Using Near-Infrared Spectroscopy and Machine Learning Techniques</t>
  </si>
  <si>
    <t>https://doi.org/10.3390/s24227102</t>
  </si>
  <si>
    <t>Design Improvement and Computational Fluid Dynamic Analysis of Suction Equipment for Withered Tea Separation Process</t>
  </si>
  <si>
    <t>https://doi.org/10.1063/5.0183953</t>
  </si>
  <si>
    <t>Early postseismic slip of the 21 November 2022 Mw 5.6 Cianjur, Indonesia, earthquake based on GPS measurements</t>
  </si>
  <si>
    <t>https://doi.org/10.1080/00288306.2024.2402254</t>
  </si>
  <si>
    <t>THE IMPACT OF YOUTH LEADERSHIP PROGRAM ON PERCEIVED EMPLOYABILITY SKILLS: EVIDENCE FROM BRUNEI DARUSSALAM</t>
  </si>
  <si>
    <t>https://doi.org/10.21315/aamj2024.29.2.6</t>
  </si>
  <si>
    <t>Cultural bomb: Empowering non-military defense</t>
  </si>
  <si>
    <t>https://doi.org/10.24294/jipd.v8i11.6386</t>
  </si>
  <si>
    <t>Remote Sensing Image Pansharpening using Deep Internal Learning with Residual Double-Attention Network</t>
  </si>
  <si>
    <t>https://doi.org/10.1109/ACCESS.2024.3481466</t>
  </si>
  <si>
    <t>Review of Transfer Learning Techniques for MRI-based Brain Tumor Image Segmentation</t>
  </si>
  <si>
    <t>https://doi.org/10.1109/ISCT62336.2024.10791284</t>
  </si>
  <si>
    <t>Machine Learning Method for Microplastic Identification Using a Combination of Machine Learning and Raman Spectroscopy</t>
  </si>
  <si>
    <t>https://doi.org/10.1109/ISCT62336.2024.10791228</t>
  </si>
  <si>
    <t>Mapping Shallot in Lowland Areas through Sentinel-2 Imagery and Machine Learning Approach</t>
  </si>
  <si>
    <t>Performance of weather research forecasting model for seasonal prediction of precipitation over Indonesian maritime continent</t>
  </si>
  <si>
    <t>Big Data Security Emerging Technology and Digital Learning Implementation</t>
  </si>
  <si>
    <t>https://doi.org/10.1201/9781032670782</t>
  </si>
  <si>
    <t>Predictive soil nutrient modeling with spectral data and machine learning in four major Indonesian Provinces located on the island of java</t>
  </si>
  <si>
    <t>https://doi.org/10.1088/1755-1315/1419/1/012007</t>
  </si>
  <si>
    <t>Fine-Tuning Large Language Model (LLM) to Answer Basic Questions for Prospective New Students at Syiah Kuala University Using the Retrieval-Augmented Generation (RAG) Method</t>
  </si>
  <si>
    <t>Usability Analysis of Digital Signature Application Based on ISO 9241-11 Using Retrospective Think Aloud and User Experience Questionnaire</t>
  </si>
  <si>
    <t xml:space="preserve">Enhancing The Detection of Botnet Attacks In Internet of Things Networks Through The Utilization of Hybrid Feature Selection Improve Performance
</t>
  </si>
  <si>
    <t>CHAPTER 5: Reengineering Processes of Youth Exposure on Agriculture and Environmental Sustainability: Revealing Big Data Technology and Security Adoption in the Digital Ecosystem</t>
  </si>
  <si>
    <t>https://www.taylorfrancis.com/chapters/edit/10.1201/9781003492122-7/reengineering-processes-youth-exposure-agriculture-environmental-sustainability-revealing-big-data-technology-security-adoption-digital-ecosystem-heru-susanto-arif-junuin-alifya-kaya-shafa</t>
  </si>
  <si>
    <t>ISBN: 9781003492122</t>
  </si>
  <si>
    <t>SUSTAINABILITY IN ENERGY AND ENVIRONMENT: Engineered Materials and Smart Computational Techniques</t>
  </si>
  <si>
    <t>ISBN : 978-104005112-2, 978-177491620-9</t>
  </si>
  <si>
    <t>How does local government implement e-government:
A case study from Bali Province, Indonesia</t>
  </si>
  <si>
    <t>https://doi.org/10.29379/jedem.v16i1.898</t>
  </si>
  <si>
    <t>Mo-BAPER: A Modified TabNet Employing Global Average Pooling for Bogor Area Landslide Prediction</t>
  </si>
  <si>
    <t>https://doi.org/10.1109/ICARES64249.2024.10768099</t>
  </si>
  <si>
    <t>Secure Vehicle Tracking Using Blockchain and IoV</t>
  </si>
  <si>
    <t>Enhancing YOLOPv2 Lane Detection to Gain Curvature Radius</t>
  </si>
  <si>
    <t>Analysis of Electric Vehicles Purchase Intentions as Sustainable Transportation in Indonesia: Implications for Government Policies</t>
  </si>
  <si>
    <t>A Lightweight Design Approach to Detect Malicious Injections in Government Websites: Combating Hidden Online Gambling Pages</t>
  </si>
  <si>
    <t>Optimizing SSVEP Detection in Reduced-Channel BCI-EEG Devices: Synchronization and
Power Dynamics Across Brain Regions</t>
  </si>
  <si>
    <t>Enhancement of image data security using a combination of blockchain, watermarking, and steganography</t>
  </si>
  <si>
    <t>DeRiHBa: Detector of ripening horn banana using the adjusted faster R-CNN</t>
  </si>
  <si>
    <t>Demystification of Readiness, Security, and Technological Enhancements in the Adoption of a Cashless Economy</t>
  </si>
  <si>
    <t>https://doi.org/10.3390/economies12110285</t>
  </si>
  <si>
    <t>Environmental Monitoring of Shallow Marine Waters Using AI and Remote Sensing: A Systematic Literature Review</t>
  </si>
  <si>
    <t>Study on the Effect of High-Concentration Oxygen Enrichment on Engine Performance and Exhaust Emissions Using Diesel Fuel and Palm Biodiesel Substitute Fuel</t>
  </si>
  <si>
    <t>https://doi.org/10.3390/en17010244</t>
  </si>
  <si>
    <t>PRMC</t>
  </si>
  <si>
    <t>Optimization of the cutting process on machining time of ankle foot as transtibial prosthesis components using response surface methodology</t>
  </si>
  <si>
    <t>https://doi.org/10.1016/j.rineng.2023.101736</t>
  </si>
  <si>
    <t>Drought Potential in Borneo Based on the RCP 4.5 Scenario</t>
  </si>
  <si>
    <t>https://doi.org/10.20937/ATM.53185</t>
  </si>
  <si>
    <t>Optimization of 3D printed parameters for socket prosthetic manufacturing using the taguchi method and response surface methodology</t>
  </si>
  <si>
    <t>https://doi.org/10.1016/j.rineng.2024.101847</t>
  </si>
  <si>
    <t>Effect of ITO poling thickness, temperature, and protective layer on piezoelectric PVDF flms</t>
  </si>
  <si>
    <t>https://doi.org/10.1016/j.mssp.2024.108156</t>
  </si>
  <si>
    <t>Exploring the Interaction between Physical, Psychosocial, and Neck Pain Symptoms in Construction Workers</t>
  </si>
  <si>
    <t>https://doi.org/10.1093/joccuh/uiae010</t>
  </si>
  <si>
    <t>Nutritional Quality of Cultured Giant Freshwater Prawns (Macrobrachium rosenbergii)</t>
  </si>
  <si>
    <t>https://doi.org/10.61931/2224-9028.1549</t>
  </si>
  <si>
    <t>Key Factors that Negatively Affect Performance of Imitation Learning for Autonomous Driving</t>
  </si>
  <si>
    <t>https://doi.org/10.18196/jrc.v5i1.20371</t>
  </si>
  <si>
    <t>Assessing Network Accounting Management Approaches in the Infrastructure and Information Technology Sector: A Case Study in Indonesia</t>
  </si>
  <si>
    <t>https://doi.org/10.1007/978-981-99-7886-1_24</t>
  </si>
  <si>
    <t>Lessons from the Past: A Historical Literature Review on Cyber Resilience</t>
  </si>
  <si>
    <t>https://doi.org/10.1007/978-981-99-8111-3_5</t>
  </si>
  <si>
    <t>The State of Cyber Resilience: Advancements and Future Directions</t>
  </si>
  <si>
    <t>https://doi.org/10.1007/978-981-99-7886-1_30</t>
  </si>
  <si>
    <t>Fabrication and Characterization of PZT/PVDF Composite Films for Force Sensor Applications</t>
  </si>
  <si>
    <t>https://doi.org/10.1002/pi.6643</t>
  </si>
  <si>
    <t>A diffused double-layer model of bulk nanobubbles in aqueous NaCl solutions</t>
  </si>
  <si>
    <t>https://doi.org/10.1016/j.tsep.2024.102590</t>
  </si>
  <si>
    <t>Study on super-hydrophobic pattern to increase the NH3 adsorption and desorption in SCR systems</t>
  </si>
  <si>
    <t>https://doi.org/10.1063/5.0186240</t>
  </si>
  <si>
    <t>Microstructure Characteristics of Cr3C2-NiCr Coating Deposited With the High-Velocity Oxy-Fule Thermal-Spray Technique</t>
  </si>
  <si>
    <t>Privacy-preserving Reservation Model for Public Facilities based-on Public Blockchain</t>
  </si>
  <si>
    <t>http://doi.org/10.11591/ijece.v14i4.pp4418-4429</t>
  </si>
  <si>
    <t>Nanodots from the Farm Kernel Cake</t>
  </si>
  <si>
    <t>https://doi.org/10.1051/e3sconf/202450302001</t>
  </si>
  <si>
    <t>Assessment of Corrected Time-Step Methods for Nominal Ionospheric Gradient Calculation  A Comparative Analysis with Spatial Approaches</t>
  </si>
  <si>
    <t>10.26464/epp2024032</t>
  </si>
  <si>
    <t>Navigating Online Privacy: Insights from Cybersecurity Expert</t>
  </si>
  <si>
    <t>https://doi.org/10.1016/j.procs.2024.03.137</t>
  </si>
  <si>
    <t>Relationship of IT Governance Domain with a Case Study of the Application of “One Price Fuel in Indonesia” by National Oil Company</t>
  </si>
  <si>
    <t>https://doi.org/10.1007/978-981-99-7569-3_4</t>
  </si>
  <si>
    <t>The study of satellite dynamics with reaction wheel actuator and comparison of its numerical solutions using MATLAB/Simulink</t>
  </si>
  <si>
    <t>https://doi.org/10.1063/5.0194634</t>
  </si>
  <si>
    <t>Asymptotically Stable Discrete-Time Observer for State-of-Charge Estimation</t>
  </si>
  <si>
    <t>https://doi.org/10.1109/ICAMIMIA60881.2023.10427837</t>
  </si>
  <si>
    <t>Discrete-Time Luenberger Observer Design for Lithium-Ion Battery State-of-Charge with Stability Guarantee</t>
  </si>
  <si>
    <t>http://doi.org/10.11591/ijpeds.v15.i4.pp2145-2154</t>
  </si>
  <si>
    <t>Lexical patterns of mixed language: A corpus linguistics and sociolinguistic analysis of popular Chindo-Surabaya subdialect</t>
  </si>
  <si>
    <t>https://doi.org/10.1201/9781003484318</t>
  </si>
  <si>
    <t>ROS-based Multi-sensor Integrated Localization System for Cost-effective and Accurate Indoor Navigation System</t>
  </si>
  <si>
    <t>https://doi.org/10.1007/s41315-024-00350-1</t>
  </si>
  <si>
    <t>Radical Innovation for Evaluation of Efishery Fresh Business Models</t>
  </si>
  <si>
    <t>Effect Bioameliorants and Interval of Ready-to-Absorb Nutrient Solution on Soil Health, Crop Productivity, and Quality of Chili Pepper Yields</t>
  </si>
  <si>
    <t>https://doi.org/10.55677/ijlsar/V03I7Y2024-10</t>
  </si>
  <si>
    <t>Enriched Ameliorant and Readily Available Nutrients for Enhancing the Rhizobacterial Population, Nutrient Uptake, and Yield of Pepper Grown in Inceptisol Soil Media: A Review</t>
  </si>
  <si>
    <t>https://doi.org/10.55677/ijlsar/V03I7Y2024-04</t>
  </si>
  <si>
    <t>Implementation of Laser-Light Backscattering Imaging for Authentication of The Geographic Origin of Indonesia Region Citrus</t>
  </si>
  <si>
    <t>https://doi.org/10.1016/j.atech.2024.100527</t>
  </si>
  <si>
    <t>Design of automatic temperature-humidity control system in
mushroom chamber for energy optimization in mushrooms
production</t>
  </si>
  <si>
    <t>https://doi.org/10.1063/5.0205784</t>
  </si>
  <si>
    <t>Design of low cost CAN bus sensor system for autonomous
electric vehicle</t>
  </si>
  <si>
    <t>Dual-Fuel-Engine using biogas-POME</t>
  </si>
  <si>
    <t>https://doi.org/10.1063/5.0205783</t>
  </si>
  <si>
    <t>Fluid requirements on the organic rankine cycle with
different types of evaporator and condenser</t>
  </si>
  <si>
    <t>https://doi.org/10.1063/5.0205684</t>
  </si>
  <si>
    <t>Optimization of Banjo fitting components geometry for
pressure drop minimization in the pressure-amplifier system
for vehicle suspension piezoelectric energy harvester</t>
  </si>
  <si>
    <t>https://doi.org/10.1063/5.0206652</t>
  </si>
  <si>
    <t>Overview of low head hydroelectric power generation
technology for agriculture and plantation areas</t>
  </si>
  <si>
    <t>https://doi.org/10.1063/5.0205716</t>
  </si>
  <si>
    <t>Smart seeking lot for parking and security system based on
image recognition</t>
  </si>
  <si>
    <t>https://doi.org/10.1063/5.0205766</t>
  </si>
  <si>
    <t>Study on in-cylinder flow characteristics based on the intake
port inclination in motorcycles engine</t>
  </si>
  <si>
    <t>https://doi.org/10.1063/5.0205778</t>
  </si>
  <si>
    <t>Optimizing Knowledge Sharing in Agile Organization: A Systematic Literature Review of Strategies, Challenges, and Opportunities</t>
  </si>
  <si>
    <t>https://doi.org/10.1007/978-981-97-3409-2_10</t>
  </si>
  <si>
    <t>Numerical Study of Bubble Size Distribution in a Venturi Type Microbubble Generator</t>
  </si>
  <si>
    <t>https://doi.org/10.1063/5.0205789</t>
  </si>
  <si>
    <t>Sentiment Analysis of Local Water Company Customer Using Naive Bayes Algorithm</t>
  </si>
  <si>
    <t>https://doi.org/10.1109/IAICT62357.2024.10617472</t>
  </si>
  <si>
    <t>Design and construction of compressor heat recovery utilization of ice machine for drying system</t>
  </si>
  <si>
    <t>https://doi.org/10.1063/5.0206057</t>
  </si>
  <si>
    <t>Optimization of Pulsed Electric Field Design for Seafood Products with Salting Process</t>
  </si>
  <si>
    <t>https://doi.org/10.1088/1755-1315/1359/1/012020</t>
  </si>
  <si>
    <t>Exploring the potential of High-Fatty Acid Contents Oils for Biodeisel Production : A Catalyst-free Approach</t>
  </si>
  <si>
    <t>https://doi.org/10.1088/1755-1315/1354/1/012005</t>
  </si>
  <si>
    <t>Evaluation of Detecting and Tracking Algorithms of Reflectivity Area Based
on Rain Scanner Observation Data</t>
  </si>
  <si>
    <t>http://dx.doi.org/10.1007/978-981-19-9768-6_74</t>
  </si>
  <si>
    <t>Comparative Analysis of Deep Learning Models for Multi-label Sentiment Classification of 2024 Presidential Election Comments</t>
  </si>
  <si>
    <t>https://doi.org/10.1109/ICICoS62600.2024.10636889</t>
  </si>
  <si>
    <t>Design of intelligent cruise control system using fuzzy-PID control on autonomous electric vehicles prototypes</t>
  </si>
  <si>
    <t>https://doi.org/10.55981/j.mev.2024.877</t>
  </si>
  <si>
    <t>The effect of six-week plyometric, functional, and interval trainings on body composition, power, and kicking speed in male Pencak Silat University Athletes</t>
  </si>
  <si>
    <t>https://doi.org/10.33438/ijdshs.1371605</t>
  </si>
  <si>
    <t>A conceptual design of electric bicycle sharing system based on user-centered for urban transportation in Indonesia</t>
  </si>
  <si>
    <t>https://doi.org/10.1063/5.0205758</t>
  </si>
  <si>
    <t>Design of multi-purpose portable lamp for peddlers and street vendors</t>
  </si>
  <si>
    <t>https://doi.org/10.1063/5.0206086</t>
  </si>
  <si>
    <t>HMI design of autonomous electric wheelchair for patients mobility in the hospital</t>
  </si>
  <si>
    <t>https://doi.org/10.1063/5.0206084</t>
  </si>
  <si>
    <t>Classifier performance comparison on American sign language gesture recognition</t>
  </si>
  <si>
    <t>https://doi.org/10.1063/5.0205760</t>
  </si>
  <si>
    <t>γ-ray -induced Effects in Al:HfO2-based Memristor Devices for Memory and Sensor Applications</t>
  </si>
  <si>
    <t>https://doi.org/10.1109/LED.2024.3454294</t>
  </si>
  <si>
    <t>Implementation of Fuzzy Logic for Water Quality Monitoring System in Koi Pond</t>
  </si>
  <si>
    <t>https://doi.org/10.1109/ICoDSA62899.2024.10651686</t>
  </si>
  <si>
    <t>Sentiment Analysis of Presidential Debate Videos on YouTube in the 2024 Indonesian Presidential Elections</t>
  </si>
  <si>
    <t>https://doi.org/10.1109/ICoDSA62899.2024.10651794</t>
  </si>
  <si>
    <t>Study on fuzzy-MPPT buck boost converter for photovoltaic systems</t>
  </si>
  <si>
    <t>https://doi.org/10.1063/5.0206893</t>
  </si>
  <si>
    <t>The Need to Incorporate Ergonomics in Smart Agriculture and Organic Farming in Agricultural and Biological Engineering Education</t>
  </si>
  <si>
    <t>https://doi.org/10.1201/9780429150111</t>
  </si>
  <si>
    <t>Potential utilization of ultrafine bubbles (UFB) technology in the cleaning process as a solution to replace the use of detergents and environmentally friendly: A review</t>
  </si>
  <si>
    <t>https://doi.org/10.1088/1755-1315/1386/1/012005</t>
  </si>
  <si>
    <t>N-gram Based Authorship Analysis in Indonesian Text: Evidence Case Study in Authorship Dispute Cases</t>
  </si>
  <si>
    <t>https://doi.org/10.1007/978-981-97-2336-2_10</t>
  </si>
  <si>
    <t>Dynamic operating behavior of a solar hybrid microturbine system: A comparative study of serial and parallel configurations</t>
  </si>
  <si>
    <t>https://doi.org/10.1016/j.energy.2024.133058</t>
  </si>
  <si>
    <t>Comparison of Biocode Based Machine Learning and Segmentation Model for Automated Prawn Size Prediction for Real Prawn Farm</t>
  </si>
  <si>
    <t>https://doi.org/10.1109/IPEC61310.2024.00105</t>
  </si>
  <si>
    <t>Smart Dashboard for Water Quality Monitoring and Predicting in Koi Fish Farming Using IoT and Sarima Modeling</t>
  </si>
  <si>
    <t>https://doi.org/10.1109/ICoICT61617.2024.10698719</t>
  </si>
  <si>
    <t>Classification of Diseases in Chili Plants Using the SVM Method: Development and Implementation</t>
  </si>
  <si>
    <t>https://doi.org/10.1109/ICoICT61617.2024.10698555</t>
  </si>
  <si>
    <t>Data Analysis of Patient Visits Using Linear Regression and Phyton Based on Regional Demographics and Age Range: A Case Study of Cisarua Psychiatric Hospital</t>
  </si>
  <si>
    <t>https://doi.org/10.1109/ICoICT61617.2024.10698200</t>
  </si>
  <si>
    <t>Payment Gateway Implementation for Prepaid Water Meter Payment on Mobile Application</t>
  </si>
  <si>
    <t>https://doi.org/10.1109/ICoICT61617.2024.10698417</t>
  </si>
  <si>
    <t>Mobile Application Development for Prepaid Water Meter Based on LC Sensor</t>
  </si>
  <si>
    <t>https://doi.org/10.3390/s24206762</t>
  </si>
  <si>
    <t>Innovation Models and Business Concepts as Context for Radical Innovation in Freshwater Fish Trading Applications</t>
  </si>
  <si>
    <t>https://doi.org/10.1145/3690001.3690018</t>
  </si>
  <si>
    <t>The Potential of Cold Plasma Technology for Weed Control in the pre-growth and post-growth phases</t>
  </si>
  <si>
    <t>https://doi.org/10.13057/biodiv/d251024</t>
  </si>
  <si>
    <t>Developing a Labeled Dataset for Chili Plant Health Monitoring: A Multispectral Image Segmentation Approach with YOLOv8</t>
  </si>
  <si>
    <t>https://doi.org/10.1109/IC3INA64086.2024.10732221</t>
  </si>
  <si>
    <t>Application of LSTM, RNN, and Transformer in Stock Price Prediction of Information Technology Companies: A Comparative Analysis</t>
  </si>
  <si>
    <t>https://doi.org/10.1109/IC3INA64086.2024.10732754</t>
  </si>
  <si>
    <t>Predicting Stock Market using CNN and BiLSTM Model</t>
  </si>
  <si>
    <t>https://doi.org/10.1109/IC3INA64086.2024.10732245</t>
  </si>
  <si>
    <t>Investigating the mechanical properties and crashworthiness of Hybrid PLA/GFRP Composites Fabricated Using FDM-Filament Winding</t>
  </si>
  <si>
    <t>http://dx.doi.org/10.1016/j.heliyon.2024.e39062</t>
  </si>
  <si>
    <t>Enhancing Soil Nutritional Status in Smart Farming: The Role of IoT-Based Management for Meeting Plant Requirements</t>
  </si>
  <si>
    <t>https://doi.org/10.1155/2024/8874325</t>
  </si>
  <si>
    <t>Exploring Sentiment Analysis for the Indonesian Presidential Election Through Online Reviews Using Multi-Label Classification with a Deep Learning Algorithm</t>
  </si>
  <si>
    <t>https://doi.org/10.3390/info15110705</t>
  </si>
  <si>
    <t>Feasibility study of analogue filters based on memristor</t>
  </si>
  <si>
    <t>https://doi.org/10.1049/tje2.70028</t>
  </si>
  <si>
    <t>Review of Research Trends in Financial Technology (Fintech): Highlighting Frequently Emerging Topics</t>
  </si>
  <si>
    <t>https://doi.org/10.1109/ICISS62896.2024.10751472</t>
  </si>
  <si>
    <t>Decision Making Model to Identify Recommended Topics Based on Sentiment Analysis: The Case Blockchain Indonesia</t>
  </si>
  <si>
    <t>https://doi.org/10.1109/ICISS62896.2024.10751352</t>
  </si>
  <si>
    <t>Examining the Role of Fintech Adoption in Driving Growth and Innovation in the Halal Economy: A Systematic Review</t>
  </si>
  <si>
    <t>https://doi.org/10.1109/ICISS62896.2024.10751516</t>
  </si>
  <si>
    <t>Prediction of NPK Fertilizer in Chili Plants Using SARIMA Model</t>
  </si>
  <si>
    <t>https://doi.org/10.1109/ICISS62896.2024.10751445</t>
  </si>
  <si>
    <t>Magnets’ shape variation of flat linear permanent magnet generator for wave energy conversion</t>
  </si>
  <si>
    <t>https://doi.org/10.1063/5.0207990</t>
  </si>
  <si>
    <t>Domestic component level assessment of a BLDC motor prototype for EV based on regulations in Indonesia</t>
  </si>
  <si>
    <t>https://doi.org/10.1063/5.0205732</t>
  </si>
  <si>
    <t>PID Steering Control for Lane Keeping Assist based on IMU Sensor and ROS</t>
  </si>
  <si>
    <t>Preliminary Research on Invasive and Non-invasive Methods for Identifying Estrus in Ewes</t>
  </si>
  <si>
    <t>Modeling and simulation of hydraulic brake system for low-speed electric vehicle</t>
  </si>
  <si>
    <t>https://doi.org/10.1063/5.0206034</t>
  </si>
  <si>
    <t>Dynamics and control simulation of DC series motor for electric vehicle in regenerative braking</t>
  </si>
  <si>
    <t>https://doi.org/10.1063/5.0205710</t>
  </si>
  <si>
    <t>Observer-based Attack and Disturbance Mitigation for Heavy-Duty Vehicles in an Autonomous Docking Application</t>
  </si>
  <si>
    <t>10.1109/ACCESS.2024.3467263</t>
  </si>
  <si>
    <t>A review of solar chimney-earth air heat exchanger (SCEAHE)
system integration for thermal comfort building</t>
  </si>
  <si>
    <t>https://doi.org/10.1016/j.jobe.2024.111484</t>
  </si>
  <si>
    <t>10.55981/j.mev.2024.905</t>
  </si>
  <si>
    <t>Exploring Deep Object Content through In-hand Tactile Vibration Sensing with Shaking Manipulation</t>
  </si>
  <si>
    <t>A Combination of a Controllable Clutch and an Oscillating Slider Crank Mechanism for Ease of Direct-Teaching with Various Payloads</t>
  </si>
  <si>
    <t>https://doi.org/10.1109/ICRA57147.2024.10610146</t>
  </si>
  <si>
    <t>Population Balance Modeling of Bubble Size Distribution in Venturi-Type Microbubble Generator with Variable Flow Rates</t>
  </si>
  <si>
    <t xml:space="preserve">A Vision-Based System: Detecting Traffic Law Violation Case Study of Red-Light Running
Using Pre-Trained YOLOv8 Model and OpenCV
</t>
  </si>
  <si>
    <t>COMPARATIVE PERFORMANCE EVALUATION OF LORA RFM-95W AND RA-01H MODULES AT 921.4 MHZ RANGE AND SIGNAL QUALITY ANALYSIS WITH RUBBER DUCK AND SPRING ANTENNAS</t>
  </si>
  <si>
    <t>PERFORMANCE EVALUATION OF THE DRAGINO DLOS8N AND FOUR-FAITH F8L10GW LORAWAN GATEWAYS IN AN URBAN SCENARIO</t>
  </si>
  <si>
    <t>THE APPLICATION OF LONG SHORT-TERM MEMORY (LSTM) FOR STOCK PREDICTION, ANOMALY DETECTION, AND RISK ANALYSIS IN THE BANKING SECTOR</t>
  </si>
  <si>
    <t>OPTIMIZING DEEP LEARNING MODEL CNN-BILSTM FOR FAKE PRODUCT REVIEW CLASSIFICATION</t>
  </si>
  <si>
    <t>Energy Consumption, CO2 and Cost Analysis of Hybrid and Battery Electric Motorcycle</t>
  </si>
  <si>
    <t>Implementation of Image Processing and CNN for Roasted-Coffee Level Classification</t>
  </si>
  <si>
    <t>http://dx.doi.org/10.52549/ijeei.v12i4.5531</t>
  </si>
  <si>
    <t>Development and performance evaluation of a magnetically levitated solar motor</t>
  </si>
  <si>
    <t>https://doi.org/10.1063/5.0206573</t>
  </si>
  <si>
    <t>PRT</t>
  </si>
  <si>
    <t>Design of a Dual-Band Waveform-Selective Metasurface Absorber Based on the Combination of Two Resonator Structures Loaded with Nonlinear Circuits</t>
  </si>
  <si>
    <t>https://doi.org/10.1002/adts.202300590</t>
  </si>
  <si>
    <t>Fast prediction of a high directivity antenna characterization for future wireless communication based on terahertz photonics</t>
  </si>
  <si>
    <t>https://doi.org/10.1088/1742-6596/2696/1/012012</t>
  </si>
  <si>
    <t>Surface Modification of Polyimide Kapton Film by High Fluence Gadolinium (Gd) ion Implantation</t>
  </si>
  <si>
    <t>https://doi.org/10.1063/5.0192879</t>
  </si>
  <si>
    <t>Bandwidth, Gain Improvement, and Notched-Band Frequency of SWB Wave Coplanar Vivaldi Antenna Using CSRR</t>
  </si>
  <si>
    <t>https://doi.org/10.1109/ACCESS.2024.3359168</t>
  </si>
  <si>
    <t>Optimization and Development of Raspberry Pi 4 Model B for the Internet of Things</t>
  </si>
  <si>
    <t>https://doi.org/10.1109/ITIS59651.2023.10420261</t>
  </si>
  <si>
    <t>Performance of LoRaWAN in Multi-Node</t>
  </si>
  <si>
    <t>https://doi.org/10.1109/ITIS59651.2023.10420407</t>
  </si>
  <si>
    <t>Autonomous Radar Interference Detection and Mitigation using Neural Network and Signal Decomposition</t>
  </si>
  <si>
    <t>http://doi.org/10.11591/ijai.v13.i3.pp2854-2861</t>
  </si>
  <si>
    <t>Simulating Spanning Tree Protocols in a Cable-Based Tsunameter System with an Arbitrary Number of Ocean Bottom Units</t>
  </si>
  <si>
    <t>https://doi.org/10.47836/pjst.32.4.22</t>
  </si>
  <si>
    <t xml:space="preserve">Characteristics Evaluation of Optical Fiber Length in
Light Detection and Ranging (LiDAR) </t>
  </si>
  <si>
    <t xml:space="preserve">Conformal Microstrip Antennas on the Rocket Cylinder
</t>
  </si>
  <si>
    <t>http://dx.doi.org/10.2528/PIERM23103104</t>
  </si>
  <si>
    <t>FPGA-based stereo matching for crop height measurement using monocular camera</t>
  </si>
  <si>
    <t>https://doi.org/10.1016/j.micpro.2024.105063</t>
  </si>
  <si>
    <t>Internet of Medical Things: A Bibliometric Analysis of Research Publications from 2018–2022</t>
  </si>
  <si>
    <t>Sentiment Analysis on Service Quality of an Online Healthcare Mobile Platform Using VADER and Roberta Pretrained Model</t>
  </si>
  <si>
    <t>A Comprehensive Analysis of: A Systematic Review</t>
  </si>
  <si>
    <t>Mapping the Literature of Artificial Intelligence in Medical Education: A Scientometric Analysis</t>
  </si>
  <si>
    <t>Analyzing and Visualizing Knowledge Structures of Research and Development Trends in Internet of Things for Smart Agriculture: A Decade Overview</t>
  </si>
  <si>
    <t>https://doi.org/10.1051/e3sconf/202450101015</t>
  </si>
  <si>
    <t>Applications of artificial intelligence in renewable energy: a bibliometric analysis of the scientific production indexed in scopus</t>
  </si>
  <si>
    <t>https://doi.org/10.1051/e3sconf/202450101016</t>
  </si>
  <si>
    <t>Research Trends in Machine Learning Applications for Predicting Ecosystem Responses to Environmental Changes</t>
  </si>
  <si>
    <t>https://doi.org/10.1051/e3sconf/202450101017</t>
  </si>
  <si>
    <t>Light Fidelity Internet of Things based for Medical Applications</t>
  </si>
  <si>
    <t>Strategies to Improve LoRaWAN Performance in Multi Communication use Listen Before Talk</t>
  </si>
  <si>
    <t>Performance Evaluation of Raspberry Pi Pico for Internet of Things and its analysis</t>
  </si>
  <si>
    <t>Smart Aquaculture Vaname Shrimp LoRaWAN Based</t>
  </si>
  <si>
    <t>Trends in Research Publication Topics Related to Artificial Intelligence for Medicine in Medical Education: A Bibliometric Analysis</t>
  </si>
  <si>
    <t>Effect of calcination temperature on structure evolution of hematite nanoparticles</t>
  </si>
  <si>
    <t>https://doi.org/10.1088/1402-4896/ad48cd</t>
  </si>
  <si>
    <t>Study on Reflection and Transmission Characteristics of Electromagnetic Waves Propagation in Different Medium Based on Constitutive Parameters</t>
  </si>
  <si>
    <t>https://doi.org/10.1109/PIERS62282.2024.10618597</t>
  </si>
  <si>
    <t>Capacitor-Based Branch-Line Couplers for Simple Configuration Flexible Phase-Difference Butler Matrices</t>
  </si>
  <si>
    <t>10.1109/PIERS62282.2024.10618628</t>
  </si>
  <si>
    <t>A Pair of Rectangular Slots for Bandwidth Improvement of Microstrip Antenna Fed by Proximity Coupling</t>
  </si>
  <si>
    <t>10.1109/PIERS62282.2024.10618851</t>
  </si>
  <si>
    <t>A Compact Spearhead-Shaped Antenna With Super Wideband Characteristic</t>
  </si>
  <si>
    <t>https://doi.org/10.1109/GSMM61775.2024.10553039</t>
  </si>
  <si>
    <t>Frequency-hopping wave engineering with metasurfaces</t>
  </si>
  <si>
    <t>https://doi.org/10.1038/s41467-023-44627-8</t>
  </si>
  <si>
    <t>Improved Numerical Estimation Method for Surface Wave Attenuation on Metasurfaces</t>
  </si>
  <si>
    <t>https://doi.org/10.1002/adts.202301173</t>
  </si>
  <si>
    <t>Terahertz Pseudo-Waveform-Selective Metasurface Absorber Based on a Square-Patch Structure Loaded with Linear Circuit Components</t>
  </si>
  <si>
    <t>https://doi.org/10.1002/adpr.202300303</t>
  </si>
  <si>
    <t>On the Use of 3D Printing Technique for 5G mmWave Antenna Development</t>
  </si>
  <si>
    <t>10.1109/GSMM61775.2024.10553193</t>
  </si>
  <si>
    <t>Ray Tracing-Based Channel Modeling for Wireless Transmission in Indoor Environments</t>
  </si>
  <si>
    <t>https://doi.org/10.1109/ICWT62080.2024.10674678</t>
  </si>
  <si>
    <t>Synthesis and Characterization of Perovskite Manganate Based on La0.7Ca0.3MnO3 with
Ni and Ti doping as Microwave Absorber Material</t>
  </si>
  <si>
    <t>https://doi.org/10.26554/sti.2024.9.3.577-585</t>
  </si>
  <si>
    <t>UWB Radar Self-Motion Cancellation for Through-Wall Vital Sign Detection</t>
  </si>
  <si>
    <t>An efficient hardware implementation of FPGA-based stereo matching using a single path SGM direction</t>
  </si>
  <si>
    <t>https://doi.org/10.1109/IC3INA64086.2024.10732374</t>
  </si>
  <si>
    <t>Design of Microstrip Chebyshev Fractal Band Pass Filter for Radar X-Band Application</t>
  </si>
  <si>
    <t>https://doi.org/10.1109/ISITIA63062.2024.10667951</t>
  </si>
  <si>
    <t>The Potential Contribution of Indonesian Fishing Vessels in Reducing Green House Gas Emission: Approach to LoRaWAN Technology in Gass Emission Monitoring on Ships</t>
  </si>
  <si>
    <t>https://doi.org/10.1016/j.aaf.2024.08.002</t>
  </si>
  <si>
    <t>Direction of Machine Learning Research in Obstetric Care in the Last 10 Years</t>
  </si>
  <si>
    <t>Circularly Polarized Modified Elliptical Microstrip Patch for X-Band Ground Station Antenna</t>
  </si>
  <si>
    <t>Sidechain Implementation Strategies to Improve Blockchain Scalability</t>
  </si>
  <si>
    <t>https://doi.org/10.1063/5.0179718</t>
  </si>
  <si>
    <t>Utilization of PIN Diode for Polarization Reconfigurability of 3D Printed RFID Antenna</t>
  </si>
  <si>
    <t>10.23919/SpliTech61897.2024.10612487</t>
  </si>
  <si>
    <t>A Novel In-house built printed circuit board-ceria based electrochemical device for detection of Epithelial Sodium Channel (ENaC), a Hypertension Biomarker</t>
  </si>
  <si>
    <t>https://doi.org/10.1016/j.snr.2024.100200</t>
  </si>
  <si>
    <t>Ray Tracing Based Channel Modeling for Wireless Transmission in Indoor Environments</t>
  </si>
  <si>
    <t>Multi-Function Coastal Radar for Tsunami Detection And Ocean Wave Monitoring</t>
  </si>
  <si>
    <t>Enhancing IoT data acquisition efficiency via FPGA-based implementation with OpenCL framework</t>
  </si>
  <si>
    <t>https://doi.org/10.1016/j.compeleceng.2024.109830</t>
  </si>
  <si>
    <t>MEANDER STRUCTURE SIW FOR IMPROVING PHASE SHIFTER 0° PERFORMANCE IN RADAR BUTLER MATRIX SYSTEM</t>
  </si>
  <si>
    <t>Study of Radiation Pattern Response on Phase-Controlled Ku-Band 8×4 Array Antenna</t>
  </si>
  <si>
    <t>A Complementary Interleaved Linear Sparse Array Antenna for Dual Circularly Polarized Beams</t>
  </si>
  <si>
    <t>The X-BAND Microwave Absorption Characteristics of Porous Activated Carbon from Natural Resources</t>
  </si>
  <si>
    <t>doi.org/10.37763/wr.1336-4561/69.3.456468</t>
  </si>
  <si>
    <t>Magnetic properties and microstructural of ion-implanted Gadolia doped
Ceria-Barium monoferrite thin film deposited on Kapton for
electromagnetic wave absorber application</t>
  </si>
  <si>
    <t>https://doi.org/10.1016/j.jallcom.2024.176207</t>
  </si>
  <si>
    <t>Macro-Level Bottom-Up Energy Demand Modeling for Telecommunication Networks</t>
  </si>
  <si>
    <t>https://doi.org/10.1109/ACCESS.2024.3434976</t>
  </si>
  <si>
    <t>Synthesis and characterization of Bamboo Activated Carbon (BAC) and
Clitoria Ternatea Powder (CTP) for enhanced electromagnetic
wave absorption</t>
  </si>
  <si>
    <t>Improvement of microwave absorbing capability on the soft
magnetic/hard magnetic/perovskite composites</t>
  </si>
  <si>
    <t>https://doi.org/10.1088/1402-4896/ad8d86</t>
  </si>
  <si>
    <t>A Systematic Review Network Slicing: Revenue Optimization for Slice Admission Control Objectives</t>
  </si>
  <si>
    <t>https://doi.org/10.1109/ICWT62080.2024.10674734</t>
  </si>
  <si>
    <t>Effect of anisotropy field on the resonance frequency and reflection
loss shift characteristics of barium hexaferrite ceramics</t>
  </si>
  <si>
    <t>https://doi.org/10.1088/1402-4896/ad8f6b</t>
  </si>
  <si>
    <t>https://doi.org/10.1109/ICRAMET62801.2024.10809209</t>
  </si>
  <si>
    <t>Bandwidth-Efficient Image Transmission in Autonomous Vehicles Using Super-Resolution Techniques</t>
  </si>
  <si>
    <t>Low-cost IoT Platform Development for Air Quality Index Monitoring System</t>
  </si>
  <si>
    <t>Correlations of Salivary and Blood Glucose Level Detection using Flexible Sensor Technique</t>
  </si>
  <si>
    <t>https://doi.org/10.13052/2024.ACES.J.390706</t>
  </si>
  <si>
    <t>Low-Cost 9.4 GHz Microstrip Patch Antenna Design with PLA and Copper Tape</t>
  </si>
  <si>
    <t>Analysis on Modified Wine Glass Shaped Transparent MIMO Antenna with Metamaterial</t>
  </si>
  <si>
    <t>Small Compact Spiral Implanted Antenna With the Defected Ground Structure for Leadless Pacemaker Application</t>
  </si>
  <si>
    <t>https://doi.org/10.1109/iWEM59914.2024.10649050</t>
  </si>
  <si>
    <t>Detection of Breast Tumour Depth using Felt Substrate Textile Antenna</t>
  </si>
  <si>
    <t>Implementation of Transmit Power Adaptation Algorithm on VANET Testbed using SDN OpenFlow</t>
  </si>
  <si>
    <t>DATA PROCESSING AND VISUALIZATION IN SOFTWARE DEFINED VEHICULAR NETWORK TESTBED</t>
  </si>
  <si>
    <t>Gain Enhancement of Fractal Antenna Using Metamaterial</t>
  </si>
  <si>
    <t>https://doi.org/10.1109/ATNT61688.2024.10719055</t>
  </si>
  <si>
    <t>Microwave absorbing material of cobalt lanthanum ferrite:
the contributions of intrinsic and extrinsic factors on the microwave
absorption properties</t>
  </si>
  <si>
    <t>Light weight dual polarized horn antenna for polarimetry C-band synthetic aperture radar sensor onboard UAV</t>
  </si>
  <si>
    <t>http://doi.org/10.12928/telkomnika.v22i6.25718</t>
  </si>
  <si>
    <t>https://doi.org/10.11591/eei.v14i1.7800</t>
  </si>
  <si>
    <t xml:space="preserve">Deformation Monitoring of Sipora Island Using Geodetic Global Positioning System Data
</t>
  </si>
  <si>
    <t>https://doi.org/10.1007/978-981-97-5746-6_17</t>
  </si>
  <si>
    <t>PURWARUPA</t>
  </si>
  <si>
    <t>SIVITAS PRSDI</t>
  </si>
  <si>
    <t>MEMILIKI MITRA  ?</t>
  </si>
  <si>
    <t>NAMA MITRA</t>
  </si>
  <si>
    <t>No KI yang termanfaatkan dalam Lisensi</t>
  </si>
  <si>
    <t>Evidence bisa dalam bentuk Dokumentasi, perjanjian lisensi, dokumen sertifikan/terdaftar di DJKI</t>
  </si>
  <si>
    <t>Digital Twin untuk Analisis Risiko Banjir Kota Bandung</t>
  </si>
  <si>
    <t>Dr. Ary Setijadi Prihatmanto, Prof. Ridwan Sutriadi (ITB), Ai Sulastri (UPI)</t>
  </si>
  <si>
    <t>Software Prototype</t>
  </si>
  <si>
    <t>Skala Uji Lab</t>
  </si>
  <si>
    <t>Belum</t>
  </si>
  <si>
    <t>PWRP</t>
  </si>
  <si>
    <t>Hak Cipta Program Komputer : Aplikasi Pemilu Elektronik (e-Voting) (000535510)</t>
  </si>
  <si>
    <t>Lisensi</t>
  </si>
  <si>
    <t>Sudah</t>
  </si>
  <si>
    <t>PT. Inti Konten Indonesia (INTENS)</t>
  </si>
  <si>
    <t>Sistem Big Data Bahasa dan Sastra Lisan Perbatasan (BAHASAN)</t>
  </si>
  <si>
    <t>STKIP Persada Khatulistiwa, Sintang</t>
  </si>
  <si>
    <t>EC002025055955</t>
  </si>
  <si>
    <t>BugisLingua - Sistem Terjemahan Bahasa Bugis</t>
  </si>
  <si>
    <t>Gusnawaty, Hazriani, Pammuda</t>
  </si>
  <si>
    <t>Fakultas Ilmu Budaya Univ. Hasanuddin</t>
  </si>
  <si>
    <t xml:space="preserve">Mohon evidence nomor HKI </t>
  </si>
  <si>
    <t>Alat bantu pemeriksaan hasil rekam ujaran Bahasa Bugis</t>
  </si>
  <si>
    <t>Hak Cipta INACOVED (Dataset)</t>
  </si>
  <si>
    <t>FMIPA Universitas Lampung</t>
  </si>
  <si>
    <t>EC002023112261</t>
  </si>
  <si>
    <t>Hak Cipta Bangkit-TS (Program Komputer)</t>
  </si>
  <si>
    <t>Febi Siti Sutria Ningsih, Dian Kurniasari, Warsono</t>
  </si>
  <si>
    <t>EC002022107186</t>
  </si>
  <si>
    <t>PIC/KORD KEGIATAN (SIVITAS PRSDI)</t>
  </si>
  <si>
    <t>KERJA SAMA</t>
  </si>
  <si>
    <t>PERJANJIAN</t>
  </si>
  <si>
    <t>EVIDEN/DAKUNG</t>
  </si>
  <si>
    <t>TIPE</t>
  </si>
  <si>
    <t>SUMBER</t>
  </si>
  <si>
    <t>OUTPUT</t>
  </si>
  <si>
    <t>PIHAK K3</t>
  </si>
  <si>
    <t>NILAI</t>
  </si>
  <si>
    <t>KETERANGAN</t>
  </si>
  <si>
    <t>NO KERJASAMA</t>
  </si>
  <si>
    <t>TANGGAL KERJASAMA</t>
  </si>
  <si>
    <t>NO PERJANJIAN</t>
  </si>
  <si>
    <t>TANGGAL PERJANJIAN</t>
  </si>
  <si>
    <t>LINK UPLOAD</t>
  </si>
  <si>
    <t>STATUS UPLOAD</t>
  </si>
  <si>
    <t>TAHUN PKS</t>
  </si>
  <si>
    <t>NO KI YANG TERMANFAATKAN</t>
  </si>
  <si>
    <t>LINK BUKTI DUKUNG</t>
  </si>
  <si>
    <t>Pengembangan Aplikasi Model Pembelajaran Al-Qur'an Metode Yusro</t>
  </si>
  <si>
    <t>Dr. Bambang Setiadi</t>
  </si>
  <si>
    <t>Kerjasama</t>
  </si>
  <si>
    <t>Dalam Negeri</t>
  </si>
  <si>
    <t>Universitas Swadaya Gunung Jati</t>
  </si>
  <si>
    <t>No. 002/V/KS/01/2025 dan 01/Lemlit-UGJ/I/2025</t>
  </si>
  <si>
    <t>Dana Eksternal &amp; Kerjasama</t>
  </si>
  <si>
    <t>2022 addendum 2024</t>
  </si>
  <si>
    <t>mahasiswa PKL 6 orang dan MBKM 6 orang</t>
  </si>
  <si>
    <t>Pengembangan Platform Digital Smart Research Environment (SRE) yang bertumpu pada Konektivitas Kecerdasan Buatan dan Kolaborasi Pakar untuk Mendukung Perkembangan Riset dan Inovasi di Indonesia</t>
  </si>
  <si>
    <t>Rio Nurtantyana</t>
  </si>
  <si>
    <t>Dana Eksternal</t>
  </si>
  <si>
    <t>RIIM</t>
  </si>
  <si>
    <t>In Cash</t>
  </si>
  <si>
    <t>RIIM Kompetitif Gel. 7</t>
  </si>
  <si>
    <t>NOMOR 61/II.7/HK/2024</t>
  </si>
  <si>
    <t>Metaspeak: Platform Pembelajaran Multi-Bahasa Mandiri Berbasis Metaverse Untuk Mengatasi Kecemasan Berbahasa</t>
  </si>
  <si>
    <t>LPPM Tel U</t>
  </si>
  <si>
    <t>PKS tahun 2024, Jangka waktu 3 tahun</t>
  </si>
  <si>
    <t>160/V/KS/06/2024</t>
  </si>
  <si>
    <t>- Paper published di Q2 Scopus
- Perlu konfirmasi apa dpt dana external di tahun 2025</t>
  </si>
  <si>
    <t>Pengembangan Sistem Identifikasi Fitoplankton Perairan Indonesia Dengan Menggunakan Computer Vision</t>
  </si>
  <si>
    <t>Riyo Wardoyo (PRKAKS), Arief Rachman (ORKM), Diah Radini Noerjito (ORHL), Ovide DWA (UNS), Tri Retnaningsih (UNDIP), Kusworo (UNDIP)</t>
  </si>
  <si>
    <t>RIIM Gel. 3, Tahun ke-2</t>
  </si>
  <si>
    <t xml:space="preserve">B-838/II.7.5/FR.06/5/2023 </t>
  </si>
  <si>
    <t>8 Mei 2023</t>
  </si>
  <si>
    <t xml:space="preserve">Menunggu Pencairan Dana </t>
  </si>
  <si>
    <t>Pengembangan Sistem Kustomisasi Model Bahasa untuk Meningkatkan Akurasi Whisper dalam Pengenalan Ucapan Otomatis Ujung-ke-Ujung</t>
  </si>
  <si>
    <r>
      <rPr>
        <sz val="9"/>
        <rFont val="Arial"/>
      </rPr>
      <t xml:space="preserve">Dr. Dipl.(FH) Ing Asril, </t>
    </r>
    <r>
      <rPr>
        <u/>
        <sz val="9"/>
        <color rgb="FF1155CC"/>
        <rFont val="Arial"/>
      </rPr>
      <t>M.Sc</t>
    </r>
  </si>
  <si>
    <t>Tim PT Bahasa Kita:
Oskar Riandi; Izzul Haq Al Hakam;Achmad Satria Putera</t>
  </si>
  <si>
    <t xml:space="preserve">B-5647/II.7.5/RT.01.01/4/2025 B-6888/III.6/TK.01.03/4/2025 </t>
  </si>
  <si>
    <t>SK DEPUTI BIDANG FASILITASI RISET DAN INOVASI, BADAN RISET DAN INOVASI NASIONAL, NOMOR 61/II.7/HK/2024 TENTANG PENERIMA PROGRAM RISET DAN INOVASI UNTUK INDONESIA MAJU KOMPETISI GELOMBANG 7</t>
  </si>
  <si>
    <t>In Kind</t>
  </si>
  <si>
    <t>384/V/KS/10/2024</t>
  </si>
  <si>
    <t>Pengembangan Teknologi Imersif dan Penyediaan Asset Aplikasi 3D</t>
  </si>
  <si>
    <t>Cahyo Trianggoro</t>
  </si>
  <si>
    <t>UPI Cibiru Bandung</t>
  </si>
  <si>
    <t>177/V/KS/06/2024</t>
  </si>
  <si>
    <t>Kerjasama masih berlangsung, untuk Dana Eksternal (Rp. 36.900.000) sudah dikalim 2024</t>
  </si>
  <si>
    <t xml:space="preserve">PERANCANGAN ASSET VISUAL GAME (2D/3D) UNTUK MEMPERKENALKAN KEBUDAYAAN DAERAH YANG ADA DI SULAWESI DAN KEPULAUAN NUSA TENGGARA
</t>
  </si>
  <si>
    <t>Cahyo Trianggoro, Niken Fitria Apriani, Dian Andriana</t>
  </si>
  <si>
    <t>Universitas Telkom</t>
  </si>
  <si>
    <t>232/V/KS/07/2024</t>
  </si>
  <si>
    <t>Jangka waktu 2 tahun
menghasilkan HKI : EC002025132928, 16 September 2025</t>
  </si>
  <si>
    <t xml:space="preserve">PERANCANGAN ASSET VISUAL GAME (2D/3D) UNTUK MEMPERKENALKAN KEBUDAYAAN DAERAH MALUKU DAN PAPUA
</t>
  </si>
  <si>
    <t>Cahyo Trianggoro, Niken Fitria Apriani</t>
  </si>
  <si>
    <t>Universitas Pasundan</t>
  </si>
  <si>
    <t>176/V/KS/06/2024</t>
  </si>
  <si>
    <t>Jangka waktu 2 tahun</t>
  </si>
  <si>
    <t>Penerapan Algoritma Komodo Mlipir dalam Menyelesaikan Vehicle Routing Problem untuk Rute Wisata Multi-Hari di Yogyakarta</t>
  </si>
  <si>
    <t xml:space="preserve">Abdurahman Baizal </t>
  </si>
  <si>
    <t>Telkom University</t>
  </si>
  <si>
    <t>RIIM Gel 7, Tahun ke-1</t>
  </si>
  <si>
    <t>Jangka Waktu 3 tahun
Dana external sudah d klaim 2024</t>
  </si>
  <si>
    <t>Kolaborasi Riset Di Bidang Kesehatan Jantung</t>
  </si>
  <si>
    <t>Mitra/Universitas</t>
  </si>
  <si>
    <t>18/V/KS/04/2022 dan 090/SAM4/RC-HUMIC/2022</t>
  </si>
  <si>
    <t>21 April 2022</t>
  </si>
  <si>
    <t>Kolaborasi Riset Pengembangan Sistem Penerjemah Bahasa Isyarat BISINDO Menggunakan Analisis Video</t>
  </si>
  <si>
    <t>PT. Inovasi Disabilitas Indonesia</t>
  </si>
  <si>
    <t>54/V/KS/07/2022 dan 20.04/Hear Me-PKS/VII/2022</t>
  </si>
  <si>
    <t>14 Juli 2022</t>
  </si>
  <si>
    <t>paper accepted 1 jurnal int.</t>
  </si>
  <si>
    <t>Penelitian dan Pengembangan Human-Centered Computing Untuk Digital Library dan Distance Learning</t>
  </si>
  <si>
    <t>UI</t>
  </si>
  <si>
    <t>531/V/KS/11/2023 dan PKS-99/UN2.F11.D/HKP.05.01/2023</t>
  </si>
  <si>
    <t>3 November 2023</t>
  </si>
  <si>
    <t>mahasiswa MBKM 1</t>
  </si>
  <si>
    <t xml:space="preserve">Collaboration and Co-Development of Human-Computer Interaction and Visualization Through Smart Robotics and Mobile Applications for Authentic Contextual Exploration </t>
  </si>
  <si>
    <t>Luar Negeri</t>
  </si>
  <si>
    <t>Taiwan Vest Information INC</t>
  </si>
  <si>
    <t>Taiwan</t>
  </si>
  <si>
    <t>Perjanjian Kerjasama</t>
  </si>
  <si>
    <t>8 Agustus 2025</t>
  </si>
  <si>
    <t>https://drive.google.com/drive/folders/1pfWg0y9PDMakt1iYy0pe81S0Me33MgWo?usp=drive_link</t>
  </si>
  <si>
    <t>SURAT TUGAS NOMOR B-303/III.6.3/RT.07.00/1/2025, Tgl. 7 Januari 2025</t>
  </si>
  <si>
    <t>Kerjasama Internasional, Ttd LoI PRSDI dengan UKM Malaysia, KelRis HCIV</t>
  </si>
  <si>
    <t>UKM Malaysia</t>
  </si>
  <si>
    <t>Tahun ke-2, Masih Dalam Proses Monitoring dan Evaluasi</t>
  </si>
  <si>
    <t>PRSDI - ITENAS</t>
  </si>
  <si>
    <t>ITENAS</t>
  </si>
  <si>
    <t>Kegiatan Penelitian dan Pengembangan Platform Kolaborasi Digital Dengan Teknologi Visualisasi Berbasis Knowledge  Graph</t>
  </si>
  <si>
    <t>Unversitas Brawijaya</t>
  </si>
  <si>
    <t>384/V/KS/10/2024 dan 03404/UN10.F1501/B/KS/2024</t>
  </si>
  <si>
    <t>02/10/2024</t>
  </si>
  <si>
    <t>Kolaborasi Dalam Riset dan Inovasi Dalam Arah Strategis Dan Tematik, Serta Mekanisme Dalam Metaverse, Realitas Virtual, Realitas Tertambah, Hologram, Realitas Terpanjang, Realitas Campuran, Dan Bidang-Bidang Terkait</t>
  </si>
  <si>
    <t>IVI - Universiti Kebangsaan Malaysia (UKM)</t>
  </si>
  <si>
    <t>Surat Pernyataan Kehendak (SPK)</t>
  </si>
  <si>
    <t>7 Agustus 2025</t>
  </si>
  <si>
    <t>Riset Dibidang Teknologi Data-Driven Analytic Untuk Mendukung Pencapaian Sustainable Development Goals</t>
  </si>
  <si>
    <t>Institut Teknologi Sumatera</t>
  </si>
  <si>
    <t>344/V/KS/09/2025 dan 249/IT9.3.1/HK.08.00/2025</t>
  </si>
  <si>
    <t>15/09/2025</t>
  </si>
  <si>
    <t>BRICS New Industry “Golden Egret” Excellence Scholarship 2025 BPIC Training Program on Industrial Green Development and Digitalization</t>
  </si>
  <si>
    <t>Penerapan Big Data Cognitive Analytics Terhadap Pariwisata dan Ekonomi Kreatif</t>
  </si>
  <si>
    <t>Sekolah Tinggi Ilmu Ekonomi Sabang (STIES) Banda Aceh</t>
  </si>
  <si>
    <t>PKS TAHUN 2024, Jangka waktu 3 tahun</t>
  </si>
  <si>
    <t>No. 524/V/KS/12/2024 dan 102/MoU/STIES/VII/2024</t>
  </si>
  <si>
    <r>
      <rPr>
        <sz val="11"/>
        <color theme="1"/>
        <rFont val="Calibri"/>
      </rPr>
      <t xml:space="preserve">Klaim untuk tahun 2025. Terdapat output KTI. Publikasi di Prosiding / International Conference (Sheet PI No 38) = </t>
    </r>
    <r>
      <rPr>
        <sz val="11"/>
        <color rgb="FFFF0000"/>
        <rFont val="Calibri"/>
      </rPr>
      <t>Sudah di input (no.5), dan sudah di klaim</t>
    </r>
  </si>
  <si>
    <t>Sinergi Dibidang Penelitian, Pengembangan, Pengkajian, Penerapan Ilmu Pengetahuan dan Teknologi Serta Investasi dan Inovasi Untuk Mendukung  Pembangunan di Kabupaten Muara Enim</t>
  </si>
  <si>
    <t>Pemkab Muara Enim</t>
  </si>
  <si>
    <t>119/21/IV/2025 dan `51/I/KS/07/2025</t>
  </si>
  <si>
    <t>17 Juli 2025</t>
  </si>
  <si>
    <t>PKS tahun 2024 Jangka waktu 3 Tahun</t>
  </si>
  <si>
    <t>Perjanjian Lisensi</t>
  </si>
  <si>
    <t>B-972/II.8/MR.01.01/3/2024 dan 007/PKS/INTENS/III/2024</t>
  </si>
  <si>
    <t>https://drive.google.com/drive/u/1/search?q=PKS</t>
  </si>
  <si>
    <r>
      <rPr>
        <sz val="9"/>
        <color theme="1"/>
        <rFont val="Courier New"/>
      </rPr>
      <t xml:space="preserve">Jangka Waktu 5 tahun
Tahun 2025 PT Intens ( Perjanjian Lisensi) untuk penerapan eVoting di Kab Indramayu, Kab  Krawang dan Kab Gresik.
</t>
    </r>
    <r>
      <rPr>
        <sz val="9"/>
        <color rgb="FFFF0000"/>
        <rFont val="Courier New"/>
      </rPr>
      <t>Apakah menghasilkan lisensi di tahun 2025 ?</t>
    </r>
  </si>
  <si>
    <t>Penelitian, Pengembangan, Pengkajian, dan Penerapan, Serta Invensi dan Inovasi di Kabupaten Belitung</t>
  </si>
  <si>
    <t>Kab. Belitung</t>
  </si>
  <si>
    <t>87/I/KS/10/2024 dan 181/06/NK/I/2024</t>
  </si>
  <si>
    <t>01-10-2024</t>
  </si>
  <si>
    <t>https://drive.google.com/drive/u/1/search?q=pks</t>
  </si>
  <si>
    <t>Riset dan Pengembangan Mesin Penerjemah Bahasa Makassar dan Bahasa Cia-cia ke Bahasa Indonesia</t>
  </si>
  <si>
    <t>Universitas Handayani Makassar</t>
  </si>
  <si>
    <t>444/V/KS/10/2024</t>
  </si>
  <si>
    <t>04/11/2024</t>
  </si>
  <si>
    <t>Chatbot Lisa</t>
  </si>
  <si>
    <t>Unit Hemodialisis RSUD Cimacan Cianjur</t>
  </si>
  <si>
    <t>335/V/KS/09/2024</t>
  </si>
  <si>
    <t>01/10/2024</t>
  </si>
  <si>
    <t xml:space="preserve">Mohon PKS di Upload atau mohon buat surat keterangan pemanfaatan pada tahun 2025 dari RSUD </t>
  </si>
  <si>
    <t>Rencana KI Termanfaatkan</t>
  </si>
  <si>
    <t>Riset dan Pengembangan Part of Speech (POS) Tag dan Mesin Penerjemah Bahasa Bugis ke Bahasa Indonesia</t>
  </si>
  <si>
    <t>Univ. Hasanuddin</t>
  </si>
  <si>
    <t>335/V/KS/09/2024 dan 3782/UN4.9.7/HK.07.00/2024</t>
  </si>
  <si>
    <t>02-09-2024</t>
  </si>
  <si>
    <t>2023, Amandemen 2025
berakhir 2030</t>
  </si>
  <si>
    <t>ASEAN-Korea Cooperation Fund (AKCF) - Korea Institute of Science and Technology Information (KISTI)</t>
  </si>
  <si>
    <t>Dr. Rifki Sadikin (PR Komputasi)</t>
  </si>
  <si>
    <t>Korea Institute of Science and Technology Information (KISTI)</t>
  </si>
  <si>
    <t>2022</t>
  </si>
  <si>
    <t>Jangka Waktu 5 tahun</t>
  </si>
  <si>
    <t>Course on Digital Governance, Cybersecurity and A.I. Adoption for Public 
Service.</t>
  </si>
  <si>
    <t>Technical Cooperation Directorate Ministry of Foreign Affairs, Singapore Cooperation Programme</t>
  </si>
  <si>
    <t>SURAT TUGAS NOMOR B-9626/III.6/TK.02.01/5/2025</t>
  </si>
  <si>
    <t>Visiting Researcher ke Pukyong National University dengan tema "Exploring Food Computing"</t>
  </si>
  <si>
    <t>Visiting Research</t>
  </si>
  <si>
    <t>Pukyong National University</t>
  </si>
  <si>
    <t>SURAT TUGAS NOMOR B-4143/III.6/TK.02.01/2/2025</t>
  </si>
  <si>
    <t>Jangka Waktu 3 tahun</t>
  </si>
  <si>
    <t>Pendekatan Inovatif Data Analitik Guna Meningkatkan Kualitas Pendidikan dan Pengalaman Belajar Peserta Didik Pada Platform Pembelajaran Daring</t>
  </si>
  <si>
    <t>Universitas Terbuka</t>
  </si>
  <si>
    <t>258/V/KS/07/2024 dan B/2675/UN31.FST/HK.08.00/2024</t>
  </si>
  <si>
    <t>01-08-2024</t>
  </si>
  <si>
    <t>Development of Smart Grid Ontology for Interoperability and Knowledge Sharing</t>
  </si>
  <si>
    <t>California polytechnic state University (Calpoly) USA</t>
  </si>
  <si>
    <t>Jangka Waktu 1 tahun</t>
  </si>
  <si>
    <t>Screening Tool Untuk Pengenalan Hidrokarbon Dan Non-Hidrokarbon Menggunakan Data Seismik</t>
  </si>
  <si>
    <t>RIIM gel 9</t>
  </si>
  <si>
    <t xml:space="preserve">Pengembangan Metode End-ToEnd Provenance Artefak Riset Karakterisasi Kacang Tunggak (Vigna unguiculata L.Walp) dalam Mengungkap Sumber Daya Genetiknya </t>
  </si>
  <si>
    <r>
      <rPr>
        <sz val="9"/>
        <color theme="1"/>
        <rFont val="Arial"/>
      </rPr>
      <t xml:space="preserve">Dr. Arya Adhyaksa Waskita, </t>
    </r>
    <r>
      <rPr>
        <u/>
        <sz val="9"/>
        <color rgb="FF1155CC"/>
        <rFont val="Arial"/>
      </rPr>
      <t>M.Si</t>
    </r>
  </si>
  <si>
    <t>RIIM Gel. 4, Tahun ke-2</t>
  </si>
  <si>
    <t>B-3836/II.7.5/FR.06.00/11/2023</t>
  </si>
  <si>
    <t>27 November 2023</t>
  </si>
  <si>
    <t>Pembangunan Sistem Big Data Bahasa dan Folklor Lisan Perbatasan Kalimantan Barat, Indonesia - Sarawak, Malaysia dalam Kerangka Pelestarian Budaya Indonesia</t>
  </si>
  <si>
    <t>293/V/KS/08/2025</t>
  </si>
  <si>
    <t xml:space="preserve">International Conference on “Science and Technolocy Information Management System: Practices and Experiences” </t>
  </si>
  <si>
    <t>Nepal Academy of Science &amp; Technology</t>
  </si>
  <si>
    <t>SURAT TUGAS NOMOR B-9792/III.6/TK.08.00/5/2025</t>
  </si>
  <si>
    <t>Riset Pengembangan Platform Smart Tourism Pada Destinasi Pariwisata Super Prioritas Berbasis Data  Science</t>
  </si>
  <si>
    <t>Ery Setiyawan Jullev Atmadji, Kristopher</t>
  </si>
  <si>
    <t>Puliteknik Jember</t>
  </si>
  <si>
    <t>352/V/KS/09/2024 dan 10496/PL17/KS/2024</t>
  </si>
  <si>
    <t>03-10-2024</t>
  </si>
  <si>
    <t xml:space="preserve">KOLABORASI PENELITIAN DAN INOVASI PADA KNOWLEDGE GRAPH UNTUK PENGEMBANGAN AI </t>
  </si>
  <si>
    <t>SEKOLAH KOMPUTASI DAN KOMPUTASI INOVATIF, UNIVERSITAS BRITANIA RAYA VIETNAM</t>
  </si>
  <si>
    <t>Vietnam</t>
  </si>
  <si>
    <t>Sudah Di Klaim Nomor 41</t>
  </si>
  <si>
    <t>NAM S&amp;T Centre and NAST</t>
  </si>
  <si>
    <t>Menunggu berkas PKS</t>
  </si>
  <si>
    <t>RISET DAN INOVASI PENGEMBANGAN SISTEM BIG DATA BAHASA DAN SASTRA LISAN PERBATASAN KALIMANTAN BARAT, INDONESIA - SARAWAK, MALAYSIA</t>
  </si>
  <si>
    <t>SEKOLAH TINGGI KEGURUAN DAN ILMU PENDIDIKAN PERSADA KHATULISTIWA SINTANG</t>
  </si>
  <si>
    <t>Nomor : 293A//KS 10812025 dan  146 lltlU lD5/H3ru1/2A25</t>
  </si>
  <si>
    <t>25-08-2025</t>
  </si>
  <si>
    <t>Jangka waktu Kerjasama 3 tahun</t>
  </si>
  <si>
    <t>Penelitian dan Pengembangan Pemodelan Information Retrieval</t>
  </si>
  <si>
    <t>Dr. Purnomo Husnul Khotimah, M.T.</t>
  </si>
  <si>
    <t>FMIPA - Universitas Lampung</t>
  </si>
  <si>
    <t>No. 299/V/KS/12/2022 dan 7449/UN26.17/KS.00.00/2022</t>
  </si>
  <si>
    <t>9 Desember 2024, Addendum ke-1</t>
  </si>
  <si>
    <t xml:space="preserve">Pemantauan Kejadian Penyakit Menular Menggunakan Metode Digital Epidemiology untuk Mendukung Program One Health </t>
  </si>
  <si>
    <t>Sudah diklaim nomor 18</t>
  </si>
  <si>
    <t xml:space="preserve">PENELITIAN DAN PENGEMBANGAN TEKNOLOGI IDENTIFIKASI VARIETAS CABAI MENGGUNAKAN DEEP LEARNING UNTUK MEMPERTAHAKAN KEMURNIAN BENIH </t>
  </si>
  <si>
    <t>BALAI PENELITIAN TANAMAN SAYURAN (BALITSA) Lembang</t>
  </si>
  <si>
    <t>PKS tahun 2021, Jangka waktu 5 tahun</t>
  </si>
  <si>
    <t>NOMOR: B-7459/III/KS.01.01/8/2021 NOMOR: B-1115.1/1-1K.220/H.3.1/08/2021, Tgl. 23 Agustus 2021</t>
  </si>
  <si>
    <t>RIIM Gelombang 9</t>
  </si>
  <si>
    <t>Penelitian dan Pengembangan Water Bodies Segmentation and Spatiotemporal Analysis of Surface Water Using Data Analytics</t>
  </si>
  <si>
    <t>Universitas Riau</t>
  </si>
  <si>
    <t>PKS 2024, Jangka waktu 3 Tahun</t>
  </si>
  <si>
    <t>PKS No 283/V/KS/08/2024 dan  2576/UN19.5.1.1.3/KS.00.00/2024</t>
  </si>
  <si>
    <t>20 Agustus 2024</t>
  </si>
  <si>
    <t>ACM ASEAN School on HPC and AI</t>
  </si>
  <si>
    <t>National Super Computing Center, Singapore dan Association Computing Machinery</t>
  </si>
  <si>
    <t>ACM Europe Summer School on HPC Computer Architectures for AI and Dedicated Applications</t>
  </si>
  <si>
    <t>Barcelona Supercomputing Center + Association Computing Machinery (SIG HPC)</t>
  </si>
  <si>
    <t xml:space="preserve"> Barcelona Supercomputing Center + Association Computing Machinery (SIG HPC)</t>
  </si>
  <si>
    <t>Identifikasi Keragaman Fenotip Varietas Cabai Berbasis Kecerdasan Artificial</t>
  </si>
  <si>
    <t xml:space="preserve">Irya Wisnubhadra, S.T, M.T, Ph.D, IPM (Universitas Atma Jaya Yogyakarta)
Dr. Christina Juliane (STMIK LIKMI Bandung)
Rakhmayudi, M.Kom (Universitas Subang)
Dr. Rinda Kirana (PRHB-BRIN)
Gede Deny Kharisman PT Bukitmas Agritech Int.)
Noor Roufiq Ahmadi (BPSI Sayuran-Kementan)
Pepen Ependi (BPSI Sayuran-Kementan)
</t>
  </si>
  <si>
    <t>PENGEMBANGAN TEKNOLOGI WERENG BATANG COKLAT BERBASIS IDENTIFIKASI DAN PREDIKSI YANG PRESISI UNTUK KETAHANAN PANGAN D.I. YOGYAKARTA</t>
  </si>
  <si>
    <t xml:space="preserve">Dr. Arlyna Budi Pustika, S.P., M.P; Sutomo, S.Hut., M.Sc., Ph.D.; Prof. Dr. Drs. Sudarmaji, MP. </t>
  </si>
  <si>
    <t>Dana Eksternal&amp;Kerjasama</t>
  </si>
  <si>
    <t>Dinas Pertanian dan Ketahanan Pangan Daerah Istimewa Yogyakarta</t>
  </si>
  <si>
    <t>Nota Kesepakatan BRIN &amp; Pemerintah DIY nomor 21/I/KS/02/2024 &amp; No. 100.3.7.1/1473</t>
  </si>
  <si>
    <t>5/III.11.3/HK/2025</t>
  </si>
  <si>
    <t>Pengukuran Kualitas Air (pH dan TDS) Berbasiskan Internet of Thing</t>
  </si>
  <si>
    <t xml:space="preserve">Misbahul Fajri </t>
  </si>
  <si>
    <t>PKS tahun 2024 3 tahun</t>
  </si>
  <si>
    <t xml:space="preserve">Deepfake Detection for Personalised Learning
</t>
  </si>
  <si>
    <t>DEPARTMENT OF COMPUTER ENGINEERING, FACULTY OF ENGINEERING, CHULALONGKORN UNIVERSITY, THAILAND</t>
  </si>
  <si>
    <t>Letter of Intent 1 tahun</t>
  </si>
  <si>
    <t>13 Oktober 2025</t>
  </si>
  <si>
    <t>Dr. Ir. Nia Kurnia Praja M.T.
Maman Hermana, Phd</t>
  </si>
  <si>
    <t>Intitute Technology Petronas Malaysia</t>
  </si>
  <si>
    <t>20 November 2025</t>
  </si>
  <si>
    <t>Kegiatan RIIM Gel 9 (Pak Teduh), didalam kegiatan tersebut ada kerjasama riset dengan pihak luar negeri (Malaysia).</t>
  </si>
  <si>
    <t>Penelitian, Pengembangan, Pengkajian, dan Penerapan, Serta Invensi dan Inovasi Dalam Rangka Pembangunan Daerah di Kabupaten Lombok Barat</t>
  </si>
  <si>
    <t>Pemkab Lombok Barat</t>
  </si>
  <si>
    <t>Pemkab. Lombok Barat</t>
  </si>
  <si>
    <t>85/I/KS/10/2025 dan 100.3.7.1/27/NK/2025</t>
  </si>
  <si>
    <t>27 Oktober 2025</t>
  </si>
  <si>
    <t>Collaboration on research and innovation on metaverse, virtual reality, augmented reality, hologram, extended reality, and mix reality</t>
  </si>
  <si>
    <t>Assoc. Prof. Dr. Rabiah Abdul Qadir, Assoc. Prof. Dr. Nazlena Mohamad Ali</t>
  </si>
  <si>
    <t>Institut Visual Informasi -Universitas Kebangsaan Malaysia</t>
  </si>
  <si>
    <t>Christine Cecylia Munthe, S.Kom., Halim Hamadi (Kedua nama tersebut belum termasuk dalam kolom civitas PRSDI, karena kolom civitas hanya untuk 10 nama</t>
  </si>
  <si>
    <t>A Systematic Review of Virtual Reality Exergames for Older Adults:
Enhancing Physical, Cognitive, and Social Health</t>
  </si>
  <si>
    <t>Rp. 49.500.000</t>
  </si>
  <si>
    <t>https://drive.google.com/file/d/1N7DXD5GgE-BJdQILEc9AG3gMjq8sALNQ/view?usp=drive_link</t>
  </si>
  <si>
    <t>APC (biaya publikasi jurnal)</t>
  </si>
  <si>
    <t>Riset dan pengembangan Large Language Model (LLM) Multimodal untuk sistem Triase semi Otomatis di Rumah Sakit Indonesia</t>
  </si>
  <si>
    <r>
      <rPr>
        <sz val="9"/>
        <color theme="1"/>
        <rFont val="Calibri"/>
      </rPr>
      <t xml:space="preserve">Dr. Dipl.(FH) Ing Asril, </t>
    </r>
    <r>
      <rPr>
        <u/>
        <sz val="9"/>
        <color rgb="FF1155CC"/>
        <rFont val="Calibri"/>
      </rPr>
      <t>M.Sc</t>
    </r>
  </si>
  <si>
    <t>Arief Sartono, Ahmad Ridwan Fauzi, Lalan Jaelani</t>
  </si>
  <si>
    <t>PT Envision Lab Studio - LPPM Universitas Suryakancana</t>
  </si>
  <si>
    <t>386/V/KS/09/2025</t>
  </si>
  <si>
    <t>Advancing SDG 11 Through Capacity Building and Science-Based Urban Spatial Planning (SciBUSP) in Southeast Asia: Big Earth Data Solutions for Sustainable Urban Planning</t>
  </si>
  <si>
    <t>Prof. Dewayany (F), Bowei Chen (M), Ngoc Thang Nguyen (M), Suzanna Noor Azmi (F), Robby Arifandri (M), Aninda Wisaksanti Rudiastuti (F), Boby Bagja Pratama (M), Ayub Sugara (M)</t>
  </si>
  <si>
    <t>Hibah</t>
  </si>
  <si>
    <t>1. The International Research Center of Big Data for Sustainable Development Goals (CBAS), Chinese Academy of Sciences
2. Institute of Geography, Vietnam Academy of Science and Technology
3. Universiti Teknologi Malaysia
4. National Research and Innovation Agency (BRIN)
5. Faculty of Agriculture, Bengkulu University</t>
  </si>
  <si>
    <t>https://doi.org/10.30852/p.33903</t>
  </si>
  <si>
    <t xml:space="preserve">The official term of the Contract is from 1 October 2025 to 30 September 2026. </t>
  </si>
  <si>
    <t>https://www.apn-gcr.org/project/advancing-sdg-11-through-capacity-building-and-science-based-urban-spatial-planning-scibusp-in-southeast-asia-big-earth-data-solutions-for-sustainable-urban-planning/</t>
  </si>
  <si>
    <t>Mohon evidence di upload / surat keperangan valuasi</t>
  </si>
  <si>
    <t xml:space="preserve">Â 2025 Alumni Workshop on Local Actions for Disaster Risk Reduction and Climate Change Adaptation </t>
  </si>
  <si>
    <t>UNITAR CIFAL Jeju/JITC (Thailand)</t>
  </si>
  <si>
    <t>The first workshop on Asian Multi-Cultural LLM by National Institute of Information and Communications Technology (NICT)</t>
  </si>
  <si>
    <t>National Institute of Information and Communications Technology (NICT) Jepang</t>
  </si>
  <si>
    <t>MOST-111-2221 E-006-010-MY3 – Integrating Remote Sensing and Statistical Models for Climate and Carbon Studies (2025–2027)</t>
  </si>
  <si>
    <t>Chaoyang University of Technology - China</t>
  </si>
  <si>
    <t>SDM IPTEK MELANJUTKAN SEKOLAH</t>
  </si>
  <si>
    <t xml:space="preserve">PUSAT RISET SAINS DATA DAN INFORMASI  </t>
  </si>
  <si>
    <t>NAMA SDM IPTEK</t>
  </si>
  <si>
    <t>JENJANG PENDIDIKAN DITEMPUH</t>
  </si>
  <si>
    <t>NAMA UNIVERSITAS</t>
  </si>
  <si>
    <t>UPLOAD DAKUNG</t>
  </si>
  <si>
    <t>LINK DOKUMEN PENDUKUNG</t>
  </si>
  <si>
    <t>S3</t>
  </si>
  <si>
    <t>Pennsylvania State University</t>
  </si>
  <si>
    <t>Tugas Belajar LN</t>
  </si>
  <si>
    <t>Sudah menerima Offer letter dari Universitas, saat ini akan proses pengajuan perpindahan kampus ke LPDP</t>
  </si>
  <si>
    <t>SDM Iptek</t>
  </si>
  <si>
    <t xml:space="preserve">https://drive.google.com/drive/folders/1saqMiUVsZgR1VyCEvn4MASkLksLD2T6J </t>
  </si>
  <si>
    <t>Terbit LOA sebagai evidence 
Biaya: Beasiswa (evidence lainnya) dan Mandiri (ada evidence langsung Klaim)</t>
  </si>
  <si>
    <t>Universitas Indonesia</t>
  </si>
  <si>
    <t>Tugas Belajar DBR</t>
  </si>
  <si>
    <t>DBR Sedang semester 2</t>
  </si>
  <si>
    <t>https://drive.google.com/file/d/1NDR4G2ztYUm9YEl0iAsPKdc9YmL7fN-p/view?usp=sharing</t>
  </si>
  <si>
    <t>Sudah di klaim 2024 (Tw4)</t>
  </si>
  <si>
    <t>Universitas Gadjah Mada</t>
  </si>
  <si>
    <t>Tugas Belajar Dalam Negeri non DBR</t>
  </si>
  <si>
    <t>SK Tugas Belajar per 1 Maret 2025</t>
  </si>
  <si>
    <t>https://drive.google.com/drive/folders/1BCWpu0GAYOZmKfXCjvC_raBXz06KeIc8?usp=sharing</t>
  </si>
  <si>
    <t>Sudah aktif perkuliahan per 10 Februari 2025, menggunakan pendanaan dari LPDP</t>
  </si>
  <si>
    <t>National Central University</t>
  </si>
  <si>
    <t>Sudah menerima email admitted dari kampus, menunggu LoA dan LoG beasiswa dari NCU</t>
  </si>
  <si>
    <t>https://1drv.ms/b/c/98c65c5114051101/EXv2lH8gaItIv9jYnkWSSwkBKXA5FVta2ccx1AinP-Vu6A?e=dSdSFL</t>
  </si>
  <si>
    <t>Sudah menerima email admitted dari kampus, menunggu LoA dan LoG beasiswa dari NCU, setelah itu baru mengajukan SK Tubel LN</t>
  </si>
  <si>
    <t>Lulus Pengumuman hasil seleksi akhir</t>
  </si>
  <si>
    <t>https://drive.google.com/file/d/1WXui1Lm70DSKo4Fv9Ns85l_aJMa92zNO/view?usp=drive_link</t>
  </si>
  <si>
    <t>POSTDOC/VISITING RESEARCH/PELATIHAN SDM KE LUAR NEGERI</t>
  </si>
  <si>
    <t>NAMA SDM PRSDI</t>
  </si>
  <si>
    <t>NON SDM PRSDI</t>
  </si>
  <si>
    <t>VOLUME</t>
  </si>
  <si>
    <t>SATUAN</t>
  </si>
  <si>
    <t>KEKAYAAN INTELEKTUAL</t>
  </si>
  <si>
    <t>DANA EKSTERNAL</t>
  </si>
  <si>
    <t>PESERTA PELATIHAN INTERNASIONAL</t>
  </si>
  <si>
    <t>https://drive.google.com/drive/folders/1G3L4xSzBFN-e5PExfv21tmzgkSmXabNK?usp=drive_link</t>
  </si>
  <si>
    <t>SDM Postdoc/VR</t>
  </si>
  <si>
    <t>https://drive.google.com/drive/folders/1STeg-PXLaFxrd8YyzrZFABdpaBzs85gX?usp=drive_link</t>
  </si>
  <si>
    <t>sertifikat menyusul</t>
  </si>
  <si>
    <t xml:space="preserve">International Conference on “Science and Technolocy Information Management System: Practice and Experiences” </t>
  </si>
  <si>
    <t>Dalam rangka memperkuat kompetensi di forum internasional (mohon sertifikat di upload)</t>
  </si>
  <si>
    <t xml:space="preserve">- Penyeleggaraan 26 Mei 2025 s.d. 30 Mei 2025
- Mohon sertifikat pelatihan, dokumentasi, jadwal materi </t>
  </si>
  <si>
    <t>VISITING RESEARCH</t>
  </si>
  <si>
    <t>https://drive.google.com/drive/folders/1KU_HSviyY7GwOFnq5jRG36JTwG2jEh8z?usp=sharing</t>
  </si>
  <si>
    <t>https://drive.google.com/drive/folders/1doPlC0r5yxcWI-vP26eycRFARQBaiPgH?usp=sharing</t>
  </si>
  <si>
    <t>Dr Quang Vinh BUV Vietnam</t>
  </si>
  <si>
    <t>Knowledge Graphs &amp; LLMs for Intrusion Detection</t>
  </si>
  <si>
    <t>Dr Andino Maselano</t>
  </si>
  <si>
    <t>https://drive.google.com/drive/folders/19SFg3rXH-s4XqqJhv9TeF0I57m8dFUIg?usp=drive_link</t>
  </si>
  <si>
    <t>Prof. Hwang (Taiwan)</t>
  </si>
  <si>
    <t>https://awan.brin.go.id/s/KnPsbC3WqPW65d2</t>
  </si>
  <si>
    <t>VR, Prof Abel, Australia KelRis IR (akhir Agustus)</t>
  </si>
  <si>
    <t>Prof Bong-Kee Sin, Korea</t>
  </si>
  <si>
    <t>Digital Health Service Platform for Everyone and Everywhere</t>
  </si>
  <si>
    <t>Talenta Riset, Pak Andria ke Jepang</t>
  </si>
  <si>
    <t>Associate. Prof. Dr. Nazlena Mohamad Ali</t>
  </si>
  <si>
    <t>Visiting Researcher on 14th – 17th October 2025</t>
  </si>
  <si>
    <t>Â 2025 Alumni Workshop on Local Actions for Disaster Risk Reduction and Climate Change Adaptation 
(Thailand)</t>
  </si>
  <si>
    <t xml:space="preserve">The first workshop on Asian Multi-Cultural LLM by National Institute of Information and Communications Technology (NICT). Kegiatan ini dilaksanakan pada tanggal 4-5 Desember 2025 di Kyoto, Japan. Workshop di bidang AI ini membahas tentang:
Bagaimana LLM global saat ini juga dapat memahami dan mengcover  konteks multibudaya di Asia. Selain itu Sensitif terhadap perbedaan budaya, konteks sosial, dan nilai-nilai lokal LLM menjadi issue global yg menjadi perhatian pada saat workshop.
</t>
  </si>
  <si>
    <t>INVENTOR SIVITAS PRSDI</t>
  </si>
  <si>
    <t>PENDAFTARAN</t>
  </si>
  <si>
    <t>SERTIFIKAT</t>
  </si>
  <si>
    <t>TANGGAL</t>
  </si>
  <si>
    <t>Sistem Manajemen Warehouse dan Point of Sales (POS) E-commerce</t>
  </si>
  <si>
    <t>Marcellito Vido Triwibowo, Dery Andrian Pratama</t>
  </si>
  <si>
    <t>Terdaftar DJKI</t>
  </si>
  <si>
    <t>Hak Cipta</t>
  </si>
  <si>
    <t>EC002024249615</t>
  </si>
  <si>
    <t>000822047</t>
  </si>
  <si>
    <t>KI</t>
  </si>
  <si>
    <r>
      <rPr>
        <b/>
        <sz val="10"/>
        <color rgb="FFFF0000"/>
        <rFont val="Calibri"/>
      </rPr>
      <t xml:space="preserve">Capaian tahun 2024 yang belum diklaim 
</t>
    </r>
    <r>
      <rPr>
        <b/>
        <i/>
        <sz val="11"/>
        <color rgb="FF000000"/>
        <rFont val="Calibri"/>
      </rPr>
      <t>(Sudah diklaim pada di Tw 4 Th. 2024)</t>
    </r>
  </si>
  <si>
    <t>Desain Industri Dispenser Sistem Pengisian Kendaraan Listrik Roda 4 Arus Bolak Balik</t>
  </si>
  <si>
    <t>Desain Industri</t>
  </si>
  <si>
    <t>A00202201124</t>
  </si>
  <si>
    <t>IDD000072843</t>
  </si>
  <si>
    <t>diklaim nomor 33</t>
  </si>
  <si>
    <t>SISTEM MULTI-SENSOR UNTUK AKUAKULTUR BERBASIS INTERNET OF THINGS LORA</t>
  </si>
  <si>
    <t>P00202314662</t>
  </si>
  <si>
    <t>Chatbot Lisa (Hemodialisa) versi 2.0 berbasis LLM+RAG</t>
  </si>
  <si>
    <t>EC002025048065</t>
  </si>
  <si>
    <t>https://pdki-indonesia.dgip.go.id/detail/e3b0c44298fc1c149afbf4c8996fb92427ae41e4649b934ca495991b7852b855</t>
  </si>
  <si>
    <t>KOMPOSIT MAGNETIK BERBASIS LOGAM TANAH
JARANG DAN PROSES PEMBUATANNYA</t>
  </si>
  <si>
    <t>Tersertifikasi</t>
  </si>
  <si>
    <t>P00202104099</t>
  </si>
  <si>
    <t>SINTESIS KOMPOSIT Fe3O4NPs/rGO BERBASIS BAHAN ALAMPASIR BESI</t>
  </si>
  <si>
    <t>EC00202419546</t>
  </si>
  <si>
    <t>Yusup Irawan, Dedy Ari Asfar, Irmayani, Herpanus, Muhammad Pramulya, Lilian Slow</t>
  </si>
  <si>
    <t>27 Mei 2025</t>
  </si>
  <si>
    <t>Mobile Smart Farm Monitoring</t>
  </si>
  <si>
    <t>EC00202455902</t>
  </si>
  <si>
    <t>Aset Game 2D/3D Indonesia Timur</t>
  </si>
  <si>
    <t>Dian Andriana,  Riky Taufik Afif, Yayat Sudaryat, Arief Budiman, Nisrina Qatrunnada, Adya Saladina Athaya, Moh. Reffy Aditya Dharma,  Gian Daffa Sonjaya, Nurhidayani Sulfiany, Arief Aflah,  Agus Setiawan, Purmaningrum Maeni, Erna Nurmalinda, Muammar Mochtar, Boy Irwan Budiman, Rakha Fadilah, Sarah Faradiba, Firas Shaquille Zharfan, Muhammad Fadhil Hamdani</t>
  </si>
  <si>
    <t>EC002025055947</t>
  </si>
  <si>
    <t>000896208</t>
  </si>
  <si>
    <t>SISTEM MULTISENSOR BERBASIS JARINGAN LoRa UNTUK PENGENDALIAN DAN MONITORING OTOMATIS PADA SISTEM HIDROPONIK DAN PERIKANAN PINTAR</t>
  </si>
  <si>
    <t>P00202403775</t>
  </si>
  <si>
    <t>PLATFORM KTP ELEKTRONIK BERBASIS JAVA CARD DAN METODE PEMBUATAN APPLET JAVA CARD YANG TERKANDUNG PADANYA</t>
  </si>
  <si>
    <t>Dwidharma Priyasta Tasurun, Yudi Purwantoro, 
Wahyu Cesar, Rully Kusumajaya, Afrias Sarotama, Fito Wigunanto Herminawan, Yanti Susanti, Widyanti, Melyana, Eka Setianingsih, Juliati Junde, Michael Andreas Purwoadi, Gembong Wibowanto, Firson Satriasta.</t>
  </si>
  <si>
    <t>Paten</t>
  </si>
  <si>
    <t>P00201800779</t>
  </si>
  <si>
    <t>IDP000097336 B</t>
  </si>
  <si>
    <t>DICOM AUTOMATION RECOVERY MANAGER</t>
  </si>
  <si>
    <t>EC00202455897</t>
  </si>
  <si>
    <t>Alat pengidentifikasi Wereng Batang Coklat (YUKE-WBC)</t>
  </si>
  <si>
    <t>Arlyna Budi Pustika, Efendi Zaenudin, Sutomo, Hendra Helmanto, Ani Mugiasih, Setyorini Widyayanti, Rahmini, Raden Heru Praptana, Gagad Restu Pratiwi, Sudarmaji, Kristamtini, Sigid Handoko, Wawan Sulistiono, Sugeng Widodo, Rizki Pradana, Chimayatus Solichah, Legi Kuswandi</t>
  </si>
  <si>
    <t>Submit MKI</t>
  </si>
  <si>
    <t>RADAR APERTUR SINTETIS MENGGUNAKAN REPEATER DIGITAL UNTUK APLIKASI PESAWAT TANPA AWAK</t>
  </si>
  <si>
    <t>P00202405995</t>
  </si>
  <si>
    <t>Animasi Hemodialisis</t>
  </si>
  <si>
    <t>IRFAN DWI RAHADIANTO, RAFI ADRI DINAN. MUHAMMAD ARSYAMSUHENTRI, MUHAMMAD AMMARRAMADHANA, MOHAMMAD RAFLIHARDIANSYAH</t>
  </si>
  <si>
    <t>EC002025107177</t>
  </si>
  <si>
    <t>000947438</t>
  </si>
  <si>
    <t>Mohon lampirkan PKS dg Telkom University (Sdh direvisi dengan melampirkan PKS)</t>
  </si>
  <si>
    <t>PERANGKAT PEMANTAUAN DAN KENDALI OTOMATIS UNTUK
HIDROPONIK DAN PERIKANAN</t>
  </si>
  <si>
    <t>IDD000070688</t>
  </si>
  <si>
    <t>Dataset Prediksi Parameter Keselamatan Termal-Hidraulik Kritis pada Peristiwa Station Blackout (SBO) di PLTN AP1000</t>
  </si>
  <si>
    <r>
      <rPr>
        <sz val="9"/>
        <color theme="1"/>
        <rFont val="Calibri"/>
      </rPr>
      <t xml:space="preserve">Dr. Arya Adhyaksa Waskita, </t>
    </r>
    <r>
      <rPr>
        <u/>
        <sz val="9"/>
        <color rgb="FF1155CC"/>
        <rFont val="Calibri"/>
      </rPr>
      <t>M.Si</t>
    </r>
  </si>
  <si>
    <t>Andi Sofrany Ekariansyah, Sudarno, Deswandri, Anggraini Ratih Kumaraningrum, Ratih Luhuring Tyas, Restu Maerani</t>
  </si>
  <si>
    <t>EC002025132934</t>
  </si>
  <si>
    <t>16-09-2025</t>
  </si>
  <si>
    <t>KOTAK STERILISASI MENGGUNAKAN SINAR UV-C
 YANG DILENGKAPI PENGGERAK PENUTUP</t>
  </si>
  <si>
    <t>IDP000092217</t>
  </si>
  <si>
    <t>HortiHeat Tracker</t>
  </si>
  <si>
    <t>Mathias Prathama</t>
  </si>
  <si>
    <t>EC002025132930</t>
  </si>
  <si>
    <t>04-07-2025</t>
  </si>
  <si>
    <t>RADAR APERTUR SINTETIS DENGAN DURASI WAKTU SINYAL CHIRP BERUBAH SECARA OTOMATIS MENGIKUTI KETINGGIAN PESAWAT UDARA</t>
  </si>
  <si>
    <t>P00202406442</t>
  </si>
  <si>
    <t>Aset Game 2D/3D Indonesia Timur Seri 2</t>
  </si>
  <si>
    <t>Dian Andriana, Muhammad Reza Pujiyanto, Ratu Berliana Nursabrina Shiddiq, Dayfa Sahla Azeeza, Lala Lailatul Badriah, Justin Zidane Chaniago, Siti Rahmani Wulandari, Malika Adilah Tatyana Usman, Bagas Ananta Mardjuki, Muhammad Angga Nabil Saputra, Sayid Muhammad Athaya Rahman, Mario, Tiara Radinska Deanda, Arief Budiman, Muhammad Adharamadinka, Yayat Sudaryat, Irfan Dwi Rahadianto.</t>
  </si>
  <si>
    <t>EC002025132928</t>
  </si>
  <si>
    <t>11-06-2025</t>
  </si>
  <si>
    <t>material penyerap gelombang radar berbasis nanokomposit Zno/polianilin/cat epoksi</t>
  </si>
  <si>
    <t>P00202406771</t>
  </si>
  <si>
    <t>LIKOE - A Simple Liquefaction Analysis Tool</t>
  </si>
  <si>
    <t>Wa Ode Sumartini, Volvariella Volvacea, Adi Susilo</t>
  </si>
  <si>
    <t>EC002025132933</t>
  </si>
  <si>
    <t>ANTENA HORN BERPITA LEBAR YANG DAPAT DIKONFIGURASI SEBAGAI TIGA JENIS ANTENA: ANTENA HORN KONVENSIONAL, DOUBLE RIDGED, DAN QUAD RIDGED</t>
  </si>
  <si>
    <t>P00202411129</t>
  </si>
  <si>
    <t>TerraClassify</t>
  </si>
  <si>
    <t>Rachmawan Atmaji Perdana, S.Kom., Mohammad Hamdani, S.T., M.TI, Tanzi Mubaroq Santoso, S.Kom., Risnandar, Ph.D, Fara Ayuningtyas, S.Kom., Monica Dwi Wahyu Sumunaringrum, ST.</t>
  </si>
  <si>
    <t>EC002025142803,</t>
  </si>
  <si>
    <t>METODE DEPOSISI LAPISAN TIPIS BiFeO3 TERSUBSTITUSI Gd DAN Ce SEBAGAI MATERIAL PENYERAP GELOMBANG ELEKTROMAGNETIK DAN PRODUK YANG DIHASILKANNYA</t>
  </si>
  <si>
    <t>P00202411155</t>
  </si>
  <si>
    <t>Aplikasi Pemrosesan Data SAR Sentinel-1 untuk Analysis Ready Data (ARD) Time Series dalam Pemantauan Periodik Lahan Sawah</t>
  </si>
  <si>
    <t>Dede Dirgahayu Domiri
I Made Parsa
Hilda Ayu Pratikasiwi
Siti Nadia Nurhidayah
R. Johannes Manalu
Kurdianto
Yanuar Ryan Irawan</t>
  </si>
  <si>
    <t>EC002025142801</t>
  </si>
  <si>
    <t>29-09-2025</t>
  </si>
  <si>
    <t>PLATFORM MOBILITAS PERORANGAN EMPAT RODA DENGAN SUSPENSI INDEPENDEN</t>
  </si>
  <si>
    <t>P00202412827</t>
  </si>
  <si>
    <t>Collab Identifier</t>
  </si>
  <si>
    <t>Dimas Bratakusumah; 
Dian Raisa Gumilar; 
Diash Firdaus; 
Yusup
Miftahuddin</t>
  </si>
  <si>
    <t>EC002025156074</t>
  </si>
  <si>
    <t>000996335</t>
  </si>
  <si>
    <t>PERANGKAT LAMPU PELAMPUNG SUAR PINTAR DENGAN PENGATURAN KODE KARAKTER CELANG LAMPU SECARA JARAK JAUH MENGGUNAKAN JARINGAN LORA</t>
  </si>
  <si>
    <t>P00202412810</t>
  </si>
  <si>
    <t>Dataset Citra Satelit Sentinel-1 (VH dan RPI) Komposit 15 Harian untuk Pemodelan Fase Pertumbuhan Padi Nasional tahun 2025</t>
  </si>
  <si>
    <t>EC002025209704</t>
  </si>
  <si>
    <t>10/12/2025</t>
  </si>
  <si>
    <t>PROSES PEMBUATAN KOMPOSIT CS-RGO DENGAN PENAMBAHAN CEO2 DAN RESIN EPOKSI MENGGUNAKAN METODE HUMMER TERMODIFIKASI</t>
  </si>
  <si>
    <t>P00202412830</t>
  </si>
  <si>
    <t>Warna Bumi: aplikasi konversi kode warna tanah Munsell ke nama dalam bahasa Inggris dan Indonesia dan sebaliknya</t>
  </si>
  <si>
    <t>Destika Cahyana, Bambang Setiadi, Sukarman, Anny Mulyani, Muhammad Hikmat, Edi Yatno, Vicca Karolinoerita, Diah Puspita Hati, Rachmat Abdul Gani, Mira Media Pratamaningsih</t>
  </si>
  <si>
    <t>EC002025209675</t>
  </si>
  <si>
    <t>SISTEM PEMINDAIAN AREA TAMPAK MUKA PADA BENDA 3 DIMENSI MENGGUNAKAN LIDAR PUTAR DENGAN SUDUT GERAK TERBATAS</t>
  </si>
  <si>
    <t>P00202412801</t>
  </si>
  <si>
    <t>Sistem Prediksi Potensi Bullying melalui Pola Emosi berbasis SuaraMenggunakan Deep Learning</t>
  </si>
  <si>
    <r>
      <rPr>
        <sz val="9"/>
        <color theme="1"/>
        <rFont val="Calibri"/>
      </rPr>
      <t xml:space="preserve">Dr. Dipl.(FH) Ing Asril, </t>
    </r>
    <r>
      <rPr>
        <u/>
        <sz val="9"/>
        <color rgb="FF1155CC"/>
        <rFont val="Calibri"/>
      </rPr>
      <t>M.Sc</t>
    </r>
  </si>
  <si>
    <t>PUTU HARRY GUNAWAN
YESY DIAH ROSITA
Yohana Wuri Satwika
Arfin Nurma Halida
RIFKI WIJAYA
Insan Ramadhan
TJOKORDA AGUNG BUDIWIRAYUDA
Rully Kusumajaya
I NYOMAN MANUTAMA SURYAJAGADHITA
ANANDA ARTI WIDIGDO
BRYAN DHANIEL</t>
  </si>
  <si>
    <t>EC002025149137</t>
  </si>
  <si>
    <t>000989398</t>
  </si>
  <si>
    <t>TAPIS LOLOS PITA (BANDPASS FILTER) MENGGUNAKAN KAPASITOR YANG DITALA</t>
  </si>
  <si>
    <t>S00201700696</t>
  </si>
  <si>
    <t>Dian Andriana, Muhammad Reza Pujiyanto, Ratu Berliana Nursabrina Shiddiq, Dayfa Sahla Azeeza, Lala Lailatul Badriah, Justin Zidane Chaniago, Siti Rahmani Wulandari, Malika Adilah Tatyana Usman, Bagas Ananta Mardjuki, Muhammad Angga Nabil Saputra, Sayid Muhammad Athaya Rahman, Mario, Tiara Radinska Deanda, Arief Budiman, Muhammad Adharamadinka, Yayat Sudaryat, Irfan Dwi Rahadianto</t>
  </si>
  <si>
    <t>000973189</t>
  </si>
  <si>
    <t>Sudah di Klain Nomor 12</t>
  </si>
  <si>
    <t>METODE SINKRONISASI WAKTU SIMBOL YANG DIKOMBINASIKAN DENGAN MESIN PEMBELAJARAN EKSTREM</t>
  </si>
  <si>
    <t>P00202414490</t>
  </si>
  <si>
    <t>METODE PELAPISAN Ni-P-La UNTUK MENINGKATKAN KETAHANAN KOROSI PADA PADUAN ALUMINIUM</t>
  </si>
  <si>
    <r>
      <rPr>
        <sz val="9"/>
        <color theme="1"/>
        <rFont val="Calibri"/>
      </rPr>
      <t xml:space="preserve">Dr. Arya Adhyaksa Waskita, </t>
    </r>
    <r>
      <rPr>
        <u/>
        <sz val="9"/>
        <color rgb="FF1155CC"/>
        <rFont val="Calibri"/>
      </rPr>
      <t>M.Si</t>
    </r>
  </si>
  <si>
    <t xml:space="preserve">Rahayu Kusumastuti; Gadang Priyotomo; Arini Nikitasari; Siska Prifiharni; Siti Musabikha; Yulinda Lestari; Ahmad Royani; Sriyono; Jan Setiawan; Joko Triwardono
</t>
  </si>
  <si>
    <t>S00202508941</t>
  </si>
  <si>
    <t>METODE DAN SISTEM KENDALI GERAK RODA UNTUK KENDARAAN LISTRIK RINGAN MENGGUNAKAN MIKROKONTROLER DAN MOTOR BLDC</t>
  </si>
  <si>
    <t>P00202414645</t>
  </si>
  <si>
    <t>Program Komputer Perangkat Spatial Decision Support System (SDSS) Site Selection Rumah Tahan Gempa, Tahan Api, Cepat Bangun, dan Murah (SDSS Site-RTM)</t>
  </si>
  <si>
    <t>Dewayany Sutrisno        
Robby Arifandri        
Hari Prayogi        
Muhammad Iqbal Habibie        
Ati Rahadiati        
Udrekh        
Trevi Jayanti Puspasari        
Sukahar Eka Adi Saputra    
Amien Widodo</t>
  </si>
  <si>
    <t>EC002025119060</t>
  </si>
  <si>
    <t>09/03/2025</t>
  </si>
  <si>
    <r>
      <rPr>
        <u/>
        <sz val="9"/>
        <color rgb="FF1155CC"/>
        <rFont val="Calibri"/>
      </rPr>
      <t>https://pdki-indonesia.dgip.go.id/detail/e3b0c44298fc1c149afbf4c8996fb92427ae41e4649b934ca495991b7852b855</t>
    </r>
    <r>
      <rPr>
        <u/>
        <sz val="9"/>
        <color rgb="FF000000"/>
        <rFont val="Calibri"/>
      </rPr>
      <t xml:space="preserve"> </t>
    </r>
  </si>
  <si>
    <t>Bat Identification</t>
  </si>
  <si>
    <t>EC00202474472</t>
  </si>
  <si>
    <t>Software Simulasi Pendeteksian Teletsunami Berbasis Algoritma DLPT (Detection with Lengthening Prediction Time)</t>
  </si>
  <si>
    <r>
      <rPr>
        <sz val="9"/>
        <color rgb="FF000000"/>
        <rFont val="Calibri"/>
      </rPr>
      <t xml:space="preserve">Ir. Tri Sampurno, </t>
    </r>
    <r>
      <rPr>
        <sz val="9"/>
        <color rgb="FF000000"/>
        <rFont val="Calibri"/>
      </rPr>
      <t>M.Sc</t>
    </r>
  </si>
  <si>
    <t xml:space="preserve">Fara Ayuningtyas
 Miranti Jatnika Riski
 Siti Shaleha
 Monica Dwi Wahyu
</t>
  </si>
  <si>
    <t>EC002025156084</t>
  </si>
  <si>
    <t xml:space="preserve"> 16 Oktober 2025</t>
  </si>
  <si>
    <t>A VRKom</t>
  </si>
  <si>
    <t>EC002024214042</t>
  </si>
  <si>
    <t>DESAIN ASET VISUAL GAME 2D MANGGARAI NUSA TENGGARA TIMUR</t>
  </si>
  <si>
    <t xml:space="preserve"> 1 MOH. REFFY ADITYA DHARMA (TelU)
 2 ARIEF BUDIMAN (TelU)
 3 RIKY TAUFIK AFIF (TelU)</t>
  </si>
  <si>
    <t>EC002025068412</t>
  </si>
  <si>
    <t>000908673</t>
  </si>
  <si>
    <t>GANA (Game Asset Nusantara)</t>
  </si>
  <si>
    <t>EC00202496180</t>
  </si>
  <si>
    <t>Korpus Suara Bahasa Bugis</t>
  </si>
  <si>
    <t xml:space="preserve">Gusnawaty
Hazriani
Pammuda
Mutahharah Nemin Kaharuddin
Ita Rosvita
Nurfaedah Jufri
Munawirah
</t>
  </si>
  <si>
    <t>Aplikasi Pemodelan Topik untuk Ekstraksi Informasi Menggunakan Parameter Bertopic Optimal</t>
  </si>
  <si>
    <t>EC00202490269</t>
  </si>
  <si>
    <t>Dataset Kamus Elektronik Bahasa Indonesia untuk Pemrosesan Bahasa Alami</t>
  </si>
  <si>
    <r>
      <rPr>
        <sz val="9"/>
        <color theme="1"/>
        <rFont val="Calibri"/>
      </rPr>
      <t xml:space="preserve">Dr. Dipl.(FH) Ing Asril, </t>
    </r>
    <r>
      <rPr>
        <u/>
        <sz val="9"/>
        <color rgb="FF1155CC"/>
        <rFont val="Calibri"/>
      </rPr>
      <t>M.Sc</t>
    </r>
  </si>
  <si>
    <t>Dr. Hammam Riza</t>
  </si>
  <si>
    <t>Sistem pengolahan data sitasi dalam teks</t>
  </si>
  <si>
    <t>EC00202495435</t>
  </si>
  <si>
    <t>POSLingua-IDEN</t>
  </si>
  <si>
    <t>EC002025187798</t>
  </si>
  <si>
    <t>Bi-Project Aplikasi Penerjemahan Bahasa Isyarat Indonesia
(BISINDO) Berbasis Web</t>
  </si>
  <si>
    <t>EC00202442772</t>
  </si>
  <si>
    <t xml:space="preserve">IndoBugis 10K[2] - Dataset Korpus Paralel Bahasa Indonesia - Bugis </t>
  </si>
  <si>
    <t xml:space="preserve">Gusnawaty
Hazriani
Nurfaedah
Mutahharah Nemin Kaharuddin
Itarosvita
Pammuda
</t>
  </si>
  <si>
    <t>DCPC: drug candidates for the prevention of COVID-19</t>
  </si>
  <si>
    <t>EC00202455899</t>
  </si>
  <si>
    <t>Sistem Deteksi Berita Palsu dengan XAI dan Model Transformer Bahasa Indonesia</t>
  </si>
  <si>
    <t>Nakhwa Azizah 
Syifa Putri Fadhilla
Timotius Devin
Jansen</t>
  </si>
  <si>
    <t>EC002025209700</t>
  </si>
  <si>
    <t>Watershed Health Assessment System (WHAS)</t>
  </si>
  <si>
    <t>EC002024249614</t>
  </si>
  <si>
    <t>BugisLingua: Sistem Penerjemahan Multi-Bahasa ke Bahasa Bugis</t>
  </si>
  <si>
    <t xml:space="preserve">Gusnawaty
Hazriani
Nurfaedah
Pammuda
</t>
  </si>
  <si>
    <t>AViRSinami (Applikasi Virtual Reality SImulasi Tsunami)</t>
  </si>
  <si>
    <t>EC002024196831</t>
  </si>
  <si>
    <t>Sinkron-AIR: Chatbot Berbasis Large Language Model (LLM) untuk Sinkronisasi Dokumen Hukum Keamanan Laut</t>
  </si>
  <si>
    <t>Emilia Yustiningrum, Sri Gilang Muhammad Sultan Rahma Putra, Amelya Gustina, Sutan Sorik, Rifki Sadikin, Amarulla Octavian</t>
  </si>
  <si>
    <t>EC002025206593</t>
  </si>
  <si>
    <t>08-12-2025</t>
  </si>
  <si>
    <t>IndoBugis 10K - Dataset Korpus Paralel Bahasa Indonesia - Bugis</t>
  </si>
  <si>
    <t>EC002024244160,</t>
  </si>
  <si>
    <t>Program Antarmuka untuk Klasifikasi Tingkatan Agtron Biji Kopi Panggang</t>
  </si>
  <si>
    <t>Taufik Ibnu Salim; Jony Winaryo Wibowo; Aris Munandar</t>
  </si>
  <si>
    <t>EC002025187808</t>
  </si>
  <si>
    <t>Dataset VR Lab Komputer</t>
  </si>
  <si>
    <t>EC002024214033</t>
  </si>
  <si>
    <t>Dispenser Sistem Pengisian Kendaraan Listrik Roda 4 Arus Bolak Balik</t>
  </si>
  <si>
    <t>Dr. Khotimatul Fauziah ST, MT; Dr. Eka Rakhman Priandana, ST, MT; Adisa Larasati, ST; Yuli Astriani, ST, M.Phil; Dionysius Aldion Renata, S.Kom, M.Sc; Prasetyo Aji, S.Si, M.Inf; Munadiyan Nurhuda, ST; Hafsah Halidah, ST, M.Sc; Agus Suhendra, A.Md; Dony Damara, ST; Rahardito Dio Prastowo, ST; Dhea Amelia Rianjani, A.Md.; Zaenudin, SE; Zulramadhanie, ST; Fariz Maulana Rizanulhaq, ST; Ir. Ario Witjakso, MT; Ir. Riza, M.Eng; Ir. Ganesha Tri Chandrasa, M.Phil, M.Sc; Ir. Sudirman, MT; Suhraeni Syafei, ST; Dr. Ir. Barman Tambunan, IPU, APU</t>
  </si>
  <si>
    <t>PosTagBugis3K - Dataset Part-of-Speech Tag Korpus Bahasa Bugis</t>
  </si>
  <si>
    <t>EC002024249616</t>
  </si>
  <si>
    <t>SDGs Mapping Tools</t>
  </si>
  <si>
    <t>Bimo Kusumo Putro Wicaksono, Evan Adkara Christian Putra, Yusry Anandita Yulianti</t>
  </si>
  <si>
    <t>EC002025206582</t>
  </si>
  <si>
    <t>Chatbot Lisa (Hemodialisa) versi 1.0</t>
  </si>
  <si>
    <t>EC00202490266</t>
  </si>
  <si>
    <t>Pemodelan 3D KST Samaun Samadikun</t>
  </si>
  <si>
    <t>Ayung Candra P., Raden Muhammad, Hariz Riski (UPI)</t>
  </si>
  <si>
    <t>EC002025187861</t>
  </si>
  <si>
    <t>Dataset Berita Palsu Bahasa Indonesia Dengan Penelusuran Fakta Berbasis LLM</t>
  </si>
  <si>
    <t>EC002024214047</t>
  </si>
  <si>
    <t>Kalponik (Kalkulator Nutrisi Hidroponik) Digital kalkulator untuk penghitungan pupuk hidroponik AB Mix berdasarkan nilai N-total yang berbasis aplikasi Android</t>
  </si>
  <si>
    <t>Mathias Prathama, Arief Nurrahman, Aristyo Hadikusuma, Tonny K. Moekasan, Wiwin Setiawati, Nikardi Gunadi, Neni Gunaeni, Eli Korlina Edisaputra, Yadi Suryadi, Bagus Kukuh Udiarto, Irna Surya Bidara</t>
  </si>
  <si>
    <t>EC002025187800</t>
  </si>
  <si>
    <t>Sistem Pengenalan Wicara Otomatis Pendiktean Medis Bahasa Indonesia di Lingkungan Komputasi Awan</t>
  </si>
  <si>
    <t>P 00202315112</t>
  </si>
  <si>
    <t>DESAIN ASET VISUAL GAME 3D RUMAH ADAT NUSA TENGGARA TIMUR</t>
  </si>
  <si>
    <t xml:space="preserve">ARIEF AFLAH, ARIEF BUDIMAN, RIKY TAUFIK AFIF
</t>
  </si>
  <si>
    <t>EC002025068377</t>
  </si>
  <si>
    <t>IndoCia-Cia 60K Dataset Korpus Paralel Bahasa Indonesia ke Bahasa Cia-Cia</t>
  </si>
  <si>
    <t>EC002024244147,</t>
  </si>
  <si>
    <t>WebLabFon-ID versi 1.0</t>
  </si>
  <si>
    <r>
      <rPr>
        <sz val="9"/>
        <color theme="1"/>
        <rFont val="Calibri"/>
      </rPr>
      <t xml:space="preserve">Dr. Dipl.(FH) Ing Asril, </t>
    </r>
    <r>
      <rPr>
        <u/>
        <sz val="9"/>
        <color rgb="FF1155CC"/>
        <rFont val="Calibri"/>
      </rPr>
      <t>M.Sc</t>
    </r>
  </si>
  <si>
    <t>EC002025187790</t>
  </si>
  <si>
    <t>001028050</t>
  </si>
  <si>
    <t>IndoMakassar 9K - Dataset Kalimat Paralel Bahasa Indonesia dan Bahasa Makassar</t>
  </si>
  <si>
    <t>EC002024244148</t>
  </si>
  <si>
    <t>Backend-LabFon-ID versi 1.0</t>
  </si>
  <si>
    <r>
      <rPr>
        <u/>
        <sz val="9"/>
        <color theme="1"/>
        <rFont val="Calibri"/>
      </rPr>
      <t xml:space="preserve">Dr. Dipl.(FH) Ing Asril, </t>
    </r>
    <r>
      <rPr>
        <u/>
        <sz val="9"/>
        <color rgb="FF1155CC"/>
        <rFont val="Calibri"/>
      </rPr>
      <t>M.Sc</t>
    </r>
  </si>
  <si>
    <t>EC002025187830</t>
  </si>
  <si>
    <t>APLIKASI SISTEM PENDUKUNG KEPUTUSAN (DSS) SEMAR REBORN: PERIKANAN</t>
  </si>
  <si>
    <t>EC00202480381</t>
  </si>
  <si>
    <t>InaCOVED (Indonesian Corpus for COVID-19 Event Detection) on Online News 2.0</t>
  </si>
  <si>
    <t>Nur Annisa Putri Rezkia, Nazla Dzaalika Ainaya, Erin Elfitriani, Anita Caroline Gunawan, Dian Kurniasari, Aang Nuryaman, Netti Herawati</t>
  </si>
  <si>
    <t>EC002025209705</t>
  </si>
  <si>
    <t>BASIS DATA OSEANOGRAFI METEOROLOGI PERAIRAN  PULAU MANTANG UNTUK DSS SEMAR REBORN</t>
  </si>
  <si>
    <t>EC00202482436</t>
  </si>
  <si>
    <t>iHoya Versi Mobile : Aplikasi Identifikasi Spesies Tanaman Hoya Indonesia</t>
  </si>
  <si>
    <t xml:space="preserve">Tedy Mutakin, S.T.
</t>
  </si>
  <si>
    <t>EC002025187802</t>
  </si>
  <si>
    <t>Indonesian News Aggregator</t>
  </si>
  <si>
    <t>EC002024223227</t>
  </si>
  <si>
    <t>Aplikasi Analisis Pengaruh Iklim terhadap Sebaran Tuberkulosis</t>
  </si>
  <si>
    <t>Rifani Bhakti Natari, Muhammad Hafizh Izzaturrahim</t>
  </si>
  <si>
    <t>EC002025187795</t>
  </si>
  <si>
    <t>10 Oktober 2025</t>
  </si>
  <si>
    <t>AUDITIN: Aplikasi Penilaian Keamanan Informasi Berdasarkan ISO 27001</t>
  </si>
  <si>
    <t>Samsudiat
Cahyono Nugroho
Raden Muhammad Taufik Yuniantoro
Andri Saputra
Yudi Adityawarman
Budhi Riyanto
Lakmi Makarti
Al Hafiz Akbar Maulana Siagian
Shidiq Al Hakim</t>
  </si>
  <si>
    <t>EC002025187825</t>
  </si>
  <si>
    <t>Dashboard OSL (Observatorium Sesar Lembang)</t>
  </si>
  <si>
    <t>EC002024196836</t>
  </si>
  <si>
    <t>PlanktoScan</t>
  </si>
  <si>
    <t>EC002025209701</t>
  </si>
  <si>
    <t>001049961</t>
  </si>
  <si>
    <t>https://drive.google.com/file/d/1RYfxpVBJw2_BOuDxt3mR5aoSxzqMLeMn/view?usp=sharing</t>
  </si>
  <si>
    <t>Fotogrametri Udara Daerah Gudangkahuripan - Lembang, Kabupaten Bandung Barat</t>
  </si>
  <si>
    <t>EC002024214034</t>
  </si>
  <si>
    <t>Avatar Pedagogis berbasis budaya</t>
  </si>
  <si>
    <t>Ratu Berliana Nursabrina Shiddiq, Tiara Radinska Deanda</t>
  </si>
  <si>
    <t>EC002025206594</t>
  </si>
  <si>
    <t>https://drive.google.com/drive/folders/1PJhRr8JWP1ImktOjanI8MVrFzyEoPnTb</t>
  </si>
  <si>
    <t>Aplikasi COI Sebagai Alat Deteksi Beban Ekonomi Akibat Leptospirosis</t>
  </si>
  <si>
    <t>EC002024196777</t>
  </si>
  <si>
    <t>Sistem Informasi Antisipasi Penyebaran Penyakit (SIAPP)</t>
  </si>
  <si>
    <t>EC002025212503</t>
  </si>
  <si>
    <t>Sistem Penilaian Kesiapan Research Data Management</t>
  </si>
  <si>
    <t>EC002024247596</t>
  </si>
  <si>
    <t>RekomendasiMenu: Aplikasi Rekomendasi Menu Makanan Sesuai Kebutuhan Nutrisi Masyarakat Indonesia</t>
  </si>
  <si>
    <t>Al Hafiz Akbar Maulana Siagian, Ph.D.
Ammar Widhianta, S.Kom.
Dr. Diana Tri Susetianingtias, S.Kom., MMSI
Dr. Rodiah, ST., MMSI.
Dr. Shidiq Al Hakim, M.Eng.
Dr. Trini Saptariani, S.Kom., MMSI.
Niken Fitria Apriani, S.Kom., M.Kom.</t>
  </si>
  <si>
    <t>EC002025209715</t>
  </si>
  <si>
    <t>Jakarta Slum Area Segmentation Dataset</t>
  </si>
  <si>
    <t>EC002024245563</t>
  </si>
  <si>
    <t>Hydrological Modeling - Based Decision Support System (HMB-DSS) versi 1.0</t>
  </si>
  <si>
    <r>
      <rPr>
        <sz val="9"/>
        <color theme="1"/>
        <rFont val="Calibri"/>
      </rPr>
      <t xml:space="preserve">Dr. Apip, M.Eng
Dewi Verawati, S.T.
Atiqotun Fitriyah, S.TP., M.Agr, PhD
Siti Aisyah, S.Si, M.Si
Widya Ningrum, M.Si
Hendro Wibowo, M.Sc
Dr. Luki Subehi, </t>
    </r>
    <r>
      <rPr>
        <u/>
        <sz val="9"/>
        <color rgb="FF1155CC"/>
        <rFont val="Calibri"/>
      </rPr>
      <t>M.Sc</t>
    </r>
  </si>
  <si>
    <t>EC002025206578</t>
  </si>
  <si>
    <t>08/12/2025</t>
  </si>
  <si>
    <t>AR-Deni: aplikasi interaktif berbasis mobile dengan teknologi augmented reality (AR) dan retrieval-augmented generation (RAG) untuk pembelajaran topik pembangkit listrik tenaga nuklir di Indonesia</t>
  </si>
  <si>
    <t>EC002024244155</t>
  </si>
  <si>
    <t>Aplikasi Penilaian Keamanan Aplikasi Berbasis Web</t>
  </si>
  <si>
    <t>EC002024214035</t>
  </si>
  <si>
    <t>Aplikasi Analisis Profil Pola Pengambilan Mata Kuliah Mahasiswa Berdasarkan Kesesuaiannya dengan Pedoman Kurikulum</t>
  </si>
  <si>
    <t>EC002024244161</t>
  </si>
  <si>
    <t>Aplikasi Penghapusan Awan dari Citra Satelit Sentinel-2 pada Band RGB dengan Metode Multi-Temporal Cloud Removal (MTCR)</t>
  </si>
  <si>
    <t>EC002024244180</t>
  </si>
  <si>
    <t>IHoya, Aplikasi Identifikasi Spesies Tanaman Hoya Indonesia</t>
  </si>
  <si>
    <t>EC002024233564</t>
  </si>
  <si>
    <t>Plugins TRIGRSMap</t>
  </si>
  <si>
    <t>EC002024245566</t>
  </si>
  <si>
    <t>Dataset Segmentasi Fitoplankton Perairan Belitung</t>
  </si>
  <si>
    <t>EC002024244169</t>
  </si>
  <si>
    <t>Dataset Data Training dan Testing untuk Klasifikasi Tutupan Lahan di Kabupaten Indramayu Berbasis Citra Satelit Sentinel-2A</t>
  </si>
  <si>
    <t>EC002024247600</t>
  </si>
  <si>
    <t>Dataset Lahan Tanaman Ilegal</t>
  </si>
  <si>
    <t>EC002024247590</t>
  </si>
  <si>
    <t>Aplikasi Audit Tools LATIK</t>
  </si>
  <si>
    <t>EC002024249617</t>
  </si>
  <si>
    <t>Aplikasi Pembelajaran Mesin Untuk Evaluasi Model Fase Padi (MODEPADI)</t>
  </si>
  <si>
    <t>EC002024245569</t>
  </si>
  <si>
    <t>GSS – (Gripper Sensor Simulator) Aplikasi untuk mengontrol gripper lengan robot dan visualisasi tactile sensor</t>
  </si>
  <si>
    <t>EC00202429279</t>
  </si>
  <si>
    <t>ARDV – MIT BIH Arrythmia DataBase Visualization</t>
  </si>
  <si>
    <t>EC00202429277</t>
  </si>
  <si>
    <t>ALAT DAN METODE UNTUK MEMBANGKITKAN GELEMBUNG NANO</t>
  </si>
  <si>
    <t>P00202400964</t>
  </si>
  <si>
    <t>Sistem Bahan Bakar Hidrogen untuk Kendaraan Bermotor</t>
  </si>
  <si>
    <t>P00201708593</t>
  </si>
  <si>
    <t>ALAT PENGIKAT EKSOSKELETON KAKI PADA TUBUH PENGGUNA</t>
  </si>
  <si>
    <t>S00202203558</t>
  </si>
  <si>
    <t>Casing Pistol</t>
  </si>
  <si>
    <t>A00202301642</t>
  </si>
  <si>
    <t>PEDAL REM PADA KENDARAAN LISTRIK RODA EMPAT</t>
  </si>
  <si>
    <t>P00202402948</t>
  </si>
  <si>
    <t>PLATFORM ROBOT BERODA YANG MAMPU BERADAPTASI DENGAN PERMUKAAN YANG
TIDAK RATA DAN BIDANG MIRING</t>
  </si>
  <si>
    <t>P00202404365</t>
  </si>
  <si>
    <t>Alat dan proses produksi larutan teraktivasi plasma menggunakan elektroda kaustik serta produk yang dihasilkannya</t>
  </si>
  <si>
    <t>P00202406515</t>
  </si>
  <si>
    <t>Pemanfaatan Air Gelembung Berukuran Nano Meter Dengan  Gas Nitrogen Dalam Meningkatkan Mutu Brokoli</t>
  </si>
  <si>
    <t>P00202405198</t>
  </si>
  <si>
    <t>Sistem dan Metode Pengendali Temperatur Kolam pada Pemijahan Ikan Air Tawar</t>
  </si>
  <si>
    <t>P00202407750</t>
  </si>
  <si>
    <t>ALAT KONTROL DAN METODE PENGGERAK KECEPATAN KENDARAAN HIBRID</t>
  </si>
  <si>
    <t>P00202408112</t>
  </si>
  <si>
    <t>PRODUKSI STEVIOSIDA DENGAN EKSTRAKSI MENGGUNAKAN KAVITASI MICROBUBBLE</t>
  </si>
  <si>
    <t>P00202408432</t>
  </si>
  <si>
    <t>Casing alat Pembaca Meteran Air menggunakan Kamera</t>
  </si>
  <si>
    <t>A00202304323</t>
  </si>
  <si>
    <t>Pengendali Saklar Lampu Pasang-Pakai</t>
  </si>
  <si>
    <t>A00202302003</t>
  </si>
  <si>
    <t>TROLI DISINFEKSI DAN STERILISASI UNTUK PESAWAT UDARA DAN BANDARA</t>
  </si>
  <si>
    <t>P00202010052</t>
  </si>
  <si>
    <t>Akuasih : Alat Pemantauan Kualitas Air Bersih</t>
  </si>
  <si>
    <t>EC00202467249</t>
  </si>
  <si>
    <t>TURBIN PENANGKAP ANGIN BUANG KONDENSOR AC</t>
  </si>
  <si>
    <t>S00202404644</t>
  </si>
  <si>
    <t>METODE DAN SISTEM PENCAMPUR LARUTAN NUTRISI TANAH SECARA OTOMATIS UNTUK TANAMAN</t>
  </si>
  <si>
    <t>P00202410225</t>
  </si>
  <si>
    <t>HMI-GCS FertiSense</t>
  </si>
  <si>
    <t>EC002024196815</t>
  </si>
  <si>
    <t>Casing Baterai Untuk Scooter</t>
  </si>
  <si>
    <t>2024-1726706837-uczw</t>
  </si>
  <si>
    <t>Suspensi</t>
  </si>
  <si>
    <t>A00202204704</t>
  </si>
  <si>
    <t>SISTEM KOMUNIKASI DAN METODE KONVERSI KENDARAAN KONVENSIONAL MENJADI KENDARAAN OTONOM</t>
  </si>
  <si>
    <t>P00202411145</t>
  </si>
  <si>
    <t>METODE DETEKSI ESTRUS PADA DOMBA BERBASIS DETAK JANTUNG DAN SUHU</t>
  </si>
  <si>
    <t>P00202411998</t>
  </si>
  <si>
    <t>Roda kemudi untuk kendaraan listrik mikro atau micro electric vehicle (MEVI)</t>
  </si>
  <si>
    <t>A00202406617</t>
  </si>
  <si>
    <t>TraLice: Aplikasi Manajemen Lisensi Data Lintasan Berkendara Berbasis Blockchain</t>
  </si>
  <si>
    <t>EC002024223232</t>
  </si>
  <si>
    <t>ChainTracker: Aplikasi Perekam Dan Penampil Lokasi Kendaraan Berbasis Blockchain</t>
  </si>
  <si>
    <t>EC002024233574</t>
  </si>
  <si>
    <t>Robot Orthosis Kerangka Luar Untuk Rehabilitasi Pergelangan Tangan</t>
  </si>
  <si>
    <t>P00202411953</t>
  </si>
  <si>
    <t>Alat Pembangkit Listrik Tenaga Gelombang Laut Frekuensi Rendah Menggunakan Piezoelectric Nanogenerator</t>
  </si>
  <si>
    <t>P00202411983</t>
  </si>
  <si>
    <t>SISTEM SUSPENSI KENDARAAN RODA TIGA TILTING DENGAN MENGGUNAKAN BALL JOINT DAN TIE ROD</t>
  </si>
  <si>
    <t>Alat Bantu Lengan Exoskeleton untuk pemanen kelapa sawit</t>
  </si>
  <si>
    <t>S00202314825</t>
  </si>
  <si>
    <t>Terminal Pelepasan Daya Baterai Lithium-Ion</t>
  </si>
  <si>
    <t>2024-1721995715-nyl2</t>
  </si>
  <si>
    <t>Sistem dan Metode Untuk Mengendalikan Kendaraan Listrik Menggunakan Mode Manual dan Mode Otonom</t>
  </si>
  <si>
    <t>P00202414638</t>
  </si>
  <si>
    <t>Alat Bantu Eksoskeleton untuk Pekerjaan Manual</t>
  </si>
  <si>
    <t>P00202414808</t>
  </si>
  <si>
    <t>SISTEM PENGGERAK SEPEDA MOTOR LISTRIK KONVERSI KOMPAK</t>
  </si>
  <si>
    <t>S00202411987</t>
  </si>
  <si>
    <t>Arsitektur Sistem Mind-Controlled Drone Dengan Pemrosesan Sinyal
EEG Berbasis Lab Streaming Layer</t>
  </si>
  <si>
    <t>EC002024246093</t>
  </si>
  <si>
    <t>Sistem Robot Lengan Dan Metode Sortasi Berdasarkan Kondisi Objek Didalamnya Melalui Eksplorasi Taktil Dinamis</t>
  </si>
  <si>
    <t>P00202414978</t>
  </si>
  <si>
    <t>Muatan Sampling Udara Vertikal Dengan Spme Terkendali Dipasang Pada UAV</t>
  </si>
  <si>
    <t>P00202415000</t>
  </si>
  <si>
    <t>Perangkat Pengukur Kecepatan Berjalan Manusia</t>
  </si>
  <si>
    <t xml:space="preserve">P00202414499 
</t>
  </si>
  <si>
    <t>SISTEM DAN METODE UNTUK UJI KECEPATAN INFILTRASI AIR TERHADAP TANAH TIGA ARAH BERBASIS INTERNET OF THINGS</t>
  </si>
  <si>
    <t>P00202412803</t>
  </si>
  <si>
    <t>Metode In Vitro Pembesaran Plantet Dendrobium Menggunakan Media Nutrisi Cair Kaya Ultrafine Bubble Oksigen dan Vermiculite Perlite</t>
  </si>
  <si>
    <t>P00202414981</t>
  </si>
  <si>
    <t xml:space="preserve">Perangkat Pergelangan Lengan Robot yang Memiliki Tabung Lentur untuk Pengukur Gaya Pada Pengisian Daya Otomatis Kendaraan Listrik
</t>
  </si>
  <si>
    <t>P00202414519</t>
  </si>
  <si>
    <t>Alat Terapi Oksigen Beraliran Tinggi</t>
  </si>
  <si>
    <t>Metoda untuk Mendeteksi Gerakan Lengan dengan Memanfaatkan Sinyal Elektrik Otot</t>
  </si>
  <si>
    <t>S00202414798</t>
  </si>
  <si>
    <t>PELINDUNG WAJAH DENGAN PENAHAN MULTI-POSISI</t>
  </si>
  <si>
    <t>P00202101348</t>
  </si>
  <si>
    <t>SISTEM BERBASIS PERANTI TEPI DAN METODE BERBASIS CONVOLUTIONAL NEURAL NETWORK UNTUK KLASIFIKASI ARITMIA DAN PREDIKSI PENYAKIT JANTUNG</t>
  </si>
  <si>
    <t>P00202414969</t>
  </si>
  <si>
    <t>ALAT BANTU PEMEGANG MIKROFON UNTUK PENGUKURAN TINGKAT TEKANAN BUNYI BERDASARKAN STANDAR ISO 3745</t>
  </si>
  <si>
    <t>P00202415155</t>
  </si>
  <si>
    <t>PERANGKAT PENGUJIAN MOTOR HUB</t>
  </si>
  <si>
    <t>P00202415024</t>
  </si>
  <si>
    <t>Sistem Pemantauan Tanda Vital Pasien secara Jarak Jauh yang Terintegrasi Node-Red</t>
  </si>
  <si>
    <t>S00202413603</t>
  </si>
  <si>
    <t>ALat Pengukur Kinerja Sistem Mikro Gas Turbin (MGT)</t>
  </si>
  <si>
    <t>P00202415021</t>
  </si>
  <si>
    <t>METODE DETEKSI VIRAL PNEUMONIA COVID-19 BERDASARKAN CITRA CT SCAN MENGGUNAKAN MACHINE LEARNING</t>
  </si>
  <si>
    <t>P00202008665</t>
  </si>
  <si>
    <t>Metode Analisa Kelayakan Dataset Lalu Lintas Jaringan IoT (IoT Network Traffic Dataset) untuk Pengembangan Model IDS (Intrusion Detection System) Berbasis Machine Learning/Deep Learning</t>
  </si>
  <si>
    <t>P00202402946</t>
  </si>
  <si>
    <t>RAMSIS: Reliability, Availability, Maintainability, and Safety Information System</t>
  </si>
  <si>
    <t>EC00202433304</t>
  </si>
  <si>
    <t>ChainTracker: Aplikasi perekam dan penampil lintasan kendaraan berbasis blockchain</t>
  </si>
  <si>
    <t>Bi-Project: Aplikasi Penerjemahan Bahasa Isyarat Indonesia (BISINDO) Berbasis Web</t>
  </si>
  <si>
    <t>Alat Bantu Penanganan Pesawat Udara Nirawak Kelas Medium Altitude Long Endurance</t>
  </si>
  <si>
    <t>P00202315015</t>
  </si>
  <si>
    <t>Pedal Rem Pada Kendaraan Listrik Roda Empat</t>
  </si>
  <si>
    <t>Aplikasi TekenID</t>
  </si>
  <si>
    <t>EC00202455898</t>
  </si>
  <si>
    <t>MaintainHub Aplikasi Manajemen Pemeliharaan Berbasis Reliability Centered Maintenance (RCM)</t>
  </si>
  <si>
    <t>EC00202455891</t>
  </si>
  <si>
    <t>DCPC: Drug Candidates For The Prevention Of COVID-19</t>
  </si>
  <si>
    <t>Casing Alat Pembaca Meteran Air menggunakan Kamera</t>
  </si>
  <si>
    <t>IDD000069933</t>
  </si>
  <si>
    <t>Sistem Informasi Realisasi Anggaran Tepat Waktu Sesuai Jadwal Kegiatan "SIRATU SEJAGAT"</t>
  </si>
  <si>
    <t>EC00202474478</t>
  </si>
  <si>
    <t>Aplikasi Pemodelan Zona Rawan Longsor Menggunakan Machine Learning</t>
  </si>
  <si>
    <t>EC00202474473</t>
  </si>
  <si>
    <t>Program Preprocessing Data COVID-19</t>
  </si>
  <si>
    <t>EC00202474474</t>
  </si>
  <si>
    <t>Perangkat Lunak: Enkripsi dan dekripsi berkas (SecureFile)</t>
  </si>
  <si>
    <t>EC002024244164</t>
  </si>
  <si>
    <t>Perangkat Lunak Antarmuka pada Sistem Pembangkit Listrik Tenaga Panas Bumi 3MW</t>
  </si>
  <si>
    <t>EC002024196766</t>
  </si>
  <si>
    <t>METODE PELACAKAN GARIS PANDUAN UNTUK ARAH PERGERAKAN KENDARAAN OTONOM</t>
  </si>
  <si>
    <t>S00202314741</t>
  </si>
  <si>
    <t>ImageSecuredID (Sistem Keamanan Inovatif pada Data Gambar)</t>
  </si>
  <si>
    <t>EC002024214039</t>
  </si>
  <si>
    <t>DUDUKAN ALAT PENGAMBIL GAMBAR UNTUK PESAWAT UDARA NIR AWAK</t>
  </si>
  <si>
    <t>S00202408712</t>
  </si>
  <si>
    <t>TraLice: Aplikasi manajemen lisensi data lintasan berkendara berbasis blockchain</t>
  </si>
  <si>
    <t>Metode Seleksi Basis Wavelet Optimal untuk Reduksi Derau pada Gambar Tomografi Komputer Dosis Rendah</t>
  </si>
  <si>
    <t>P00202413731</t>
  </si>
  <si>
    <t>Dataset Elemen Matriks Bertetangga untuk Gambar Digital n × n Pixel</t>
  </si>
  <si>
    <t>000820021</t>
  </si>
  <si>
    <t>Sistem Informasi Pendeteksi Kualitas Air (SI PEKA)</t>
  </si>
  <si>
    <t>EC002024233560</t>
  </si>
  <si>
    <t>DrowsyAlertData: Indonesian Truck Driver’s Face And Heart Rate Variability Dataset</t>
  </si>
  <si>
    <t>EC002024196820</t>
  </si>
  <si>
    <t>Program Komputer Visualisasi Data Atmosfer Berbasis Data Satelit Dengan Metode Kriging</t>
  </si>
  <si>
    <t>EC00202495436</t>
  </si>
  <si>
    <t>SISTEM DAN METODE PEMANTAUAN TERPADU STASIUN PENGISIAN KENDARAAN LISTRIK BERBASIS MIDDLEWARE</t>
  </si>
  <si>
    <t>P00202411100</t>
  </si>
  <si>
    <t>Aplikasi Penilaian Keamanan Aplikasi berbasis web</t>
  </si>
  <si>
    <t>Aplikasi Penilaian Tingkat Kesiapan Industri 4.0 Berbasis Web</t>
  </si>
  <si>
    <t>EC002024196859</t>
  </si>
  <si>
    <t>METODE UNTUK MENDETEKSI DAN MENJEJAKI OBJEK STATIS DAN BERGERAK</t>
  </si>
  <si>
    <t>S00202411959</t>
  </si>
  <si>
    <t>TRANSPAY</t>
  </si>
  <si>
    <t>EC002024247595</t>
  </si>
  <si>
    <t>Aplikasi Deteksi dan Penjejakan Objek Statis dan Bergerak</t>
  </si>
  <si>
    <t>EC002024223230</t>
  </si>
  <si>
    <t>Spot Ratio on Leaf (SROL)</t>
  </si>
  <si>
    <t>EC002024233586</t>
  </si>
  <si>
    <t>METODE KLASIFIKASI MIKRO-PLASTIK PADA SPEKTRUM RAMAN DENGAN MENGGUNAKAN DEEP CONVOLUTIONAL NEURAL NETWORK (D-CNN)</t>
  </si>
  <si>
    <t>P00202413585</t>
  </si>
  <si>
    <t>Roda kemudi untuk kendaraan listrik mikro atau micro electric vehicle</t>
  </si>
  <si>
    <t>Housing Alat Ukur Cepat Tanah Tipe Transmitan</t>
  </si>
  <si>
    <t>A00202406243</t>
  </si>
  <si>
    <t>Slide-Map – Aplikasi Pemodelan Kerentanan Wilayah Terhadap Bahaya Longsor Berbasis Laman Interaktif Spasial</t>
  </si>
  <si>
    <t>EC002024196930</t>
  </si>
  <si>
    <t>Dataset Life Cycle Inventory (LCI) Produksi Tenaga Listrik Teknologi Co-Firing Biomassa Woodchip 12%</t>
  </si>
  <si>
    <t>EC002024196786</t>
  </si>
  <si>
    <t>PreLong-TabNet: Aplikasi Prediksi Longsor Menggunakan Machine Learning Dengan TabNet</t>
  </si>
  <si>
    <t>EC002024223234</t>
  </si>
  <si>
    <t>SIDEJAPU: Sistem Deteksi Wajah Palsu Berbasis InceptionV3 Menggunakan Fitur RGB Dan Depth Layer Berbasis Web</t>
  </si>
  <si>
    <t>EC002024223235</t>
  </si>
  <si>
    <t>SiDeProJa: Sistem Deteksi Problem Wajah Berbasis Machine Learning</t>
  </si>
  <si>
    <t>EC002024223233</t>
  </si>
  <si>
    <t>SoilPren-N Aplikasi Deteksi Nitrogen Untuk Unsur Hara Tanah</t>
  </si>
  <si>
    <t>EC00202496177</t>
  </si>
  <si>
    <t>Measuring Index For Enhancing And Stimulating Happiness
(MIEShappy) V.2</t>
  </si>
  <si>
    <t>EC002024233591</t>
  </si>
  <si>
    <t>Metode Deteksi Objek Statis Dengan Mengkombinasikan Pemrosesan Citra Berwarna Dan Citra Kedalaman</t>
  </si>
  <si>
    <t>S00202414676</t>
  </si>
  <si>
    <t>Sistem Informasi Monitoring Spektrum Frekuensi Radio Litbang Penerbangan Dan Antariksa</t>
  </si>
  <si>
    <t>EC00202429515</t>
  </si>
  <si>
    <t>Sistem Identifikasi Image Splicing (SiMaCi)</t>
  </si>
  <si>
    <t>EC002024233566</t>
  </si>
  <si>
    <t>Dataset Interpretasi Citra Satelit Sentinel-2 Dengan 15 Indeks Berdasarkan Titik Pengamatan Lapang Secara Spasial</t>
  </si>
  <si>
    <t>EC002024244150</t>
  </si>
  <si>
    <t>Dataset Pendeteksian Tumpahan Minyak Dengan Citra Satelit Sentinel-1 Menggunakan Google Earth Engine (GEE)</t>
  </si>
  <si>
    <t>EC002024233579</t>
  </si>
  <si>
    <t>Aplikasi Monitoring Indeks Biodiversitas Laut Dangkal (Monitoring-IBLD), Kab. Kepulauan Seribu, Prov. DKI Jakarta</t>
  </si>
  <si>
    <t>EC002024223224</t>
  </si>
  <si>
    <t>Data batimetri digital resolusi tinggi di perairan Marina Jambu, Banten</t>
  </si>
  <si>
    <t>EC002024244159</t>
  </si>
  <si>
    <t>Batimetri Resolusi Tinggi Pantai Tiska, Bandar Lampung</t>
  </si>
  <si>
    <t>EC002024196791</t>
  </si>
  <si>
    <t>RAMSIS: Reliability, Availability, Maintainability, And Safety Information System</t>
  </si>
  <si>
    <t>Platform Komputasi Berkinerja Tinggi Untuk Pipeline Pemodelan Molekuler</t>
  </si>
  <si>
    <t>EC002024244181</t>
  </si>
  <si>
    <t>AESSIMS TLE Generator</t>
  </si>
  <si>
    <t>EC002024223239</t>
  </si>
  <si>
    <t>Software Chlorophyll-a Datacube Generated Based on Copernicus-Globcolour Multisensor Data</t>
  </si>
  <si>
    <t>EC00202455893</t>
  </si>
  <si>
    <t>Pengembangan Model Multistep Transformasi Sel Normal Menjadi Sel Kanker</t>
  </si>
  <si>
    <t>EC00202467260</t>
  </si>
  <si>
    <t>Software Sea Surface Temperature (SST) Datacube Derived from OSTIA Multisensor Data</t>
  </si>
  <si>
    <t>EC00202474475</t>
  </si>
  <si>
    <t>SERVOCONTROLLER UNTUK PENGUJIAN KEKUATAN STRUKTUR</t>
  </si>
  <si>
    <t>P00202411948</t>
  </si>
  <si>
    <t>SISTEM PEMANTAUAN PERNAPASAN SECARA NON-KONTAK MENGGUNAKAN RADAR BERBASIS INTERNET OF THINGS</t>
  </si>
  <si>
    <t>P00202314847</t>
  </si>
  <si>
    <t>Sistem klasifikasi tumor paru-paru menggunakan ensemble deep learning</t>
  </si>
  <si>
    <t>EC002024233561</t>
  </si>
  <si>
    <t>Dataset Distribusi Spasial Pengujian Konsentrasi Klorofil-a Tervalidasi berbasis Otomatisasi Landsat dan Model Aljabar</t>
  </si>
  <si>
    <t>EC002024247599</t>
  </si>
  <si>
    <t xml:space="preserve">Senyawa meta toluil emodin (mte) sebagai kandidat hepatoprotektor
</t>
  </si>
  <si>
    <t>S00202407247</t>
  </si>
  <si>
    <t>SISTEM LOAD CELL PADA PENGUJIAN DROP TEST UNTUK LANDING GEAR PESAWAT UDARA NIR AWAK</t>
  </si>
  <si>
    <t>P00202314634</t>
  </si>
  <si>
    <t>Dataset Fatalitas Kecelakaan Di Jalan Tol Hasil Pengolahan Dengan Menggunakan Machine Learning</t>
  </si>
  <si>
    <t>EC002024223568</t>
  </si>
  <si>
    <t>Sistem Informasi Pemantauan Kualitas Air (SI PEKA)</t>
  </si>
  <si>
    <t>Software Antarmuka Modul Kontrol Elektronik Thruster Bipropellan Versi 2.0</t>
  </si>
  <si>
    <t>EC002024214038</t>
  </si>
  <si>
    <t>SiDeProJa: Sistem Deteksi Problem Wajah Berbasis Machine
Learning</t>
  </si>
  <si>
    <t>PRIMER SPESIFIK DAN METODE APLIKASINYA UNTUK SEKUENSING GENOM MITOKONDRIA LENGKAP PADA SAPI BALI DAN BANTENG (Bos javanicus) MENGGUNAKAN OXFORD NANOPORE LONG-READ SEQUENCING</t>
  </si>
  <si>
    <t>P00202408127</t>
  </si>
  <si>
    <t>Software Observasi Satelit Menggunakan Teleskop Radio</t>
  </si>
  <si>
    <t>Sebaran Kepadatan Stok Ikan Dan Kedalaman Perairan Di Danau
Singkarak, Sumatera Barat</t>
  </si>
  <si>
    <t>EC00202410490,</t>
  </si>
  <si>
    <t>Aplikasi Deteksi Permukiman Kumuh dari Citra SPOT-6/7 berbasis Google Earth Engine</t>
  </si>
  <si>
    <t>EC00202474476</t>
  </si>
  <si>
    <t>Sistem informasi pemantauan air lahan gambut</t>
  </si>
  <si>
    <t>S00202314679</t>
  </si>
  <si>
    <t>Perubahan Tutupan Lahan Di Pesisir Bungus Teluk Kabung, Sumatra Barat Tahun 2003-2013 Menggunakan Sistem Informasi
Geografis</t>
  </si>
  <si>
    <t>EC00202425926</t>
  </si>
  <si>
    <t>Dataset Area Rawan Genangan Akibat Kenaikan Muka Air Laut (Sea Level Rise) Desa Baru, Desa Lalang Dan Desa Bukulimau</t>
  </si>
  <si>
    <t>EC00202433303</t>
  </si>
  <si>
    <t>Software Pembuatan Dataset Awan dan Bayangan Awan untuk Deep Learning</t>
  </si>
  <si>
    <t xml:space="preserve">EC00202455894
</t>
  </si>
  <si>
    <t>Program estimasi Kandungan klorofil total</t>
  </si>
  <si>
    <t>EC00202496175</t>
  </si>
  <si>
    <t>Metode Deteksi Ladang Ganja Berdasarkan Data Satelit Penginderaan Jauh Multitemporal Berbasis Pemelajaran Mesin</t>
  </si>
  <si>
    <t>P00202407246</t>
  </si>
  <si>
    <t>Software Sea Surface Temperature (SST) Datacube Derived From OSTIA Multisensor Data</t>
  </si>
  <si>
    <t>Aplikasi Deteksi Genangan Banjir dari Citra Sentinel-2 berbasis Google Earth Engine</t>
  </si>
  <si>
    <t>EC002024196801</t>
  </si>
  <si>
    <t>VolcaHeatTrack Indonesia</t>
  </si>
  <si>
    <t>EC002024233568</t>
  </si>
  <si>
    <t>Software Identifikasi Lahan Sawah Berbasis Data Citra Synthetic Aperture Radar (SAR) Dengan Metode Recurrent Neural Network
(RNN)</t>
  </si>
  <si>
    <t>EC002024244154</t>
  </si>
  <si>
    <t>Sistem Penghitung Tumbuhan Ganja Menggunakan Arsitektur Unet Dan Metode Yolo</t>
  </si>
  <si>
    <t>EC002024245573</t>
  </si>
  <si>
    <t>VIIRS DNB Automatic Downloader</t>
  </si>
  <si>
    <t>EC002024205584</t>
  </si>
  <si>
    <t>Aplikasi Estimasi Probabilitas Piksel Awan Satelit Optis</t>
  </si>
  <si>
    <t>EC002024244167</t>
  </si>
  <si>
    <t>BRIN - ORCA (Oilspills Recognition and Clustering Automation)</t>
  </si>
  <si>
    <t>2024-1727963561-9bkt</t>
  </si>
  <si>
    <t>Sistem Monitoring Mangrove berbasis Google Earth Engine (Smanggee)</t>
  </si>
  <si>
    <t>EC002024223236</t>
  </si>
  <si>
    <t>Dataset Emisi Gas Metana (CH4) di Lahan Sawah Alternate Wetting and Drying (AWD) dan Continuous Flooding (CF) Kabupaten Subang</t>
  </si>
  <si>
    <t>EC002024244173</t>
  </si>
  <si>
    <t>Aplikasi Pemetaan Tutupan Lahan Cerdas: Memanfaatkan Data Landsat 8, Teknik Pembelajaran Mesin, dan Pendekatan Suara Terbanyak untuk Peningkatan Akurasi Berbasis Skrip Jupyter Python</t>
  </si>
  <si>
    <t>EC002024196810</t>
  </si>
  <si>
    <t>Aplikasi Potensi Kekeringan Berbasis Geo-AI (ApPIK Geo-AI)</t>
  </si>
  <si>
    <t>EC002024223225</t>
  </si>
  <si>
    <t>Aplikasi Monitoring Indeks Biodiversitas Laut Dangkal (Monitoring- IBLD), Kab. Kepulauan Seribu, Prov. DKI Jakarta</t>
  </si>
  <si>
    <t>Program Otomatisasi Komposit Citra Satelit Sentinel-2 untuk Interpretasi Visual</t>
  </si>
  <si>
    <t>EC002024233584</t>
  </si>
  <si>
    <t>Program Otomatisasi Klasifikasi Area Bekas Terbakar dengan Metode Pixel-Based</t>
  </si>
  <si>
    <t>EC002024233565</t>
  </si>
  <si>
    <t>Sistem Monitoring Degradasi Lahan Gambut (MODE-G)</t>
  </si>
  <si>
    <t>EC002024233578</t>
  </si>
  <si>
    <t>Aplikasi Webgis peta tanah prediktif di Kabupaten Bogor berbasis Digital Soil Mapping</t>
  </si>
  <si>
    <t>EC002024223226</t>
  </si>
  <si>
    <t>Aplikasi Untuk Estimasi Emisi Gas Rumah Kaca (GRK) Dari Dekomposisi Gambut Akibat Perubahan Penggunaan Lahan Di Provinsi Jambi (E-GRK Gambut)</t>
  </si>
  <si>
    <t>EC002024233569</t>
  </si>
  <si>
    <t>Pustaka Kelir Tanah: Pustaka PHP untuk Perhitungan Warna Tanah dengan Skala Munsell</t>
  </si>
  <si>
    <t>EC002024233571</t>
  </si>
  <si>
    <t>Sistem Informasi Lahan Dan Hutan (SILAH)</t>
  </si>
  <si>
    <t>EC002024233587</t>
  </si>
  <si>
    <t>Planet NDVI system (PNS)</t>
  </si>
  <si>
    <t>EC002024233583</t>
  </si>
  <si>
    <t>SIAGA (Sistem Informasi Monitoring Tinggi Muka Air Sungai dan Gejala Alam)</t>
  </si>
  <si>
    <t>EC002024223231</t>
  </si>
  <si>
    <t xml:space="preserve">EC002024247600
</t>
  </si>
  <si>
    <t>Data Spektroradiometer Geobiofisik Obyek Lahan Gambut Di
Kawasan Hidrologi Gambut (KHG) Kahayan Sebangau - Kalimantan
Tengah</t>
  </si>
  <si>
    <t>EC002024233582</t>
  </si>
  <si>
    <t>Aplikasi Terpadu Prediksi Bahan Pakan Ternak (PakanTernakTerpaduBrebes) Kab. Brebes, Prov. Jawa Tengah</t>
  </si>
  <si>
    <t>EC002024244149</t>
  </si>
  <si>
    <t>Metode Identifikasi untuk Klasifikasi Bentuklahan Terumbu Paparan Dinding Menggunakan Data Landsat</t>
  </si>
  <si>
    <t>P00202412832</t>
  </si>
  <si>
    <t>METODE ESTIMASI UMUR PADI MENGGUNAKAN PENDEKATAN FENOLOGI PERTUMBUHAN PADI BERDASARKAN HAMBUR BALIK CITRA RADAR SENTINEL-1</t>
  </si>
  <si>
    <t>P00202314357</t>
  </si>
  <si>
    <t>Dataset Interpretasi Citra Satelit Sentinel-2 dengan 15 indeks berdasarkan titik pengamatan lapang secara spasial</t>
  </si>
  <si>
    <t>Sistem Diseminasi Curah Hujan Near-realtime Berbasis Satelit Himawari</t>
  </si>
  <si>
    <t>EC002024244162</t>
  </si>
  <si>
    <t>Program Komputer Visualisasi Hasil Pengukuran Responsivitas Spektral Objek Dengan Menggunakan Spektroradiometer (v.1)</t>
  </si>
  <si>
    <t>EC002024245567</t>
  </si>
  <si>
    <t>Sistem Otomatisasi Publishing Data Ke Sistem Pemantauan Bumi Nasional</t>
  </si>
  <si>
    <t>EC002024245572</t>
  </si>
  <si>
    <t>Kotak Sterilisasi Menggunakan Sinar UV-C Yang Dilengkapi Penggerak Penutup</t>
  </si>
  <si>
    <t>P00202010056</t>
  </si>
  <si>
    <t>Komposit Magnetik Berbasis Logam Tanah Jarang dan Proses Permbuatannya</t>
  </si>
  <si>
    <t>Pasta Kondukktif Berbasis Karbon Nanotube Temperature Rendah</t>
  </si>
  <si>
    <t>P00202106544</t>
  </si>
  <si>
    <t>Antena Pandu-Gelombang Slot dengan Sayap Frekuensi X-Band Untuk Radar Deteksi Halangan Kereta Api</t>
  </si>
  <si>
    <t>P00202314667</t>
  </si>
  <si>
    <t>Metode Pembuatan Senyawa Ferrofluida Dari Bahan Magnetik Nanopartikel Fe3O4 Dengan Teknik Kopresipitasi dan Produk yang Dihasilkannya</t>
  </si>
  <si>
    <t>P00202402863</t>
  </si>
  <si>
    <t>ALAT BANTU PENANGANAN PESAWAT UDARA NIRAWAK KELAS MEDIUM ALTITUDE LONG ENDURANCE</t>
  </si>
  <si>
    <t>SISTEM MULTISENSOR BERBASIS JARINGAN LoRa UNTUK PENGENDALIAN DAN 
MONITORING OTOMATIS PADA SISTEM HIDROPONIK DAN PERIKANAN PINTAR</t>
  </si>
  <si>
    <t xml:space="preserve">P00202403775
</t>
  </si>
  <si>
    <t>Perangkat Lunak Programmable Logic Controller Untuk Mesin Computer Numerical Control (CNC) Milling 8 KW</t>
  </si>
  <si>
    <t>EC00202442771</t>
  </si>
  <si>
    <t>Proses Pembuatan Bahan Termoelektrik Fleksibel Berbasis Polimer Konduktif PEDOT:PSS dengan Komposit N-GQDs pada Substrat Film Polyimide</t>
  </si>
  <si>
    <t>P00202413587</t>
  </si>
  <si>
    <t>Basis Data "Evship Data"</t>
  </si>
  <si>
    <t>EC002023112265</t>
  </si>
  <si>
    <t>ALAT BANTU ROBOTIK UNTUK INSPEKSI NDT PADA PIPA BIOGAS DAN METODE PENGUKURANNYA</t>
  </si>
  <si>
    <t>P00202314677</t>
  </si>
  <si>
    <t>MODUL ALAT PENDETEKSI KERUSAKAN DINI LCL FILTER BERBASIS IOT</t>
  </si>
  <si>
    <t>P00202314784</t>
  </si>
  <si>
    <t>Perangkat Pembuatan dan Akuisisi Data Gelombang Elektromagnetik pada Rentang Frekuensi 10 Hz-4,4 GHz Berbasis IoT</t>
  </si>
  <si>
    <t>P00202405710</t>
  </si>
  <si>
    <t>Sistem Penginderaan Multi Sensor Bawah Air Berbasis Kabel Hibrida Terintegrasi dengan Sistem Komunikasi Dua Stasiun Darat</t>
  </si>
  <si>
    <t>P00202405985</t>
  </si>
  <si>
    <t>Perangkat Pemantauan dan Kendali Otomatis untuk Hifroponik dan Perikanan</t>
  </si>
  <si>
    <t>SENSOR TEKANAN BERBASIS PIEZOELEKTRIK DENGAN BAHAN BIODEGRADABEL KITOSAN DAN GLISIN</t>
  </si>
  <si>
    <t>P00202407243</t>
  </si>
  <si>
    <t>ALAT DAN METODE DETEKSI OTOMATIS TIDAK MERUSAK PADA PIPA REFORMER
MENGGUNAKAN PRINSIP TIME OF FLIGHT DIFFRACTION (TOFD)</t>
  </si>
  <si>
    <t>P00202414675</t>
  </si>
  <si>
    <t>Simulator EV Roaming V1.0</t>
  </si>
  <si>
    <t>EC00202405785</t>
  </si>
  <si>
    <t>SISTEM KELISTRIKAN BERBASIS TRANSMISI ARUS KONSTAN
UNTUK CATU DAYA TEGANGAN TINGGI PADA SISTEM
PEMANTAUAN BAWAH LAUT MELALUI KABEL HIBRIDA</t>
  </si>
  <si>
    <t>P00202414984</t>
  </si>
  <si>
    <t>Sel surya perovskit dengan elektroda karbon laminasi tanpa lapisan penghantar lubang beserta metode pembuatannya</t>
  </si>
  <si>
    <t>P00202406782</t>
  </si>
  <si>
    <t>Charging Starter &amp; Payment v1.0,</t>
  </si>
  <si>
    <t>EC00202490267</t>
  </si>
  <si>
    <t>Sistem dan Metode Irigasi dengan Pengendali Otomatis</t>
  </si>
  <si>
    <t>P002024408114</t>
  </si>
  <si>
    <t>Alat Kontrol dan Metode Pengaturan Kestabilan Otomatis pada Wahana Bawah Air Dengan Menggunakan Sensor Kompas dan Akselerometer</t>
  </si>
  <si>
    <t>P00202407753</t>
  </si>
  <si>
    <t>Dudukan Pemegang Probe Pandu Gelombang Semi Otomatis untuk memindai secara vertikal dan horizontal</t>
  </si>
  <si>
    <t>P00202407744</t>
  </si>
  <si>
    <t>METODE AKUISISI DATA UNTUK PEMANTAUAN KESEHATAN STRUKTUR BANGUNAN KETIKA
TERJADI GEMPA</t>
  </si>
  <si>
    <t>P00202408697</t>
  </si>
  <si>
    <t>TSS Chamber Dashboard Monitoring V1</t>
  </si>
  <si>
    <t>EC00202455895</t>
  </si>
  <si>
    <t>Dataset Pengujian Hidrodinamika Wahana Apung Pesawat Terbang Tipe 09x98</t>
  </si>
  <si>
    <t>EC00202490271</t>
  </si>
  <si>
    <t>PortStationPro V01: Perangkat Lunak PLC &amp;
SCADA Untuk Sistem Kendali Dan Pengawasan
Stasiun Pengisian Bahan Bakar Di Pelabuhan</t>
  </si>
  <si>
    <t>EC00202490262</t>
  </si>
  <si>
    <t xml:space="preserve">SisMonEKG1L
</t>
  </si>
  <si>
    <t>EC00202490270</t>
  </si>
  <si>
    <t>DUDUKAN ALAT PENGAMBIL GAMBAR UNTUK PESAWAT
UDARA NIR AWAK</t>
  </si>
  <si>
    <t>PROSES PEMBUATAN PADUAN TERMOELEKTRIK
MAGNESIUM SILISIDA DALAM TABUNG TERTUTUP</t>
  </si>
  <si>
    <t>P00202408717</t>
  </si>
  <si>
    <t>SISTEM DAN METODE PENGUKURAN KESUBURAN LAPISAN
TANAH DENGAN KAMERA ENDOSKOPI</t>
  </si>
  <si>
    <t>P00202410216</t>
  </si>
  <si>
    <t>FORMULASI NANOKAPSUL SENYAWA FLAVONOID DAN
FENOL SECARA IMMOBILISASI MEMBRAN DAN METODE
PEMBUATANNYA</t>
  </si>
  <si>
    <t>P00202410218</t>
  </si>
  <si>
    <t>KOTAK INSULASI BUNYI DENGAN ALAT PENGONTROL
KEBISINGAN AKTIF</t>
  </si>
  <si>
    <t>P00202410221</t>
  </si>
  <si>
    <t>SISTEM DAN METODE AUTENTIKASI DAGING BERBASIS
SPEKTROMETER PORTABEL TERINTEGRASI DENGAN
GAWAI CERDAS</t>
  </si>
  <si>
    <t>P00202410234</t>
  </si>
  <si>
    <t>PERANTI PENGATUR TEGANGAN ARUS BOLAK-BALIK</t>
  </si>
  <si>
    <t>P00202006589</t>
  </si>
  <si>
    <t>Aplikasi Particulate Matter Predictor (PMP) Berbasis AI</t>
  </si>
  <si>
    <t>EC002024214040</t>
  </si>
  <si>
    <t>Perangkat Lunak Antarmuka pada Sistem Pembangkit Listrik Tenaga Panas Bumi 3 MW</t>
  </si>
  <si>
    <t xml:space="preserve">EC002024196766
</t>
  </si>
  <si>
    <t>ALAT PENDETEKSI KESEGARAN RAJUNGAN BERBASIS
BAU/AROMA DAN WARNA</t>
  </si>
  <si>
    <t>S00202411947</t>
  </si>
  <si>
    <t>ALAT UJI TORSI MOTOR SERVO DENGAN JENIS PEMBEBANAN SISTEM PENGEREMAN</t>
  </si>
  <si>
    <t xml:space="preserve">S00202412002 
</t>
  </si>
  <si>
    <t xml:space="preserve">SISTEM DAN METODE KOMUNIKASI ANTARA PESAWAT TERBANG TANPA AWAK DENGAN
STASIUN PENGENDALI DARAT MENGGUNAKAN SARANA SERAT OPTIK BAWAH LAUT </t>
  </si>
  <si>
    <t>P00202406513</t>
  </si>
  <si>
    <t>Komposisi dan Proses Pembuatan Bahan Termoelektrik Fleksibel Berbasis Polimer Konduktif PEDOT:PSS dengan Komposit NGQDs pada Substrat Film Polyimide</t>
  </si>
  <si>
    <t>PERANGKAT LAMPU PELAMPUNG SUAR PINTAR DENGAN PENGATURAN KODE KARAKTER CELANG LAMPU SECARAJARAK JAUH MENGGUNAKAN JARINGAN LORA</t>
  </si>
  <si>
    <t>Transformasi Sinyal Medan Dekat Menjadi Sinyal Medan Jauh</t>
  </si>
  <si>
    <t>EC002024233559</t>
  </si>
  <si>
    <t>METODE FABRIKASI SEL SURYA TERSENSITISASI ZAT
PEWARNA (DSSC) BERBASIS PEWARNA KLOROFIL HASIL
EKSTRAKSI MIKROALGA</t>
  </si>
  <si>
    <t>P00202413631</t>
  </si>
  <si>
    <t>FLIGHTLINK TOOLKIT: Analisis Distribusi Komunikasi UAV</t>
  </si>
  <si>
    <t>EC002024214036</t>
  </si>
  <si>
    <t>PIRANTI HIDUNG ELEKTRONIK DENGAN RUMAH SENSOR
BERUKURAN KOMPAK UNTUK KARAKTERISASI AROMA
MAKANAN</t>
  </si>
  <si>
    <t>P00202413609</t>
  </si>
  <si>
    <t>PERANGKAT PEMBERI PAKAN IKAN OTOMATIS</t>
  </si>
  <si>
    <t>A00202406242</t>
  </si>
  <si>
    <t>PERANGKAT SIMULASI KEAUSAN SENDI TULANG PINGGUL BUATAN</t>
  </si>
  <si>
    <t>P00202414597</t>
  </si>
  <si>
    <t>ALAT DAN METODE UKUR PERUBAHAN KELUNAKAN KULIT
LADA MENGGUNAKAN SISTEM KENDALI DAN SENSOR
TOTAL DISSOLVED SOLID (TDS)</t>
  </si>
  <si>
    <t>P00202414625</t>
  </si>
  <si>
    <t>PROSES PEMBUATAN PADUAN TERMOELEKTRIK MAGNESIUM SILISIDA DALAM TABUNG TERTUTUP</t>
  </si>
  <si>
    <t>METODE PEMBUATAN FOTOKATALIS TEMBAGA OKSIDA-SENG OKSIDA/GRAFENA OKSIDA TEREDUKSI DAN PRODUK YANG DIHASILKANNYA</t>
  </si>
  <si>
    <t>P00202413627</t>
  </si>
  <si>
    <t>CAB DAN CARGO AREA PADA KENDARAAN KOMERSIAL SEBAGAI KENDARAAN STASIUN PENGENDALI DARAT
BERGERAK</t>
  </si>
  <si>
    <t>P00202414613</t>
  </si>
  <si>
    <t>FertControlPro V01 : Perangkat Lunak PLC &amp; SCADA Untuk
Sistem Kendali Dan Pengawasan Handling System Untuk Komoditi
Bahan/Produk Curah Kering</t>
  </si>
  <si>
    <t>EC00202474479</t>
  </si>
  <si>
    <t>FCC Console dengan Kemampuan Konfigurasi Ulang
(Reprogrammable) untuk Sistem Kendali Terbang pada Kendaraan
Udara Tanpa Awak</t>
  </si>
  <si>
    <t>S00202414639</t>
  </si>
  <si>
    <t>METODE PERTUKARAN DATA PADA ALAT KENDALI
PENGISIAN ARUS SEARAH KENDARAAN LISTRIK RODA
EMPAT DENGAN PERANGKAT ANTARMUKA PENGGUNA</t>
  </si>
  <si>
    <t>P00202414623</t>
  </si>
  <si>
    <t>SISTEM BERBASIS EDGE DEVICE DAN METODE BERBASIS CONVOLUTION NEURAL NETWORK UNTUK KLASIFIKASI ARITMIA DAN PREDIKSI PENYAKIT JANTUNG</t>
  </si>
  <si>
    <t xml:space="preserve"> </t>
  </si>
  <si>
    <t>DOI (Wajib Jika status Published)</t>
  </si>
  <si>
    <t>Optimizing Multi-Layer Perceptron performance in sentiment classification
 through Neural Network feature extraction</t>
  </si>
  <si>
    <t>Muhammad Fikri, Aang Nuryaman</t>
  </si>
  <si>
    <t>Baca: Jurnal Dokumentasi dan Informasi</t>
  </si>
  <si>
    <t>S2</t>
  </si>
  <si>
    <t>PN</t>
  </si>
  <si>
    <t>Digital Representation Of Women Politicians In Indonesia: Youth Perspectives And Self-Portrayal On Social Media</t>
  </si>
  <si>
    <t>Riri Kusumarani, Darmawati Majid, Ari Cahyo Nugroho</t>
  </si>
  <si>
    <t>Jurnal Wacana Politik</t>
  </si>
  <si>
    <t>https://www.researchgate.net/publication/391722086_DIGITAL_REPRESENTATION_OF_WOMEN_POLITICIANS_IN_INDONESIA_YOUTH_PERSPECTIVES_AND_SELF-PORTRAYAL_ON_SOCIAL_MEDIA</t>
  </si>
  <si>
    <t>https://doi.org/10.24198/jwp.v10i2.59148</t>
  </si>
  <si>
    <t xml:space="preserve">Promosi Kebudayaan Rote Melalui Aset 3D </t>
  </si>
  <si>
    <t>Arief Aflah, Arief Budiman</t>
  </si>
  <si>
    <t>Jurnal Manajemen Pendidikan dan Ilmu Sosial (JMPIS)</t>
  </si>
  <si>
    <t>https://dinastirev.org/JMPIS/article/view/4780</t>
  </si>
  <si>
    <t>https://doi.org/10.38035/jmpis.v6i3.4780</t>
  </si>
  <si>
    <t xml:space="preserve">Sentiment Analysis and Topic Modeling of Public Opinion on Indonesia New Capital City Development Policies
</t>
  </si>
  <si>
    <t xml:space="preserve">Michael David Angelo, Indra Budi, Aris Budi, Reyhan Widyatna Harwenda
</t>
  </si>
  <si>
    <t>Journal of Universal Studies</t>
  </si>
  <si>
    <t>http://www.eduvest.greenvest.co.id.submitjurnal.id/index.php/edv/article/view/51234</t>
  </si>
  <si>
    <t>https://doi.org/10.59188/eduvest.v5i5.51234</t>
  </si>
  <si>
    <t>Sinta3</t>
  </si>
  <si>
    <t>Evaluasi Kinerja Website Digital Library Perbanas Institute menggunakan Metode PIECES dan GTmetrix</t>
  </si>
  <si>
    <t>Rafli Nofaldo, Mardiana Purwaningsih, Dwi Atmodjo Wismono Prapto</t>
  </si>
  <si>
    <t>Jurnal Dokumentasi dan Informasi</t>
  </si>
  <si>
    <t>https://ejournal.brin.go.id/baca/article/view/8966</t>
  </si>
  <si>
    <t>Optimizing Multi-Layer Perceptron Performance in Sentiment Classification through Neural Network Feature Extraction</t>
  </si>
  <si>
    <t>Muhammad Fikri Alam, Aang Nuryaman</t>
  </si>
  <si>
    <t>https://ejournal.brin.go.id/baca/article/view/8240</t>
  </si>
  <si>
    <t>Pengembangan Front-End Aplikasi Mysre: Aplikasi Tinjauan Literatur Untuk Peneliti Pemula</t>
  </si>
  <si>
    <t>Uun Hariyanti, Delisya Jayadi, Tri Afirianto, Prima Zulvarina</t>
  </si>
  <si>
    <t>Jurnal Teknologi Informasi dan Ilmu Komputer (JTIIK)</t>
  </si>
  <si>
    <t>https://jtiik.ub.ac.id/index.php/jtiik/article/view/9738</t>
  </si>
  <si>
    <t>https://doi.org/10.25126/jtiik.124</t>
  </si>
  <si>
    <t>Factors and Impacts of Knowledge Sharing in Digital Beauty Community: A Systematic Literature Review</t>
  </si>
  <si>
    <t>Shella Maria Vernanda, Christianto Vinsen, Dana Indra Sensuse, Nadya Safitri</t>
  </si>
  <si>
    <t>Kesatria: Jurnal Penerapan Sistem Informasi (Komputer dan Manajemen)</t>
  </si>
  <si>
    <t>https://tunasbangsa.ac.id/pkm/index.php/kesatria/article/view/593/588</t>
  </si>
  <si>
    <t>https://dx.doi.org/10.30645/kesatria.v6i2.593</t>
  </si>
  <si>
    <t>Penelitian UX: Metode dan Praktik Terbaik</t>
  </si>
  <si>
    <t>UI/UX Design: Teori, Proses, dan Karier (Kaizen Media Publishing)</t>
  </si>
  <si>
    <t>https://books.google.co.id/books?id=LpWNEQAAQBAJ</t>
  </si>
  <si>
    <t>Performance Evaluation of NAS Parallel and High-Performance Conjugate Gradient Benchmarks in Mahameru</t>
  </si>
  <si>
    <t>Taufiq Wirahman, Arnida L Latifah, Furqon Hensan Muttaqien, I Wayan Aditya Swardiana, Syam Budi Iryanto, Rifki Sadikin</t>
  </si>
  <si>
    <t>Jurnal Online Informatika</t>
  </si>
  <si>
    <t>https://dx.doi.org/10.15575/join.v10i2.1557</t>
  </si>
  <si>
    <t>Analisis Sentimen Berdasarkan Data Media Sosial:
Studi Kasus Pada Berbagai Domain di Indonesia</t>
  </si>
  <si>
    <t>Buku</t>
  </si>
  <si>
    <t>UI Publishing</t>
  </si>
  <si>
    <t>ISBN: 978-634-244-051-3</t>
  </si>
  <si>
    <t>Evi Yulianti</t>
  </si>
  <si>
    <t>Jurnal Resti</t>
  </si>
  <si>
    <t>https://jurnal.iaii.or.id/index.php/RESTI/article/view/6397/1060</t>
  </si>
  <si>
    <t>Per 31/08/24</t>
  </si>
  <si>
    <t>SDM STUDI LANJUT</t>
  </si>
  <si>
    <t>POSTDOC/VISITING RSRCH</t>
  </si>
  <si>
    <t>DANA EKS</t>
  </si>
  <si>
    <t>SITASI</t>
  </si>
  <si>
    <t>PUBLIKASI NASIONAL</t>
  </si>
  <si>
    <t>KERJASAMA DALAM NEGERI</t>
  </si>
  <si>
    <t>KERJASAMA LUAR NEGERI</t>
  </si>
  <si>
    <t>TALENTA RISET</t>
  </si>
  <si>
    <t>No</t>
  </si>
  <si>
    <t>PEND</t>
  </si>
  <si>
    <t>TARGET</t>
  </si>
  <si>
    <t>KR</t>
  </si>
  <si>
    <t>JURNAL</t>
  </si>
  <si>
    <t>JUDUL KI</t>
  </si>
  <si>
    <t>TGL</t>
  </si>
  <si>
    <t>LINK SCOPUS</t>
  </si>
  <si>
    <t>JABATAN FUNGSIONAL</t>
  </si>
  <si>
    <t>H INDEX</t>
  </si>
  <si>
    <t>JUMLAH DOK PUBLISHED SD. TAHUN 2024</t>
  </si>
  <si>
    <t>SITASI SD. THN 2024</t>
  </si>
  <si>
    <t>Januari</t>
  </si>
  <si>
    <t>Februari</t>
  </si>
  <si>
    <t>TOTAL</t>
  </si>
  <si>
    <t>NAMA</t>
  </si>
  <si>
    <t>DOK YANG DI PUBLISHED (PARSIAL)</t>
  </si>
  <si>
    <t>SITASI (PARSIAL)</t>
  </si>
  <si>
    <t>DOK PUBLISHED SD. TAHUN 2025</t>
  </si>
  <si>
    <t>SITASI SD. THN 2025</t>
  </si>
  <si>
    <t>DOK YANG DI PUBLISHED 2025(KUM)</t>
  </si>
  <si>
    <t>SITASI 2025 (KUM)</t>
  </si>
  <si>
    <r>
      <rPr>
        <u/>
        <sz val="11"/>
        <color rgb="FF1155CC"/>
        <rFont val="Calibri, sans-serif"/>
      </rPr>
      <t>https://www.scopus.com/authid/detail.uri?authorId=35424564900</t>
    </r>
  </si>
  <si>
    <t>Kepala PR Sains Data dan Informasi / Peneliti Ahli Utama</t>
  </si>
  <si>
    <t>Pembina - IV/a</t>
  </si>
  <si>
    <r>
      <rPr>
        <u/>
        <sz val="11"/>
        <color rgb="FF1155CC"/>
        <rFont val="Calibri, sans-serif"/>
      </rPr>
      <t>https://www.scopus.com/authid/detail.uri?authorId=56410803300</t>
    </r>
  </si>
  <si>
    <t>Peneliti Ahli Muda</t>
  </si>
  <si>
    <t>Pembina Utama - IV/e</t>
  </si>
  <si>
    <r>
      <rPr>
        <u/>
        <sz val="11"/>
        <color rgb="FF1155CC"/>
        <rFont val="Calibri, sans-serif"/>
      </rPr>
      <t>https://www.scopus.com/authid/detail.uri?authorId=57190007332</t>
    </r>
  </si>
  <si>
    <t>Perekayasa Ahli Muda</t>
  </si>
  <si>
    <t>Penata Tingkat I - III/d</t>
  </si>
  <si>
    <r>
      <rPr>
        <u/>
        <sz val="11"/>
        <color rgb="FF1155CC"/>
        <rFont val="Calibri, sans-serif"/>
      </rPr>
      <t>https://www.scopus.com/authid/detail.uri?authorId=57192639461</t>
    </r>
  </si>
  <si>
    <t>Peneliti Ahli Utama</t>
  </si>
  <si>
    <t>Pembina Tingkat I - IV/b</t>
  </si>
  <si>
    <r>
      <rPr>
        <u/>
        <sz val="11"/>
        <color rgb="FF1155CC"/>
        <rFont val="Calibri, sans-serif"/>
      </rPr>
      <t>https://www.scopus.com/authid/detail.uri?authorId=15925429100</t>
    </r>
  </si>
  <si>
    <t>Penata Muda Tingkat I - III/b</t>
  </si>
  <si>
    <r>
      <rPr>
        <u/>
        <sz val="11"/>
        <color rgb="FF1155CC"/>
        <rFont val="Calibri, sans-serif"/>
      </rPr>
      <t>https://www.scopus.com/authid/detail.uri?authorId=57205125029</t>
    </r>
  </si>
  <si>
    <t>Perekayasa Ahli Utama</t>
  </si>
  <si>
    <t>https://www.scopus.com/results/authorNamesList.uri?name=name&amp;st1=Grahitandaru&amp;st2=&amp;origin=searchauthorlookup</t>
  </si>
  <si>
    <r>
      <rPr>
        <u/>
        <sz val="11"/>
        <color rgb="FF1155CC"/>
        <rFont val="Calibri, sans-serif"/>
      </rPr>
      <t>https://www.scopus.com/authid/detail.uri?authorId=57216459699</t>
    </r>
  </si>
  <si>
    <t>Peneliti Ahli Pertama</t>
  </si>
  <si>
    <r>
      <rPr>
        <u/>
        <sz val="11"/>
        <color rgb="FF1155CC"/>
        <rFont val="Calibri, sans-serif"/>
      </rPr>
      <t>https://www.scopus.com/authid/detail.uri?authorId=57193707432</t>
    </r>
  </si>
  <si>
    <t>Peneliti Ahli Madya</t>
  </si>
  <si>
    <t>https://www.scopus.com/authid/detail.uri?authorId=57194008191</t>
  </si>
  <si>
    <t>Penelaah Teknis Kebijakan</t>
  </si>
  <si>
    <r>
      <rPr>
        <u/>
        <sz val="11"/>
        <color rgb="FF1155CC"/>
        <rFont val="Calibri, sans-serif"/>
      </rPr>
      <t>https://www.scopus.com/authid/detail.uri?authorId=57194604391</t>
    </r>
  </si>
  <si>
    <r>
      <rPr>
        <u/>
        <sz val="11"/>
        <color rgb="FF1155CC"/>
        <rFont val="Calibri, sans-serif"/>
      </rPr>
      <t>https://www.scopus.com/authid/detail.uri?authorId=57197798404</t>
    </r>
  </si>
  <si>
    <t>Penata - III/c</t>
  </si>
  <si>
    <r>
      <rPr>
        <u/>
        <sz val="11"/>
        <color rgb="FF1155CC"/>
        <rFont val="Calibri, sans-serif"/>
      </rPr>
      <t>https://www.scopus.com/authid/detail.uri?authorId=58552992300</t>
    </r>
  </si>
  <si>
    <r>
      <rPr>
        <u/>
        <sz val="11"/>
        <color rgb="FF1155CC"/>
        <rFont val="Calibri, sans-serif"/>
      </rPr>
      <t>https://www.scopus.com/authid/detail.uri?authorId=57193448158</t>
    </r>
  </si>
  <si>
    <r>
      <rPr>
        <u/>
        <sz val="11"/>
        <color rgb="FF1155CC"/>
        <rFont val="Calibri, sans-serif"/>
      </rPr>
      <t>https://www.scopus.com/authid/detail.uri?authorId=54797353100</t>
    </r>
  </si>
  <si>
    <t>Dr. Dipl.(FH) Ing Asril, M.Sc</t>
  </si>
  <si>
    <r>
      <rPr>
        <u/>
        <sz val="11"/>
        <color rgb="FF1155CC"/>
        <rFont val="Calibri, sans-serif"/>
      </rPr>
      <t>https://www.scopus.com/authid/detail.uri?authorId=36930410300</t>
    </r>
  </si>
  <si>
    <t>Perekayasa Ahli Madya</t>
  </si>
  <si>
    <r>
      <rPr>
        <u/>
        <sz val="11"/>
        <color rgb="FF1155CC"/>
        <rFont val="Calibri, sans-serif"/>
      </rPr>
      <t>https://www.scopus.com/authid/detail.uri?authorId=53264599900</t>
    </r>
  </si>
  <si>
    <r>
      <rPr>
        <u/>
        <sz val="11"/>
        <color rgb="FF1155CC"/>
        <rFont val="Calibri, sans-serif"/>
      </rPr>
      <t>https://www.scopus.com/authid/detail.uri?authorId=57939904500</t>
    </r>
  </si>
  <si>
    <r>
      <rPr>
        <u/>
        <sz val="11"/>
        <color rgb="FF1155CC"/>
        <rFont val="Calibri, sans-serif"/>
      </rPr>
      <t>https://www.scopus.com/authid/detail.uri?authorId=54791173900</t>
    </r>
  </si>
  <si>
    <r>
      <rPr>
        <u/>
        <sz val="11"/>
        <color rgb="FF1155CC"/>
        <rFont val="Calibri, sans-serif"/>
      </rPr>
      <t>https://www.scopus.com/authid/detail.uri?authorId=57201685035</t>
    </r>
  </si>
  <si>
    <r>
      <rPr>
        <u/>
        <sz val="11"/>
        <color rgb="FF1155CC"/>
        <rFont val="Calibri, sans-serif"/>
      </rPr>
      <t>https://www.scopus.com/authid/detail.uri?authorId=57771609600</t>
    </r>
  </si>
  <si>
    <t>Perekayasa Ahli Pertama</t>
  </si>
  <si>
    <r>
      <rPr>
        <u/>
        <sz val="11"/>
        <color rgb="FF1155CC"/>
        <rFont val="Calibri, sans-serif"/>
      </rPr>
      <t>https://www.scopus.com/authid/detail.uri?authorId=54791372300</t>
    </r>
  </si>
  <si>
    <r>
      <rPr>
        <u/>
        <sz val="11"/>
        <color rgb="FF1155CC"/>
        <rFont val="Calibri, sans-serif"/>
      </rPr>
      <t>https://www.scopus.com/authid/detail.uri?authorId=57189998792</t>
    </r>
  </si>
  <si>
    <r>
      <rPr>
        <u/>
        <sz val="11"/>
        <color rgb="FF1155CC"/>
        <rFont val="Calibri, sans-serif"/>
      </rPr>
      <t>https://www.scopus.com/authid/detail.uri?authorId=56669695700</t>
    </r>
  </si>
  <si>
    <r>
      <rPr>
        <u/>
        <sz val="11"/>
        <color rgb="FF1155CC"/>
        <rFont val="Calibri, sans-serif"/>
      </rPr>
      <t>https://www.scopus.com/authid/detail.uri?authorId=57189999642</t>
    </r>
  </si>
  <si>
    <r>
      <rPr>
        <u/>
        <sz val="11"/>
        <color rgb="FF1155CC"/>
        <rFont val="Calibri, sans-serif"/>
      </rPr>
      <t>https://www.scopus.com/authid/detail.uri?authorId=57211254409</t>
    </r>
  </si>
  <si>
    <r>
      <rPr>
        <u/>
        <sz val="11"/>
        <color rgb="FF1155CC"/>
        <rFont val="Calibri, sans-serif"/>
      </rPr>
      <t>https://www.scopus.com/authid/detail.uri?authorId=57188977950</t>
    </r>
  </si>
  <si>
    <r>
      <rPr>
        <u/>
        <sz val="11"/>
        <color rgb="FF1155CC"/>
        <rFont val="Calibri, sans-serif"/>
      </rPr>
      <t>https://www.scopus.com/authid/detail.uri?authorId=57221730719</t>
    </r>
  </si>
  <si>
    <r>
      <rPr>
        <u/>
        <sz val="11"/>
        <color rgb="FF1155CC"/>
        <rFont val="Calibri, sans-serif"/>
      </rPr>
      <t>https://www.scopus.com/authid/detail.uri?authorId=57202836985</t>
    </r>
  </si>
  <si>
    <r>
      <rPr>
        <u/>
        <sz val="11"/>
        <color rgb="FF1155CC"/>
        <rFont val="Calibri, sans-serif"/>
      </rPr>
      <t>https://www.scopus.com/authid/detail.uri?authorId=57210913843</t>
    </r>
  </si>
  <si>
    <r>
      <rPr>
        <u/>
        <sz val="11"/>
        <color rgb="FF1155CC"/>
        <rFont val="Calibri, sans-serif"/>
      </rPr>
      <t>https://www.scopus.com/authid/detail.uri?authorId=57207760083</t>
    </r>
  </si>
  <si>
    <r>
      <rPr>
        <u/>
        <sz val="11"/>
        <color rgb="FF1155CC"/>
        <rFont val="Calibri, sans-serif"/>
      </rPr>
      <t>https://www.scopus.com/authid/detail.uri?authorId=36816663700</t>
    </r>
  </si>
  <si>
    <r>
      <rPr>
        <u/>
        <sz val="11"/>
        <color rgb="FF1155CC"/>
        <rFont val="Calibri, sans-serif"/>
      </rPr>
      <t>https://www.scopus.com/authid/detail.uri?authorId=57197837216</t>
    </r>
  </si>
  <si>
    <r>
      <rPr>
        <u/>
        <sz val="11"/>
        <color rgb="FF1155CC"/>
        <rFont val="Calibri, sans-serif"/>
      </rPr>
      <t>https://www.scopus.com/authid/detail.uri?authorId=58689542000</t>
    </r>
  </si>
  <si>
    <r>
      <rPr>
        <u/>
        <sz val="11"/>
        <color rgb="FF1155CC"/>
        <rFont val="Calibri, sans-serif"/>
      </rPr>
      <t>https://www.scopus.com/authid/detail.uri?authorId=57221594540</t>
    </r>
  </si>
  <si>
    <r>
      <rPr>
        <u/>
        <sz val="11"/>
        <color rgb="FF1155CC"/>
        <rFont val="Calibri, sans-serif"/>
      </rPr>
      <t>https://www.scopus.com/authid/detail.uri?authorId=57220783577</t>
    </r>
  </si>
  <si>
    <r>
      <rPr>
        <u/>
        <sz val="11"/>
        <color rgb="FF1155CC"/>
        <rFont val="Calibri, sans-serif"/>
      </rPr>
      <t>https://www.scopus.com/authid/detail.uri?authorId=54790887100</t>
    </r>
  </si>
  <si>
    <r>
      <rPr>
        <u/>
        <sz val="11"/>
        <color rgb="FF1155CC"/>
        <rFont val="Calibri, sans-serif"/>
      </rPr>
      <t>https://www.scopus.com/authid/detail.uri?authorId=57956375200</t>
    </r>
  </si>
  <si>
    <r>
      <rPr>
        <u/>
        <sz val="11"/>
        <color rgb="FF1155CC"/>
        <rFont val="Calibri, sans-serif"/>
      </rPr>
      <t>https://www.scopus.com/authid/detail.uri?authorId=57190489490</t>
    </r>
  </si>
  <si>
    <r>
      <rPr>
        <u/>
        <sz val="11"/>
        <color rgb="FF1155CC"/>
        <rFont val="Calibri, sans-serif"/>
      </rPr>
      <t>https://www.scopus.com/authid/detail.uri?authorId=58127234400</t>
    </r>
  </si>
  <si>
    <r>
      <rPr>
        <u/>
        <sz val="11"/>
        <color rgb="FF1155CC"/>
        <rFont val="Calibri, sans-serif"/>
      </rPr>
      <t>https://www.scopus.com/authid/detail.uri?authorId=55331105300</t>
    </r>
  </si>
  <si>
    <r>
      <rPr>
        <u/>
        <sz val="11"/>
        <color rgb="FF1155CC"/>
        <rFont val="Calibri, sans-serif"/>
      </rPr>
      <t>https://www.scopus.com/authid/detail.uri?authorId=57383807300</t>
    </r>
  </si>
  <si>
    <t>https://www.scopus.com/authid/detail.uri?authorId=58918900000</t>
  </si>
  <si>
    <r>
      <rPr>
        <u/>
        <sz val="11"/>
        <color rgb="FF1155CC"/>
        <rFont val="Calibri, sans-serif"/>
      </rPr>
      <t>https://www.scopus.com/authid/detail.uri?authorId=57200534945</t>
    </r>
  </si>
  <si>
    <r>
      <rPr>
        <u/>
        <sz val="11"/>
        <color rgb="FF1155CC"/>
        <rFont val="Calibri, sans-serif"/>
      </rPr>
      <t>https://www.scopus.com/authid/detail.uri?authorId=57208013659</t>
    </r>
  </si>
  <si>
    <r>
      <rPr>
        <u/>
        <sz val="11"/>
        <color rgb="FF1155CC"/>
        <rFont val="Calibri, sans-serif"/>
      </rPr>
      <t>https://www.scopus.com/authid/detail.uri?authorId=57261462900</t>
    </r>
  </si>
  <si>
    <t>Ir. Tri Sampurno, M.Sc</t>
  </si>
  <si>
    <r>
      <rPr>
        <u/>
        <sz val="11"/>
        <color rgb="FF1155CC"/>
        <rFont val="Calibri, sans-serif"/>
      </rPr>
      <t>https://www.scopus.com/authid/detail.uri?authorId=58575328800</t>
    </r>
  </si>
  <si>
    <r>
      <rPr>
        <u/>
        <sz val="11"/>
        <color rgb="FF1155CC"/>
        <rFont val="Calibri, sans-serif"/>
      </rPr>
      <t>https://www.scopus.com/authid/detail.uri?authorId=57189242768</t>
    </r>
  </si>
  <si>
    <r>
      <rPr>
        <u/>
        <sz val="11"/>
        <color rgb="FF1155CC"/>
        <rFont val="Calibri, sans-serif"/>
      </rPr>
      <t>https://www.scopus.com/authid/detail.uri?authorId=56516977800</t>
    </r>
  </si>
  <si>
    <r>
      <rPr>
        <u/>
        <sz val="11"/>
        <color rgb="FF1155CC"/>
        <rFont val="Calibri, sans-serif"/>
      </rPr>
      <t>https://www.scopus.com/authid/detail.uri?authorId=58126025300</t>
    </r>
  </si>
  <si>
    <r>
      <rPr>
        <u/>
        <sz val="11"/>
        <color rgb="FF1155CC"/>
        <rFont val="Calibri, sans-serif"/>
      </rPr>
      <t>https://www.scopus.com/results/authorNamesList.uri?name=name&amp;st1=saifullah&amp;st2=zain&amp;origin=searchauthorlookup</t>
    </r>
  </si>
  <si>
    <t>https://www.scopus.com/results/authorNamesList.uri?name=name&amp;st1=Prastowo&amp;st2=Rahardito+Dio&amp;origin=searchauthorlookup</t>
  </si>
  <si>
    <t xml:space="preserve">Perekayasa Ahli Pertama
</t>
  </si>
  <si>
    <t xml:space="preserve">Analis Pemanfaatan Ilmu Pengetahuan dan Teknologi Ahli Muda
</t>
  </si>
  <si>
    <t>https://www.scopus.com/authid/detail.uri?authorId=58035708000</t>
  </si>
  <si>
    <t xml:space="preserve">Pranata Komputer Ahli Muda
</t>
  </si>
  <si>
    <t>Halim Hamadi</t>
  </si>
  <si>
    <t>https://www.scopus.com/authid/detail.uri?authorId=57202293368</t>
  </si>
  <si>
    <t>Lektor</t>
  </si>
  <si>
    <t>https://www.scopus.com/authid/detail.uri?authorId=58934808100</t>
  </si>
  <si>
    <t>https://www.scopus.com/authid/detail.uri?authorId=57204890242</t>
  </si>
  <si>
    <t>https://www.scopus.com/authid/detail.uri?authorId=57204889974</t>
  </si>
  <si>
    <t>https://www.scopus.com/authid/detail.uri?authorId=57190004503</t>
  </si>
  <si>
    <t>https://www.scopus.com/authid/detail.uri?authorId=57216355031</t>
  </si>
  <si>
    <t>Pembina Utama Muda - IV/c</t>
  </si>
  <si>
    <t>Penata Muda - III/a</t>
  </si>
  <si>
    <t>JUMLAH</t>
  </si>
  <si>
    <t>PERIODE S.D</t>
  </si>
  <si>
    <t>P</t>
  </si>
  <si>
    <t>SASARAN STRATEGI</t>
  </si>
  <si>
    <t>INDIKATOR KINERJA</t>
  </si>
  <si>
    <t>Februari 2025</t>
  </si>
  <si>
    <t xml:space="preserve">Terselenggaranya riset dan inovasi di bidang Sains Data dan Informasi </t>
  </si>
  <si>
    <t>Jumlah Kekayaan Intelektual yang dihasilkan di bidang Sains Data dan Informasi</t>
  </si>
  <si>
    <t>Kekayaan Intelektual</t>
  </si>
  <si>
    <t xml:space="preserve">Jumlah publikasi ilmiah yang di publikasikan </t>
  </si>
  <si>
    <t>Publikasi Ilmiah Global</t>
  </si>
  <si>
    <t>Jumlah purwarupa yang dihasilkan di bidang Sains Data dan Informasi</t>
  </si>
  <si>
    <t>Purwarupa</t>
  </si>
  <si>
    <t>Jumlah dana eksternal dari kerjasama penelitian/riset dan pengembangan iptek di bidang Sains Data dan Informasi</t>
  </si>
  <si>
    <t>Rupiah</t>
  </si>
  <si>
    <t>Termanfaatkannya hasil riset dan inovasi</t>
  </si>
  <si>
    <r>
      <rPr>
        <sz val="10"/>
        <color theme="1"/>
        <rFont val="Calibri"/>
      </rPr>
      <t xml:space="preserve">Jumlah kerja sama riset dan inovasi tingkat </t>
    </r>
    <r>
      <rPr>
        <sz val="10"/>
        <color rgb="FF0000FF"/>
        <rFont val="Calibri"/>
      </rPr>
      <t xml:space="preserve">internasional </t>
    </r>
    <r>
      <rPr>
        <sz val="10"/>
        <color theme="1"/>
        <rFont val="Calibri"/>
      </rPr>
      <t>yang dihasilkan di bidang Sains Data dan Informasi</t>
    </r>
  </si>
  <si>
    <r>
      <rPr>
        <sz val="10"/>
        <color theme="1"/>
        <rFont val="Calibri"/>
      </rPr>
      <t xml:space="preserve">Jumlah kerja sama riset dan inovasi tingkat </t>
    </r>
    <r>
      <rPr>
        <sz val="10"/>
        <color rgb="FF0000FF"/>
        <rFont val="Calibri"/>
      </rPr>
      <t>nasional</t>
    </r>
    <r>
      <rPr>
        <sz val="10"/>
        <color theme="1"/>
        <rFont val="Calibri"/>
      </rPr>
      <t xml:space="preserve"> yang dihasilkan di bidang Sains Data dan Informasi</t>
    </r>
  </si>
  <si>
    <t xml:space="preserve">Jumlah SDM Iptek yang melanjutkan pendidikan ke jenjang S2 dan S3 </t>
  </si>
  <si>
    <t>Pegawai</t>
  </si>
  <si>
    <r>
      <rPr>
        <sz val="10"/>
        <color theme="1"/>
        <rFont val="Calibri"/>
      </rPr>
      <t xml:space="preserve">Jumlah peserta </t>
    </r>
    <r>
      <rPr>
        <sz val="10"/>
        <color rgb="FF0000FF"/>
        <rFont val="Calibri"/>
      </rPr>
      <t>Post Doctoral/Visiting Research</t>
    </r>
    <r>
      <rPr>
        <sz val="10"/>
        <color theme="1"/>
        <rFont val="Calibri"/>
      </rPr>
      <t xml:space="preserve"> </t>
    </r>
  </si>
  <si>
    <t>Peserta</t>
  </si>
  <si>
    <r>
      <rPr>
        <i/>
        <sz val="10"/>
        <color theme="1"/>
        <rFont val="Calibri"/>
      </rPr>
      <t>Jumlah peserta talenta riset dan inovasi dan sumber daya manusia yang ditingkatkan kompetensinya (</t>
    </r>
    <r>
      <rPr>
        <i/>
        <sz val="10"/>
        <color rgb="FF0000FF"/>
        <rFont val="Calibri"/>
      </rPr>
      <t>pelatihan internasional</t>
    </r>
    <r>
      <rPr>
        <i/>
        <sz val="10"/>
        <color theme="1"/>
        <rFont val="Calibri"/>
      </rPr>
      <t xml:space="preserve">)                                                          
                                                                                                                                                                                                        </t>
    </r>
  </si>
  <si>
    <t>Meningkatnya kuantitas dan kualitas sumber daya manusia iptek</t>
  </si>
  <si>
    <t>Jumlah sitasi atas publikasi ilmiah internasional di bidang Sains Data dan Informasi</t>
  </si>
  <si>
    <t>sitasi</t>
  </si>
  <si>
    <t>Jumlah publikasi ilmiah nasional di bidang Sains Data dan Informasi</t>
  </si>
  <si>
    <t>publikasi nasional</t>
  </si>
  <si>
    <r>
      <rPr>
        <sz val="10"/>
        <color theme="1"/>
        <rFont val="Calibri"/>
      </rPr>
      <t xml:space="preserve">Jumlah </t>
    </r>
    <r>
      <rPr>
        <sz val="10"/>
        <color rgb="FFFF0000"/>
        <rFont val="Calibri"/>
      </rPr>
      <t xml:space="preserve">Kekayaan Intelektual </t>
    </r>
    <r>
      <rPr>
        <sz val="10"/>
        <color theme="1"/>
        <rFont val="Calibri"/>
      </rPr>
      <t>yang dihasilkan di bidang  Sains Data dan Informasi</t>
    </r>
  </si>
  <si>
    <r>
      <rPr>
        <sz val="10"/>
        <color theme="1"/>
        <rFont val="Calibri"/>
      </rPr>
      <t xml:space="preserve">Jumlah </t>
    </r>
    <r>
      <rPr>
        <sz val="10"/>
        <color rgb="FFFF0000"/>
        <rFont val="Calibri"/>
      </rPr>
      <t xml:space="preserve">publikasi </t>
    </r>
    <r>
      <rPr>
        <sz val="10"/>
        <color theme="1"/>
        <rFont val="Calibri"/>
      </rPr>
      <t xml:space="preserve">ilmiah yang di publikasikan </t>
    </r>
  </si>
  <si>
    <r>
      <rPr>
        <sz val="10"/>
        <color theme="1"/>
        <rFont val="Calibri"/>
      </rPr>
      <t xml:space="preserve">Jumlah </t>
    </r>
    <r>
      <rPr>
        <sz val="10"/>
        <color rgb="FFFF0000"/>
        <rFont val="Calibri"/>
      </rPr>
      <t>purwarupa</t>
    </r>
    <r>
      <rPr>
        <sz val="10"/>
        <color theme="1"/>
        <rFont val="Calibri"/>
      </rPr>
      <t xml:space="preserve"> yang dihasilkan di bidang Sains Data dan Informasi</t>
    </r>
  </si>
  <si>
    <r>
      <rPr>
        <sz val="10"/>
        <color theme="1"/>
        <rFont val="Calibri"/>
      </rPr>
      <t xml:space="preserve">Jumlah </t>
    </r>
    <r>
      <rPr>
        <sz val="10"/>
        <color rgb="FFFF0000"/>
        <rFont val="Calibri"/>
      </rPr>
      <t>dana eksternal</t>
    </r>
    <r>
      <rPr>
        <sz val="10"/>
        <color theme="1"/>
        <rFont val="Calibri"/>
      </rPr>
      <t xml:space="preserve"> dari kerjasama penelitian/riset dan pengembangan iptek di bidang Sains Data dan Informasi</t>
    </r>
  </si>
  <si>
    <r>
      <rPr>
        <sz val="10"/>
        <color theme="1"/>
        <rFont val="Calibri"/>
      </rPr>
      <t xml:space="preserve">Jumlah </t>
    </r>
    <r>
      <rPr>
        <sz val="10"/>
        <color rgb="FFFF0000"/>
        <rFont val="Calibri"/>
      </rPr>
      <t>kerjasama</t>
    </r>
    <r>
      <rPr>
        <sz val="10"/>
        <color theme="1"/>
        <rFont val="Calibri"/>
      </rPr>
      <t xml:space="preserve"> riset dan inovasi tingkat </t>
    </r>
    <r>
      <rPr>
        <b/>
        <sz val="10"/>
        <color rgb="FFFF0000"/>
        <rFont val="Calibri"/>
      </rPr>
      <t xml:space="preserve">internasional </t>
    </r>
    <r>
      <rPr>
        <sz val="10"/>
        <color theme="1"/>
        <rFont val="Calibri"/>
      </rPr>
      <t>yang 
dihasilkan di bidang Sains Data dan Informasi</t>
    </r>
  </si>
  <si>
    <r>
      <rPr>
        <sz val="10"/>
        <color theme="1"/>
        <rFont val="Calibri"/>
      </rPr>
      <t xml:space="preserve">Jumlah </t>
    </r>
    <r>
      <rPr>
        <sz val="10"/>
        <color rgb="FFFF0000"/>
        <rFont val="Calibri"/>
      </rPr>
      <t xml:space="preserve">kerjasama </t>
    </r>
    <r>
      <rPr>
        <sz val="10"/>
        <color theme="1"/>
        <rFont val="Calibri"/>
      </rPr>
      <t xml:space="preserve">riset dan inovasi tingkat </t>
    </r>
    <r>
      <rPr>
        <b/>
        <sz val="10"/>
        <color rgb="FFFF0000"/>
        <rFont val="Calibri"/>
      </rPr>
      <t xml:space="preserve">nasional </t>
    </r>
    <r>
      <rPr>
        <sz val="10"/>
        <color theme="1"/>
        <rFont val="Calibri"/>
      </rPr>
      <t>yang dihasilkan di bidang Sains Data dan Informasi</t>
    </r>
  </si>
  <si>
    <r>
      <rPr>
        <sz val="10"/>
        <color theme="1"/>
        <rFont val="Calibri"/>
      </rPr>
      <t xml:space="preserve">Jumlah </t>
    </r>
    <r>
      <rPr>
        <sz val="10"/>
        <color rgb="FFFF0000"/>
        <rFont val="Calibri"/>
      </rPr>
      <t>SDM Iptek</t>
    </r>
    <r>
      <rPr>
        <sz val="10"/>
        <color theme="1"/>
        <rFont val="Calibri"/>
      </rPr>
      <t xml:space="preserve"> yang melanjutkan pendidikan ke jenjang S2 dan S3 </t>
    </r>
  </si>
  <si>
    <r>
      <rPr>
        <sz val="10"/>
        <color theme="1"/>
        <rFont val="Calibri"/>
      </rPr>
      <t xml:space="preserve">Jumlah peserta </t>
    </r>
    <r>
      <rPr>
        <sz val="10"/>
        <color rgb="FFFF0000"/>
        <rFont val="Calibri"/>
      </rPr>
      <t>Post Doctoral/Visiting Research</t>
    </r>
    <r>
      <rPr>
        <sz val="10"/>
        <color theme="1"/>
        <rFont val="Calibri"/>
      </rPr>
      <t xml:space="preserve"> </t>
    </r>
  </si>
  <si>
    <r>
      <rPr>
        <i/>
        <sz val="10"/>
        <color theme="1"/>
        <rFont val="Calibri"/>
      </rPr>
      <t xml:space="preserve">Jumlah peserta talenta riset dan inovasi dan sumber daya manusia yang ditingkatkan kompetensinya </t>
    </r>
    <r>
      <rPr>
        <i/>
        <sz val="10"/>
        <color rgb="FFFF0000"/>
        <rFont val="Calibri"/>
      </rPr>
      <t>(pelatihan internasional)</t>
    </r>
    <r>
      <rPr>
        <i/>
        <sz val="10"/>
        <color theme="1"/>
        <rFont val="Calibri"/>
      </rPr>
      <t xml:space="preserve">                                                          
                                                                                                                                                                                                        </t>
    </r>
  </si>
  <si>
    <r>
      <rPr>
        <i/>
        <sz val="10"/>
        <color theme="1"/>
        <rFont val="Calibri"/>
      </rPr>
      <t>Jumlah</t>
    </r>
    <r>
      <rPr>
        <i/>
        <sz val="10"/>
        <color rgb="FFFF0000"/>
        <rFont val="Calibri"/>
      </rPr>
      <t xml:space="preserve"> sitasi </t>
    </r>
    <r>
      <rPr>
        <i/>
        <sz val="10"/>
        <color theme="1"/>
        <rFont val="Calibri"/>
      </rPr>
      <t>atas publikasi ilmiah internasional di bidang Sains Data dan Informasi</t>
    </r>
  </si>
  <si>
    <r>
      <rPr>
        <i/>
        <sz val="10"/>
        <color theme="1"/>
        <rFont val="Calibri"/>
      </rPr>
      <t xml:space="preserve">Jumlah </t>
    </r>
    <r>
      <rPr>
        <i/>
        <sz val="10"/>
        <color rgb="FFFF0000"/>
        <rFont val="Calibri"/>
      </rPr>
      <t>publikasi ilmiah nasional</t>
    </r>
    <r>
      <rPr>
        <i/>
        <sz val="10"/>
        <color theme="1"/>
        <rFont val="Calibri"/>
      </rPr>
      <t xml:space="preserve"> di bidang Sains Data dan Informasi</t>
    </r>
  </si>
  <si>
    <t xml:space="preserve">
Terselenggaranya riset dan inovasi di bidang Sains Data dan Informasi </t>
  </si>
  <si>
    <t>Jumlah Kekayaan Intelektual yang dihasilkan di bidang  Sains Data dan Informasi</t>
  </si>
  <si>
    <t xml:space="preserve">
Termanfaatkannya hasil riset dan inovasi</t>
  </si>
  <si>
    <t>Jumlah kerja sama riset dan inovasi tingkat internasional yang 
dihasilkan di bidang Sains Data dan Informasi</t>
  </si>
  <si>
    <t>Jumlah kerja sama riset dan inovasi tingkat nasional yang 
dihasilkan di bidang Sains Data dan Informasi</t>
  </si>
  <si>
    <t xml:space="preserve">Jumlah peserta Post Doctoral/Visiting Research </t>
  </si>
  <si>
    <t xml:space="preserve">Jumlah peserta talenta riset dan inovasi dan sumber daya manusia yang ditingkatkan kompetensinya (pelatihan internasional)                                                          
                                                                                                                                                                                                        </t>
  </si>
  <si>
    <t xml:space="preserve">
Meningkatnya kuantitas dan kualitas sumber daya manusia iptek</t>
  </si>
  <si>
    <t>Mei 2025</t>
  </si>
  <si>
    <t>Juli 2025</t>
  </si>
  <si>
    <t>Agustus 2025</t>
  </si>
  <si>
    <r>
      <rPr>
        <sz val="10"/>
        <color theme="1"/>
        <rFont val="Calibri"/>
      </rPr>
      <t xml:space="preserve">Jumlah </t>
    </r>
    <r>
      <rPr>
        <sz val="10"/>
        <color rgb="FFFF0000"/>
        <rFont val="Calibri"/>
      </rPr>
      <t>kerjasama</t>
    </r>
    <r>
      <rPr>
        <sz val="10"/>
        <color theme="1"/>
        <rFont val="Calibri"/>
      </rPr>
      <t xml:space="preserve"> riset dan inovasi tingkat</t>
    </r>
    <r>
      <rPr>
        <sz val="10"/>
        <color rgb="FFFF0000"/>
        <rFont val="Calibri"/>
      </rPr>
      <t xml:space="preserve"> internasional</t>
    </r>
    <r>
      <rPr>
        <sz val="10"/>
        <color theme="1"/>
        <rFont val="Calibri"/>
      </rPr>
      <t xml:space="preserve"> yang dihasilkan di bidang Sains Data dan Informasi</t>
    </r>
  </si>
  <si>
    <r>
      <rPr>
        <sz val="10"/>
        <color theme="1"/>
        <rFont val="Calibri"/>
      </rPr>
      <t xml:space="preserve">Jumlah </t>
    </r>
    <r>
      <rPr>
        <sz val="10"/>
        <color rgb="FFFF0000"/>
        <rFont val="Calibri"/>
      </rPr>
      <t>kerjasama</t>
    </r>
    <r>
      <rPr>
        <sz val="10"/>
        <color theme="1"/>
        <rFont val="Calibri"/>
      </rPr>
      <t xml:space="preserve"> riset dan inovasi tingkat </t>
    </r>
    <r>
      <rPr>
        <sz val="10"/>
        <color rgb="FFFF0000"/>
        <rFont val="Calibri"/>
      </rPr>
      <t>nasional</t>
    </r>
    <r>
      <rPr>
        <sz val="10"/>
        <color theme="1"/>
        <rFont val="Calibri"/>
      </rPr>
      <t xml:space="preserve"> yang dihasilkan di bidang Sains Data dan Informasi</t>
    </r>
  </si>
  <si>
    <r>
      <rPr>
        <i/>
        <sz val="10"/>
        <color theme="1"/>
        <rFont val="Calibri"/>
      </rPr>
      <t xml:space="preserve">Jumlah peserta talenta riset dan inovasi dan sumber daya manusia yang ditingkatkan kompetensinya </t>
    </r>
    <r>
      <rPr>
        <i/>
        <sz val="10"/>
        <color rgb="FFFF0000"/>
        <rFont val="Calibri"/>
      </rPr>
      <t>(pelatihan internasional)</t>
    </r>
  </si>
  <si>
    <r>
      <rPr>
        <sz val="10"/>
        <color theme="1"/>
        <rFont val="Calibri"/>
      </rPr>
      <t xml:space="preserve">Jumlah </t>
    </r>
    <r>
      <rPr>
        <sz val="10"/>
        <color rgb="FFFF0000"/>
        <rFont val="Calibri"/>
      </rPr>
      <t xml:space="preserve">kerjasama </t>
    </r>
    <r>
      <rPr>
        <sz val="10"/>
        <color theme="1"/>
        <rFont val="Calibri"/>
      </rPr>
      <t xml:space="preserve">riset dan inovasi tingkat </t>
    </r>
    <r>
      <rPr>
        <sz val="10"/>
        <color rgb="FFFF0000"/>
        <rFont val="Calibri"/>
      </rPr>
      <t>internasional</t>
    </r>
    <r>
      <rPr>
        <sz val="10"/>
        <color theme="1"/>
        <rFont val="Calibri"/>
      </rPr>
      <t xml:space="preserve"> yang 
dihasilkan di bidang Sains Data dan Informasi</t>
    </r>
  </si>
  <si>
    <r>
      <rPr>
        <sz val="10"/>
        <color theme="1"/>
        <rFont val="Calibri"/>
      </rPr>
      <t xml:space="preserve">Jumlah </t>
    </r>
    <r>
      <rPr>
        <sz val="10"/>
        <color rgb="FFFF0000"/>
        <rFont val="Calibri"/>
      </rPr>
      <t xml:space="preserve">kerjasama </t>
    </r>
    <r>
      <rPr>
        <sz val="10"/>
        <color theme="1"/>
        <rFont val="Calibri"/>
      </rPr>
      <t xml:space="preserve">riset dan inovasi tingkat </t>
    </r>
    <r>
      <rPr>
        <sz val="10"/>
        <color rgb="FFFF0000"/>
        <rFont val="Calibri"/>
      </rPr>
      <t>nasional</t>
    </r>
    <r>
      <rPr>
        <sz val="10"/>
        <color theme="1"/>
        <rFont val="Calibri"/>
      </rPr>
      <t xml:space="preserve"> yang 
dihasilkan di bidang Sains Data dan Informasi</t>
    </r>
  </si>
  <si>
    <r>
      <rPr>
        <i/>
        <sz val="10"/>
        <color theme="1"/>
        <rFont val="Calibri"/>
      </rPr>
      <t>Jumlah peserta talenta riset dan inovasi dan sumber daya manusia yang ditingkatkan kompetensinya (</t>
    </r>
    <r>
      <rPr>
        <i/>
        <sz val="10"/>
        <color rgb="FFFF0000"/>
        <rFont val="Calibri"/>
      </rPr>
      <t>pelatihan internasional</t>
    </r>
    <r>
      <rPr>
        <i/>
        <sz val="10"/>
        <color theme="1"/>
        <rFont val="Calibri"/>
      </rPr>
      <t>)</t>
    </r>
  </si>
  <si>
    <t>Oktober 2025</t>
  </si>
  <si>
    <r>
      <rPr>
        <sz val="10"/>
        <color theme="1"/>
        <rFont val="Calibri"/>
      </rPr>
      <t xml:space="preserve">Jumlah </t>
    </r>
    <r>
      <rPr>
        <sz val="10"/>
        <color rgb="FFFF0000"/>
        <rFont val="Calibri"/>
      </rPr>
      <t>kerjasama</t>
    </r>
    <r>
      <rPr>
        <sz val="10"/>
        <color theme="1"/>
        <rFont val="Calibri"/>
      </rPr>
      <t xml:space="preserve"> riset dan inovasi tingkat </t>
    </r>
    <r>
      <rPr>
        <sz val="10"/>
        <color rgb="FFFF0000"/>
        <rFont val="Calibri"/>
      </rPr>
      <t xml:space="preserve">internasional </t>
    </r>
    <r>
      <rPr>
        <sz val="10"/>
        <color theme="1"/>
        <rFont val="Calibri"/>
      </rPr>
      <t>yang dihasilkan di bidang Sains Data dan Informasi</t>
    </r>
  </si>
  <si>
    <r>
      <rPr>
        <sz val="10"/>
        <color theme="1"/>
        <rFont val="Calibri"/>
      </rPr>
      <t xml:space="preserve">Jumlah </t>
    </r>
    <r>
      <rPr>
        <sz val="10"/>
        <color rgb="FFFF0000"/>
        <rFont val="Calibri"/>
      </rPr>
      <t>kerjasam</t>
    </r>
    <r>
      <rPr>
        <sz val="10"/>
        <color theme="1"/>
        <rFont val="Calibri"/>
      </rPr>
      <t>a riset dan inovasi tingkat</t>
    </r>
    <r>
      <rPr>
        <sz val="10"/>
        <color rgb="FFFF0000"/>
        <rFont val="Calibri"/>
      </rPr>
      <t xml:space="preserve"> nasional</t>
    </r>
    <r>
      <rPr>
        <sz val="10"/>
        <color theme="1"/>
        <rFont val="Calibri"/>
      </rPr>
      <t xml:space="preserve"> yang dihasilkan di bidang Sains Data dan Informasi</t>
    </r>
  </si>
  <si>
    <r>
      <rPr>
        <sz val="10"/>
        <color theme="1"/>
        <rFont val="Calibri"/>
      </rPr>
      <t xml:space="preserve">Jumlah </t>
    </r>
    <r>
      <rPr>
        <sz val="10"/>
        <color rgb="FFFF0000"/>
        <rFont val="Calibri"/>
      </rPr>
      <t>SDM Iptek</t>
    </r>
    <r>
      <rPr>
        <sz val="10"/>
        <color theme="1"/>
        <rFont val="Calibri"/>
      </rPr>
      <t xml:space="preserve"> yang melanjutkan pendidikan ke jenjang S2 dan S3 </t>
    </r>
  </si>
  <si>
    <r>
      <rPr>
        <sz val="10"/>
        <color theme="1"/>
        <rFont val="Calibri"/>
      </rPr>
      <t xml:space="preserve">Jumlah peserta </t>
    </r>
    <r>
      <rPr>
        <sz val="10"/>
        <color rgb="FFFF0000"/>
        <rFont val="Calibri"/>
      </rPr>
      <t>Post Doctoral/Visiting Research</t>
    </r>
    <r>
      <rPr>
        <sz val="10"/>
        <color theme="1"/>
        <rFont val="Calibri"/>
      </rPr>
      <t xml:space="preserve"> </t>
    </r>
  </si>
  <si>
    <r>
      <rPr>
        <i/>
        <sz val="10"/>
        <color theme="1"/>
        <rFont val="Calibri"/>
      </rPr>
      <t>Jumlah peserta talenta riset dan inovasi dan sumber daya manusia yang ditingkatkan kompetensinya (</t>
    </r>
    <r>
      <rPr>
        <i/>
        <sz val="10"/>
        <color rgb="FFFF0000"/>
        <rFont val="Calibri"/>
      </rPr>
      <t>pelatihan internasional</t>
    </r>
    <r>
      <rPr>
        <i/>
        <sz val="10"/>
        <color theme="1"/>
        <rFont val="Calibri"/>
      </rPr>
      <t xml:space="preserve">)                                                          
                                                                                                                                                                                                        </t>
    </r>
  </si>
  <si>
    <r>
      <rPr>
        <sz val="10"/>
        <color theme="1"/>
        <rFont val="Calibri"/>
      </rPr>
      <t xml:space="preserve">Jumlah kerja sama riset dan inovasi </t>
    </r>
    <r>
      <rPr>
        <sz val="10"/>
        <color rgb="FFFF0000"/>
        <rFont val="Calibri"/>
      </rPr>
      <t>tingkat internasional</t>
    </r>
    <r>
      <rPr>
        <sz val="10"/>
        <color theme="1"/>
        <rFont val="Calibri"/>
      </rPr>
      <t xml:space="preserve"> yang 
dihasilkan di bidang Sains Data dan Informasi</t>
    </r>
  </si>
  <si>
    <r>
      <rPr>
        <sz val="10"/>
        <color theme="1"/>
        <rFont val="Calibri"/>
      </rPr>
      <t xml:space="preserve">Jumlah kerja sama riset dan inovasi </t>
    </r>
    <r>
      <rPr>
        <sz val="10"/>
        <color rgb="FFFF0000"/>
        <rFont val="Calibri"/>
      </rPr>
      <t xml:space="preserve">tingkat nasional </t>
    </r>
    <r>
      <rPr>
        <sz val="10"/>
        <color theme="1"/>
        <rFont val="Calibri"/>
      </rPr>
      <t>yang 
dihasilkan di bidang Sains Data dan Informasi</t>
    </r>
  </si>
  <si>
    <r>
      <rPr>
        <sz val="10"/>
        <color theme="1"/>
        <rFont val="Calibri"/>
      </rPr>
      <t>Jumlah SDM Iptek yang melanjutkan pendidikan ke jenjang</t>
    </r>
    <r>
      <rPr>
        <sz val="10"/>
        <color rgb="FFFF0000"/>
        <rFont val="Calibri"/>
      </rPr>
      <t xml:space="preserve"> S2 dan S3 </t>
    </r>
  </si>
  <si>
    <r>
      <rPr>
        <sz val="10"/>
        <color theme="1"/>
        <rFont val="Calibri"/>
      </rPr>
      <t xml:space="preserve">Jumlah peserta </t>
    </r>
    <r>
      <rPr>
        <sz val="10"/>
        <color rgb="FFFF0000"/>
        <rFont val="Calibri"/>
      </rPr>
      <t>Post Doctoral/Visiting Research</t>
    </r>
    <r>
      <rPr>
        <sz val="10"/>
        <color theme="1"/>
        <rFont val="Calibri"/>
      </rPr>
      <t xml:space="preserve"> </t>
    </r>
  </si>
  <si>
    <r>
      <rPr>
        <i/>
        <sz val="10"/>
        <color theme="1"/>
        <rFont val="Calibri"/>
      </rPr>
      <t>Jumlah peserta talenta riset dan inovasi dan sumber daya manusia yang ditingkatkan kompetensinya (</t>
    </r>
    <r>
      <rPr>
        <i/>
        <sz val="10"/>
        <color rgb="FFFF0000"/>
        <rFont val="Calibri"/>
      </rPr>
      <t>pelatihan internasional</t>
    </r>
    <r>
      <rPr>
        <i/>
        <sz val="10"/>
        <color theme="1"/>
        <rFont val="Calibri"/>
      </rPr>
      <t xml:space="preserve">)                                                          
                                                                                                                                                                                                        </t>
    </r>
  </si>
  <si>
    <r>
      <rPr>
        <sz val="10"/>
        <color theme="1"/>
        <rFont val="Calibri"/>
      </rPr>
      <t xml:space="preserve">Jumlah </t>
    </r>
    <r>
      <rPr>
        <sz val="10"/>
        <color rgb="FFFF0000"/>
        <rFont val="Calibri"/>
      </rPr>
      <t xml:space="preserve">kerja sama </t>
    </r>
    <r>
      <rPr>
        <sz val="10"/>
        <color theme="1"/>
        <rFont val="Calibri"/>
      </rPr>
      <t>riset dan inovasi tingkat</t>
    </r>
    <r>
      <rPr>
        <sz val="10"/>
        <color rgb="FFFF0000"/>
        <rFont val="Calibri"/>
      </rPr>
      <t xml:space="preserve"> internasional</t>
    </r>
    <r>
      <rPr>
        <sz val="10"/>
        <color theme="1"/>
        <rFont val="Calibri"/>
      </rPr>
      <t xml:space="preserve"> yang 
dihasilkan di bidang Sains Data dan Informasi</t>
    </r>
  </si>
  <si>
    <r>
      <rPr>
        <sz val="10"/>
        <color theme="1"/>
        <rFont val="Calibri"/>
      </rPr>
      <t>Jumlah</t>
    </r>
    <r>
      <rPr>
        <sz val="10"/>
        <color rgb="FFFF0000"/>
        <rFont val="Calibri"/>
      </rPr>
      <t xml:space="preserve"> kerja sama </t>
    </r>
    <r>
      <rPr>
        <sz val="10"/>
        <color theme="1"/>
        <rFont val="Calibri"/>
      </rPr>
      <t xml:space="preserve">riset dan inovasi tingkat </t>
    </r>
    <r>
      <rPr>
        <sz val="10"/>
        <color rgb="FFFF0000"/>
        <rFont val="Calibri"/>
      </rPr>
      <t xml:space="preserve">nasional </t>
    </r>
    <r>
      <rPr>
        <sz val="10"/>
        <color theme="1"/>
        <rFont val="Calibri"/>
      </rPr>
      <t>yang 
dihasilkan di bidang Sains Data dan Informasi</t>
    </r>
  </si>
  <si>
    <r>
      <rPr>
        <sz val="10"/>
        <color theme="1"/>
        <rFont val="Calibri"/>
      </rPr>
      <t xml:space="preserve">Jumlah peserta </t>
    </r>
    <r>
      <rPr>
        <sz val="10"/>
        <color rgb="FFFF0000"/>
        <rFont val="Calibri"/>
      </rPr>
      <t>Post Doctoral/Visiting Research</t>
    </r>
    <r>
      <rPr>
        <sz val="10"/>
        <color theme="1"/>
        <rFont val="Calibri"/>
      </rPr>
      <t xml:space="preserve"> </t>
    </r>
  </si>
  <si>
    <r>
      <rPr>
        <i/>
        <sz val="10"/>
        <color theme="1"/>
        <rFont val="Calibri"/>
      </rPr>
      <t>Jumlah peserta</t>
    </r>
    <r>
      <rPr>
        <i/>
        <sz val="10"/>
        <color rgb="FFFF0000"/>
        <rFont val="Calibri"/>
      </rPr>
      <t xml:space="preserve"> talenta riset </t>
    </r>
    <r>
      <rPr>
        <i/>
        <sz val="10"/>
        <color theme="1"/>
        <rFont val="Calibri"/>
      </rPr>
      <t>dan inovasi dan sumber daya manusia yang ditingkatkan kompetensinya (</t>
    </r>
    <r>
      <rPr>
        <i/>
        <sz val="10"/>
        <color rgb="FFFF0000"/>
        <rFont val="Calibri"/>
      </rPr>
      <t>pelatihan internasional</t>
    </r>
    <r>
      <rPr>
        <i/>
        <sz val="10"/>
        <color theme="1"/>
        <rFont val="Calibri"/>
      </rPr>
      <t xml:space="preserve">)                                                          
                                                                                                                                                                                                        </t>
    </r>
  </si>
  <si>
    <t>REALISASI CAPAIAN PERJANJIAN KINERJA</t>
  </si>
  <si>
    <t>KELOMPOK RISET - PUSAT RISET SAINS DATA INFORMASI</t>
  </si>
  <si>
    <t>TAHUN 2025</t>
  </si>
  <si>
    <t>PATEN</t>
  </si>
  <si>
    <t>HAK CIPTA</t>
  </si>
  <si>
    <t>DESAIN INDUSTRI</t>
  </si>
  <si>
    <t>PHROSIDING</t>
  </si>
  <si>
    <t>BUKU</t>
  </si>
  <si>
    <t>BAGIAN BUKU</t>
  </si>
  <si>
    <t>HARDWARE PROTOTYPE</t>
  </si>
  <si>
    <t>SOFTWARE PROTOTYPE</t>
  </si>
  <si>
    <t>DESAIN PROTOTYPE</t>
  </si>
  <si>
    <t>Selesai</t>
  </si>
  <si>
    <t>DALAM NEGERI</t>
  </si>
  <si>
    <t>LUAR NEGERI</t>
  </si>
  <si>
    <t>IN CASH</t>
  </si>
  <si>
    <t>IN KIND</t>
  </si>
  <si>
    <t>Kerjasama Internasional</t>
  </si>
  <si>
    <t>PNBP</t>
  </si>
  <si>
    <t>HIBAH</t>
  </si>
  <si>
    <t>MITRA/UNV</t>
  </si>
  <si>
    <t>POSTDOC</t>
  </si>
  <si>
    <t>VISITING RSRCH</t>
  </si>
  <si>
    <t>RIMM</t>
  </si>
  <si>
    <t>LISENSI</t>
  </si>
  <si>
    <t>Kerjasama Nasional</t>
  </si>
  <si>
    <t>IJIN BELAJAR</t>
  </si>
  <si>
    <t>Peserta Post Doc VR Talenta Riset</t>
  </si>
  <si>
    <t>POSTDOCTORAL</t>
  </si>
  <si>
    <t>PUBLIKASI</t>
  </si>
  <si>
    <t>Peserta Pelatihan Intrenasional</t>
  </si>
  <si>
    <t>,</t>
  </si>
  <si>
    <t>`</t>
  </si>
  <si>
    <t xml:space="preserve">  </t>
  </si>
  <si>
    <t>PR</t>
  </si>
  <si>
    <t>Capaian PR</t>
  </si>
  <si>
    <t>Capian KR</t>
  </si>
  <si>
    <t>Jenis Capaian</t>
  </si>
  <si>
    <t>Target Capain</t>
  </si>
  <si>
    <t>Jumlah Capaian</t>
  </si>
  <si>
    <t>Percentase Capaian</t>
  </si>
  <si>
    <t>Publikasi Internasional</t>
  </si>
  <si>
    <t>Postdoc/VR</t>
  </si>
  <si>
    <t>Kerjasama LN</t>
  </si>
  <si>
    <t>Kerjasama DN</t>
  </si>
  <si>
    <t>Talenta Riset</t>
  </si>
  <si>
    <t>Target PR</t>
  </si>
  <si>
    <t>Real PR</t>
  </si>
  <si>
    <t>Sitasi</t>
  </si>
  <si>
    <t>Publikasi Nasional</t>
  </si>
  <si>
    <t>Publikasi</t>
  </si>
  <si>
    <t>KR A</t>
  </si>
  <si>
    <t>Jenis PI</t>
  </si>
  <si>
    <t>Sertifikasi</t>
  </si>
  <si>
    <t>Licensi</t>
  </si>
  <si>
    <t>HARDWARE</t>
  </si>
  <si>
    <t>SOFTWARE</t>
  </si>
  <si>
    <t>DESAIGN</t>
  </si>
  <si>
    <t>Terdaftar</t>
  </si>
  <si>
    <t>MITRA/UNIVERSITAS</t>
  </si>
  <si>
    <t>SDM Iptek S2-S3</t>
  </si>
  <si>
    <t>IB</t>
  </si>
  <si>
    <t>TB</t>
  </si>
  <si>
    <t>Ijin Belajar</t>
  </si>
  <si>
    <t>Tugas Belajar</t>
  </si>
  <si>
    <t>SDM Iptek Postdoc/VR</t>
  </si>
  <si>
    <t>Progress Capaian</t>
  </si>
  <si>
    <t>STATUS KI :</t>
  </si>
  <si>
    <t>Draft</t>
  </si>
  <si>
    <t>JENIS KI :</t>
  </si>
  <si>
    <t>Terindex Scopus</t>
  </si>
  <si>
    <t>JENIS PI</t>
  </si>
  <si>
    <t>REPUTASI PI</t>
  </si>
  <si>
    <t>JENJANG PENDIDIKAN</t>
  </si>
  <si>
    <t>S1</t>
  </si>
  <si>
    <t>STATUS PI</t>
  </si>
  <si>
    <t>JENIS PWRP</t>
  </si>
  <si>
    <t>STATUS PWRP</t>
  </si>
  <si>
    <t>MITRA ?</t>
  </si>
  <si>
    <t>Hardware Prototype</t>
  </si>
  <si>
    <t>Desain Prototype</t>
  </si>
  <si>
    <t>Skala Uji Lapangan</t>
  </si>
  <si>
    <t>Reject</t>
  </si>
  <si>
    <t>Sumber Dana Eksternal</t>
  </si>
  <si>
    <t>Tipe Dana Eksternal</t>
  </si>
  <si>
    <t>Jenis Dana Eksternal</t>
  </si>
  <si>
    <t>Post Doc</t>
  </si>
  <si>
    <t>Mandiri</t>
  </si>
  <si>
    <t>Output Dana Eksternal</t>
  </si>
  <si>
    <t>Status SDM Iptek</t>
  </si>
  <si>
    <t>Jenjang SDM</t>
  </si>
  <si>
    <t>POSDOC/VR</t>
  </si>
  <si>
    <t>Pra Register</t>
  </si>
  <si>
    <t>PUBLIKASI INTERNASIONAL;</t>
  </si>
  <si>
    <t>Register</t>
  </si>
  <si>
    <t>ongoing S2</t>
  </si>
  <si>
    <t>ongoing S3</t>
  </si>
  <si>
    <t>Kelompok Riset</t>
  </si>
  <si>
    <t>Status Periode Stamp</t>
  </si>
  <si>
    <t>Status Kelris</t>
  </si>
  <si>
    <t>Siti Saleha</t>
  </si>
  <si>
    <t>Dian Isnaeni Nurul Afra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</si>
</sst>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mmmm&quot; &quot;d&quot;, &quot;yyyy"/>
    <numFmt numFmtId="165" formatCode="mmmm\ yyyy"/>
    <numFmt numFmtId="166" formatCode="[$Rp-421]#,##0"/>
    <numFmt numFmtId="167" formatCode="_-&quot;Rp&quot;* #,##0_-;\-&quot;Rp&quot;* #,##0_-;_-&quot;Rp&quot;* &quot;-&quot;_-;_-@"/>
    <numFmt numFmtId="168" formatCode="d\ mmmm\ yyyy"/>
    <numFmt numFmtId="169" formatCode="d\-m\-yyyy"/>
    <numFmt numFmtId="170" formatCode="d/m/yyyy"/>
    <numFmt numFmtId="171" formatCode="d\ mmm\ yyyy"/>
    <numFmt numFmtId="172" formatCode="[$Rp]#,##0"/>
  </numFmts>
  <fonts count="280">
    <font>
      <sz val="11"/>
      <color theme="1"/>
      <name val="Courier New"/>
      <scheme val="minor"/>
    </font>
    <font>
      <b/>
      <i/>
      <sz val="21"/>
      <color theme="1"/>
      <name val="Calibri"/>
    </font>
    <font>
      <b/>
      <sz val="21"/>
      <color theme="1"/>
      <name val="Calibri"/>
    </font>
    <font>
      <b/>
      <sz val="21"/>
      <color theme="1"/>
      <name val="Arial"/>
    </font>
    <font>
      <sz val="9"/>
      <color theme="1"/>
      <name val="Calibri"/>
    </font>
    <font>
      <b/>
      <sz val="11"/>
      <color theme="1"/>
      <name val="Calibri"/>
    </font>
    <font>
      <sz val="11"/>
      <name val="Courier New"/>
    </font>
    <font>
      <b/>
      <sz val="15"/>
      <color theme="1"/>
      <name val="Calibri"/>
    </font>
    <font>
      <b/>
      <sz val="14"/>
      <color theme="1"/>
      <name val="Calibri"/>
    </font>
    <font>
      <sz val="9"/>
      <color theme="1"/>
      <name val="Arial"/>
    </font>
    <font>
      <b/>
      <sz val="9"/>
      <color theme="1"/>
      <name val="Calibri"/>
    </font>
    <font>
      <b/>
      <sz val="9"/>
      <color theme="1"/>
      <name val="Arial"/>
    </font>
    <font>
      <sz val="10"/>
      <color rgb="FF000000"/>
      <name val="Calibri"/>
    </font>
    <font>
      <sz val="9"/>
      <color rgb="FF000000"/>
      <name val="Calibri"/>
    </font>
    <font>
      <sz val="9"/>
      <color rgb="FF000000"/>
      <name val="Arial"/>
    </font>
    <font>
      <u/>
      <sz val="9"/>
      <color rgb="FF0000FF"/>
      <name val="Calibri"/>
    </font>
    <font>
      <u/>
      <sz val="9"/>
      <color rgb="FF0000FF"/>
      <name val="Calibri"/>
    </font>
    <font>
      <u/>
      <sz val="9"/>
      <color rgb="FF0000FF"/>
      <name val="Calibri"/>
    </font>
    <font>
      <u/>
      <sz val="9"/>
      <color rgb="FF0000FF"/>
      <name val="Calibri"/>
    </font>
    <font>
      <sz val="9"/>
      <color rgb="FF1155CC"/>
      <name val="Calibri"/>
    </font>
    <font>
      <u/>
      <sz val="9"/>
      <color rgb="FF0000FF"/>
      <name val="Calibri"/>
    </font>
    <font>
      <u/>
      <sz val="9"/>
      <color rgb="FF0000FF"/>
      <name val="Calibri"/>
    </font>
    <font>
      <b/>
      <sz val="9"/>
      <color rgb="FF000000"/>
      <name val="Calibri"/>
    </font>
    <font>
      <u/>
      <sz val="9"/>
      <color rgb="FF0000FF"/>
      <name val="Calibri"/>
    </font>
    <font>
      <u/>
      <sz val="9"/>
      <color rgb="FF0000FF"/>
      <name val="Calibri"/>
    </font>
    <font>
      <sz val="11"/>
      <color theme="1"/>
      <name val="Courier New"/>
    </font>
    <font>
      <sz val="10"/>
      <color theme="1"/>
      <name val="Calibri"/>
    </font>
    <font>
      <u/>
      <sz val="9"/>
      <color theme="1"/>
      <name val="Calibri"/>
    </font>
    <font>
      <u/>
      <sz val="9"/>
      <color rgb="FF0000FF"/>
      <name val="Calibri"/>
    </font>
    <font>
      <u/>
      <sz val="9"/>
      <color theme="1"/>
      <name val="Calibri"/>
    </font>
    <font>
      <u/>
      <sz val="9"/>
      <color rgb="FF0000FF"/>
      <name val="Calibri"/>
    </font>
    <font>
      <u/>
      <sz val="9"/>
      <color rgb="FF0000FF"/>
      <name val="Calibri"/>
    </font>
    <font>
      <u/>
      <sz val="9"/>
      <color rgb="FF0000FF"/>
      <name val="Calibri"/>
    </font>
    <font>
      <sz val="10"/>
      <color theme="1"/>
      <name val="Arial"/>
    </font>
    <font>
      <u/>
      <sz val="9"/>
      <color theme="1"/>
      <name val="Calibri"/>
    </font>
    <font>
      <sz val="9"/>
      <color rgb="FF2E2E2E"/>
      <name val="Arial"/>
    </font>
    <font>
      <u/>
      <sz val="9"/>
      <color rgb="FF0000FF"/>
      <name val="Arial"/>
    </font>
    <font>
      <sz val="11"/>
      <color rgb="FF1155CC"/>
      <name val="Arial"/>
    </font>
    <font>
      <u/>
      <sz val="9"/>
      <color theme="1"/>
      <name val="Arial"/>
    </font>
    <font>
      <u/>
      <sz val="9"/>
      <color rgb="FF000000"/>
      <name val="Calibri"/>
    </font>
    <font>
      <b/>
      <u/>
      <sz val="9"/>
      <color rgb="FF0000FF"/>
      <name val="Calibri"/>
    </font>
    <font>
      <sz val="11"/>
      <color theme="1"/>
      <name val="Calibri"/>
    </font>
    <font>
      <b/>
      <u/>
      <sz val="9"/>
      <color rgb="FF0000FF"/>
      <name val="Calibri"/>
    </font>
    <font>
      <u/>
      <sz val="9"/>
      <color rgb="FF0000FF"/>
      <name val="Calibri"/>
    </font>
    <font>
      <b/>
      <u/>
      <sz val="9"/>
      <color theme="1"/>
      <name val="Calibri"/>
    </font>
    <font>
      <u/>
      <sz val="9"/>
      <color rgb="FF000000"/>
      <name val="Calibri"/>
    </font>
    <font>
      <u/>
      <sz val="9"/>
      <color theme="1"/>
      <name val="Calibri"/>
    </font>
    <font>
      <u/>
      <sz val="9"/>
      <color rgb="FF0000FF"/>
      <name val="Calibri"/>
    </font>
    <font>
      <u/>
      <sz val="9"/>
      <color rgb="FF0000FF"/>
      <name val="Calibri"/>
    </font>
    <font>
      <sz val="9"/>
      <color rgb="FF333333"/>
      <name val="Arial"/>
    </font>
    <font>
      <sz val="9"/>
      <color rgb="FF222222"/>
      <name val="Calibri"/>
    </font>
    <font>
      <u/>
      <sz val="9"/>
      <color rgb="FF0000FF"/>
      <name val="Calibri"/>
    </font>
    <font>
      <u/>
      <sz val="9"/>
      <color rgb="FF0000FF"/>
      <name val="Calibri"/>
    </font>
    <font>
      <u/>
      <sz val="9"/>
      <color rgb="FF0000FF"/>
      <name val="Calibri"/>
    </font>
    <font>
      <sz val="9"/>
      <color rgb="FF0000FF"/>
      <name val="Calibri"/>
    </font>
    <font>
      <u/>
      <sz val="9"/>
      <color rgb="FF0000FF"/>
      <name val="Calibri"/>
    </font>
    <font>
      <sz val="11"/>
      <color theme="1"/>
      <name val="Century Gothic"/>
    </font>
    <font>
      <u/>
      <sz val="9"/>
      <color rgb="FF0000FF"/>
      <name val="Calibri"/>
    </font>
    <font>
      <u/>
      <sz val="9"/>
      <color rgb="FF0000FF"/>
      <name val="Arial"/>
    </font>
    <font>
      <u/>
      <sz val="9"/>
      <color rgb="FF0000FF"/>
      <name val="Calibri"/>
    </font>
    <font>
      <sz val="9"/>
      <color rgb="FF0000FF"/>
      <name val="Arial"/>
    </font>
    <font>
      <u/>
      <sz val="9"/>
      <color theme="1"/>
      <name val="Calibri"/>
    </font>
    <font>
      <u/>
      <sz val="9"/>
      <color theme="1"/>
      <name val="Arial"/>
    </font>
    <font>
      <sz val="8"/>
      <color rgb="FF222222"/>
      <name val="Arial"/>
    </font>
    <font>
      <sz val="11"/>
      <color theme="1"/>
      <name val="Courier New"/>
      <scheme val="minor"/>
    </font>
    <font>
      <u/>
      <sz val="9"/>
      <color theme="1"/>
      <name val="Calibri"/>
    </font>
    <font>
      <u/>
      <sz val="9"/>
      <color theme="1"/>
      <name val="Calibri"/>
    </font>
    <font>
      <u/>
      <sz val="9"/>
      <color theme="1"/>
      <name val="Calibri"/>
    </font>
    <font>
      <sz val="11"/>
      <color rgb="FF1155CC"/>
      <name val="Century Gothic"/>
    </font>
    <font>
      <u/>
      <sz val="9"/>
      <color rgb="FF0000FF"/>
      <name val="Calibri"/>
    </font>
    <font>
      <sz val="9"/>
      <color rgb="FF0D0D0D"/>
      <name val="Calibri"/>
    </font>
    <font>
      <u/>
      <sz val="9"/>
      <color rgb="FF0000FF"/>
      <name val="Calibri"/>
    </font>
    <font>
      <sz val="9"/>
      <color rgb="FF0D0D0D"/>
      <name val="Arial"/>
    </font>
    <font>
      <sz val="11"/>
      <color rgb="FF222222"/>
      <name val="Arial"/>
    </font>
    <font>
      <sz val="11"/>
      <color theme="1"/>
      <name val="Arial"/>
    </font>
    <font>
      <u/>
      <sz val="9"/>
      <color rgb="FF0000FF"/>
      <name val="Calibri"/>
    </font>
    <font>
      <sz val="11"/>
      <color rgb="FF2E2E2E"/>
      <name val="Arial"/>
    </font>
    <font>
      <u/>
      <sz val="9"/>
      <color theme="1"/>
      <name val="Calibri"/>
    </font>
    <font>
      <u/>
      <sz val="9"/>
      <color rgb="FF0000FF"/>
      <name val="Calibri"/>
    </font>
    <font>
      <u/>
      <sz val="9"/>
      <color rgb="FF333333"/>
      <name val="Calibri"/>
    </font>
    <font>
      <u/>
      <sz val="9"/>
      <color theme="1"/>
      <name val="Calibri"/>
    </font>
    <font>
      <u/>
      <sz val="9"/>
      <color rgb="FF0000FF"/>
      <name val="Calibri"/>
    </font>
    <font>
      <u/>
      <sz val="9"/>
      <color theme="1"/>
      <name val="Calibri"/>
    </font>
    <font>
      <u/>
      <sz val="9"/>
      <color rgb="FF333333"/>
      <name val="Arial"/>
    </font>
    <font>
      <sz val="9"/>
      <color rgb="FF2D2D2D"/>
      <name val="Calibri"/>
    </font>
    <font>
      <u/>
      <sz val="9"/>
      <color rgb="FF0000FF"/>
      <name val="Calibri"/>
    </font>
    <font>
      <u/>
      <sz val="9"/>
      <color rgb="FF0000FF"/>
      <name val="Calibri"/>
    </font>
    <font>
      <sz val="11"/>
      <color theme="1"/>
      <name val="Arial"/>
    </font>
    <font>
      <u/>
      <sz val="9"/>
      <color rgb="FF000000"/>
      <name val="Calibri"/>
    </font>
    <font>
      <u/>
      <sz val="9"/>
      <color theme="1"/>
      <name val="Calibri"/>
    </font>
    <font>
      <u/>
      <sz val="9"/>
      <color theme="1"/>
      <name val="Calibri"/>
    </font>
    <font>
      <u/>
      <sz val="11"/>
      <color theme="1"/>
      <name val="Courier New"/>
    </font>
    <font>
      <u/>
      <sz val="9"/>
      <color theme="1"/>
      <name val="Calibri"/>
    </font>
    <font>
      <sz val="9"/>
      <color rgb="FF212529"/>
      <name val="Calibri"/>
    </font>
    <font>
      <u/>
      <sz val="9"/>
      <color theme="1"/>
      <name val="Calibri"/>
    </font>
    <font>
      <u/>
      <sz val="9"/>
      <color rgb="FF0000FF"/>
      <name val="Calibri"/>
    </font>
    <font>
      <u/>
      <sz val="9"/>
      <color rgb="FF0000FF"/>
      <name val="Calibri"/>
    </font>
    <font>
      <u/>
      <sz val="9"/>
      <color rgb="FF000000"/>
      <name val="Calibri"/>
    </font>
    <font>
      <u/>
      <sz val="9"/>
      <color rgb="FF0000FF"/>
      <name val="Calibri"/>
    </font>
    <font>
      <u/>
      <sz val="9"/>
      <color rgb="FF0000FF"/>
      <name val="Calibri"/>
    </font>
    <font>
      <u/>
      <sz val="9"/>
      <color rgb="FF0000FF"/>
      <name val="Calibri"/>
    </font>
    <font>
      <sz val="9"/>
      <color rgb="FF333333"/>
      <name val="Calibri"/>
    </font>
    <font>
      <u/>
      <sz val="9"/>
      <color rgb="FF0000FF"/>
      <name val="Calibri"/>
    </font>
    <font>
      <u/>
      <sz val="9"/>
      <color rgb="FF0000FF"/>
      <name val="Calibri"/>
    </font>
    <font>
      <u/>
      <sz val="9"/>
      <color rgb="FF0000FF"/>
      <name val="Calibri"/>
    </font>
    <font>
      <u/>
      <sz val="9"/>
      <color rgb="FF0000FF"/>
      <name val="Calibri"/>
    </font>
    <font>
      <u/>
      <sz val="9"/>
      <color rgb="FF000000"/>
      <name val="Calibri"/>
    </font>
    <font>
      <u/>
      <sz val="9"/>
      <color rgb="FF0000FF"/>
      <name val="Calibri"/>
    </font>
    <font>
      <u/>
      <sz val="9"/>
      <color theme="1"/>
      <name val="Calibri"/>
    </font>
    <font>
      <u/>
      <sz val="9"/>
      <color rgb="FF333333"/>
      <name val="Calibri"/>
    </font>
    <font>
      <u/>
      <sz val="9"/>
      <color rgb="FF333333"/>
      <name val="Arial"/>
    </font>
    <font>
      <u/>
      <sz val="9"/>
      <color rgb="FF0000FF"/>
      <name val="Calibri"/>
    </font>
    <font>
      <sz val="9"/>
      <color rgb="FF1F1F1F"/>
      <name val="Calibri"/>
    </font>
    <font>
      <u/>
      <sz val="9"/>
      <color rgb="FF000000"/>
      <name val="Calibri"/>
    </font>
    <font>
      <u/>
      <sz val="9"/>
      <color rgb="FF0000FF"/>
      <name val="Calibri"/>
    </font>
    <font>
      <u/>
      <sz val="9"/>
      <color theme="1"/>
      <name val="Arial"/>
    </font>
    <font>
      <u/>
      <sz val="9"/>
      <color rgb="FF1E1E1E"/>
      <name val="Calibri"/>
    </font>
    <font>
      <u/>
      <sz val="9"/>
      <color theme="1"/>
      <name val="Calibri"/>
    </font>
    <font>
      <b/>
      <u/>
      <sz val="11"/>
      <color rgb="FF0000FF"/>
      <name val="&quot;Courier New&quot;"/>
    </font>
    <font>
      <u/>
      <sz val="11"/>
      <color rgb="FF0000FF"/>
      <name val="Courier New"/>
    </font>
    <font>
      <b/>
      <sz val="10"/>
      <color theme="1"/>
      <name val="Calibri"/>
    </font>
    <font>
      <b/>
      <sz val="11"/>
      <color theme="1"/>
      <name val="Arial"/>
    </font>
    <font>
      <u/>
      <sz val="9"/>
      <color rgb="FF0000FF"/>
      <name val="Calibri"/>
    </font>
    <font>
      <sz val="13"/>
      <color theme="1"/>
      <name val="Calibri"/>
    </font>
    <font>
      <sz val="12"/>
      <color theme="1"/>
      <name val="Arial"/>
    </font>
    <font>
      <u/>
      <sz val="9"/>
      <color theme="1"/>
      <name val="Calibri"/>
    </font>
    <font>
      <sz val="8"/>
      <color theme="1"/>
      <name val="Calibri"/>
    </font>
    <font>
      <u/>
      <sz val="8"/>
      <color theme="1"/>
      <name val="Calibri"/>
    </font>
    <font>
      <b/>
      <sz val="11"/>
      <color theme="1"/>
      <name val="Courier New"/>
    </font>
    <font>
      <b/>
      <sz val="24"/>
      <color theme="1"/>
      <name val="Calibri"/>
    </font>
    <font>
      <b/>
      <sz val="31"/>
      <color theme="1"/>
      <name val="Calibri"/>
    </font>
    <font>
      <b/>
      <sz val="13"/>
      <color theme="1"/>
      <name val="Calibri"/>
    </font>
    <font>
      <u/>
      <sz val="9"/>
      <color rgb="FF0000FF"/>
      <name val="Calibri"/>
    </font>
    <font>
      <b/>
      <sz val="9"/>
      <color rgb="FFFF0000"/>
      <name val="Calibri"/>
    </font>
    <font>
      <b/>
      <sz val="9"/>
      <color rgb="FF000000"/>
      <name val="Arial"/>
    </font>
    <font>
      <sz val="9"/>
      <color rgb="FF000000"/>
      <name val="&quot;Courier New&quot;"/>
    </font>
    <font>
      <sz val="11"/>
      <color rgb="FFFF0000"/>
      <name val="Arial"/>
    </font>
    <font>
      <sz val="9"/>
      <color rgb="FFFF0000"/>
      <name val="Arial"/>
    </font>
    <font>
      <sz val="12"/>
      <color theme="1"/>
      <name val="Calibri"/>
    </font>
    <font>
      <u/>
      <sz val="9"/>
      <color rgb="FF0000FF"/>
      <name val="Arial"/>
    </font>
    <font>
      <sz val="11"/>
      <color rgb="FF000000"/>
      <name val="Arial"/>
    </font>
    <font>
      <sz val="9"/>
      <color rgb="FFFF0000"/>
      <name val="Calibri"/>
    </font>
    <font>
      <u/>
      <sz val="11"/>
      <color rgb="FF000000"/>
      <name val="Calibri"/>
    </font>
    <font>
      <sz val="11"/>
      <color rgb="FFFF0000"/>
      <name val="Calibri"/>
    </font>
    <font>
      <u/>
      <sz val="11"/>
      <color theme="1"/>
      <name val="Calibri"/>
    </font>
    <font>
      <u/>
      <sz val="11"/>
      <color rgb="FF0000FF"/>
      <name val="Calibri"/>
    </font>
    <font>
      <u/>
      <sz val="11"/>
      <color rgb="FF0000FF"/>
      <name val="Calibri"/>
    </font>
    <font>
      <u/>
      <sz val="9"/>
      <color theme="1"/>
      <name val="Calibri"/>
    </font>
    <font>
      <u/>
      <sz val="11"/>
      <color theme="1"/>
      <name val="Calibri"/>
    </font>
    <font>
      <u/>
      <sz val="11"/>
      <color theme="1"/>
      <name val="Calibri"/>
    </font>
    <font>
      <u/>
      <sz val="11"/>
      <color rgb="FF0000FF"/>
      <name val="Calibri"/>
    </font>
    <font>
      <sz val="9"/>
      <color theme="1"/>
      <name val="Courier New"/>
    </font>
    <font>
      <u/>
      <sz val="11"/>
      <color theme="1"/>
      <name val="Calibri"/>
    </font>
    <font>
      <u/>
      <sz val="11"/>
      <color theme="1"/>
      <name val="Calibri"/>
    </font>
    <font>
      <b/>
      <sz val="11"/>
      <color rgb="FF00FF00"/>
      <name val="Courier New"/>
    </font>
    <font>
      <u/>
      <sz val="11"/>
      <color rgb="FF0000FF"/>
      <name val="Calibri"/>
    </font>
    <font>
      <u/>
      <sz val="11"/>
      <color theme="1"/>
      <name val="Arial"/>
    </font>
    <font>
      <u/>
      <sz val="11"/>
      <color rgb="FF000000"/>
      <name val="Courier New"/>
    </font>
    <font>
      <u/>
      <sz val="11"/>
      <color theme="1"/>
      <name val="Courier New"/>
    </font>
    <font>
      <u/>
      <sz val="11"/>
      <color theme="1"/>
      <name val="Arial"/>
    </font>
    <font>
      <u/>
      <sz val="9"/>
      <color theme="1"/>
      <name val="Arial"/>
    </font>
    <font>
      <b/>
      <sz val="13"/>
      <color rgb="FFFF0000"/>
      <name val="Courier New"/>
    </font>
    <font>
      <sz val="11"/>
      <color rgb="FF000000"/>
      <name val="&quot;Courier New&quot;"/>
    </font>
    <font>
      <u/>
      <sz val="11"/>
      <color rgb="FF0000FF"/>
      <name val="Courier New"/>
    </font>
    <font>
      <sz val="9"/>
      <color rgb="FF495057"/>
      <name val="Calibri"/>
    </font>
    <font>
      <u/>
      <sz val="11"/>
      <color theme="1"/>
      <name val="Courier New"/>
    </font>
    <font>
      <u/>
      <sz val="11"/>
      <color rgb="FF0000FF"/>
      <name val="Courier New"/>
    </font>
    <font>
      <u/>
      <sz val="11"/>
      <color rgb="FF0000FF"/>
      <name val="Courier New"/>
    </font>
    <font>
      <u/>
      <sz val="11"/>
      <color theme="1"/>
      <name val="Courier New"/>
    </font>
    <font>
      <u/>
      <sz val="11"/>
      <color rgb="FF0000FF"/>
      <name val="Courier New"/>
    </font>
    <font>
      <sz val="9"/>
      <color theme="1"/>
      <name val="Courier New"/>
      <scheme val="minor"/>
    </font>
    <font>
      <u/>
      <sz val="9"/>
      <color theme="1"/>
      <name val="Calibri"/>
    </font>
    <font>
      <u/>
      <sz val="11"/>
      <color rgb="FF000000"/>
      <name val="Arial"/>
    </font>
    <font>
      <u/>
      <sz val="11"/>
      <color rgb="FF0000FF"/>
      <name val="Courier New"/>
    </font>
    <font>
      <b/>
      <sz val="12"/>
      <color theme="1"/>
      <name val="Calibri"/>
    </font>
    <font>
      <sz val="10"/>
      <color theme="1"/>
      <name val="Courier New"/>
    </font>
    <font>
      <u/>
      <sz val="10"/>
      <color rgb="FF000000"/>
      <name val="Arial"/>
    </font>
    <font>
      <b/>
      <sz val="10"/>
      <color rgb="FF000000"/>
      <name val="Calibri"/>
    </font>
    <font>
      <u/>
      <sz val="10"/>
      <color theme="1"/>
      <name val="Arial"/>
    </font>
    <font>
      <b/>
      <sz val="12"/>
      <color rgb="FFFF0000"/>
      <name val="Calibri"/>
    </font>
    <font>
      <u/>
      <sz val="11"/>
      <color theme="1"/>
      <name val="Calibri"/>
    </font>
    <font>
      <u/>
      <sz val="10"/>
      <color rgb="FF0000FF"/>
      <name val="Arial"/>
    </font>
    <font>
      <u/>
      <sz val="10"/>
      <color rgb="FF000000"/>
      <name val="Arial"/>
    </font>
    <font>
      <sz val="11"/>
      <color rgb="FFFF0000"/>
      <name val="Courier New"/>
    </font>
    <font>
      <u/>
      <sz val="11"/>
      <color theme="1"/>
      <name val="Calibri"/>
    </font>
    <font>
      <u/>
      <sz val="10"/>
      <color rgb="FF000000"/>
      <name val="Calibri"/>
    </font>
    <font>
      <u/>
      <sz val="10"/>
      <color rgb="FF0000FF"/>
      <name val="Calibri"/>
    </font>
    <font>
      <b/>
      <sz val="10"/>
      <color theme="1"/>
      <name val="Arial"/>
    </font>
    <font>
      <sz val="11"/>
      <color rgb="FF0000FF"/>
      <name val="Calibri"/>
    </font>
    <font>
      <u/>
      <sz val="11"/>
      <color rgb="FF0000FF"/>
      <name val="Calibri"/>
    </font>
    <font>
      <u/>
      <sz val="11"/>
      <color theme="1"/>
      <name val="Calibri"/>
    </font>
    <font>
      <sz val="18"/>
      <color theme="1"/>
      <name val="Calibri"/>
    </font>
    <font>
      <u/>
      <sz val="11"/>
      <color rgb="FF0000FF"/>
      <name val="Calibri"/>
    </font>
    <font>
      <u/>
      <sz val="13"/>
      <color theme="1"/>
      <name val="Calibri"/>
    </font>
    <font>
      <u/>
      <sz val="11"/>
      <color rgb="FF0000FF"/>
      <name val="Calibri"/>
    </font>
    <font>
      <u/>
      <sz val="11"/>
      <color rgb="FF000000"/>
      <name val="Calibri"/>
    </font>
    <font>
      <u/>
      <sz val="11"/>
      <color rgb="FF000000"/>
      <name val="Calibri"/>
    </font>
    <font>
      <b/>
      <sz val="32"/>
      <color rgb="FF000000"/>
      <name val="Calibri"/>
    </font>
    <font>
      <b/>
      <sz val="10"/>
      <color rgb="FFFF0000"/>
      <name val="Calibri"/>
    </font>
    <font>
      <sz val="9"/>
      <color rgb="FF555555"/>
      <name val="Calibri"/>
    </font>
    <font>
      <u/>
      <sz val="9"/>
      <color rgb="FF0000FF"/>
      <name val="Calibri"/>
    </font>
    <font>
      <sz val="12"/>
      <color rgb="FF000000"/>
      <name val="Calibri"/>
    </font>
    <font>
      <u/>
      <sz val="9"/>
      <color theme="10"/>
      <name val="Calibri"/>
    </font>
    <font>
      <sz val="7"/>
      <color theme="1"/>
      <name val="Arial"/>
    </font>
    <font>
      <sz val="11"/>
      <color theme="1"/>
      <name val="ArialMT"/>
    </font>
    <font>
      <sz val="10"/>
      <color rgb="FF555555"/>
      <name val="Calibri"/>
    </font>
    <font>
      <sz val="8"/>
      <color rgb="FF000000"/>
      <name val="Poppins"/>
    </font>
    <font>
      <i/>
      <sz val="9"/>
      <color rgb="FF555555"/>
      <name val="Calibri"/>
    </font>
    <font>
      <u/>
      <sz val="9"/>
      <color theme="1"/>
      <name val="Calibri"/>
    </font>
    <font>
      <sz val="10"/>
      <color rgb="FFFF0000"/>
      <name val="Calibri"/>
    </font>
    <font>
      <u/>
      <sz val="9"/>
      <color rgb="FF000000"/>
      <name val="Calibri"/>
    </font>
    <font>
      <sz val="11"/>
      <color theme="1"/>
      <name val="Calibri"/>
    </font>
    <font>
      <u/>
      <sz val="9"/>
      <color rgb="FF000000"/>
      <name val="Calibri"/>
    </font>
    <font>
      <u/>
      <sz val="9"/>
      <color theme="1"/>
      <name val="Calibri"/>
    </font>
    <font>
      <sz val="9"/>
      <color rgb="FF020817"/>
      <name val="__GeistSans_3a0388"/>
    </font>
    <font>
      <sz val="9"/>
      <color rgb="FF020817"/>
      <name val="Calibri"/>
    </font>
    <font>
      <u/>
      <sz val="9"/>
      <color theme="1"/>
      <name val="Calibri"/>
    </font>
    <font>
      <sz val="9"/>
      <color rgb="FF1F1F1F"/>
      <name val="Arial"/>
    </font>
    <font>
      <b/>
      <sz val="8"/>
      <color rgb="FF555555"/>
      <name val="Calibri"/>
    </font>
    <font>
      <sz val="8"/>
      <color rgb="FF555555"/>
      <name val="Calibri"/>
    </font>
    <font>
      <b/>
      <sz val="9"/>
      <color rgb="FF2D3748"/>
      <name val="Inter"/>
    </font>
    <font>
      <b/>
      <sz val="9"/>
      <color theme="1"/>
      <name val="Courier New"/>
    </font>
    <font>
      <sz val="11"/>
      <color rgb="FF555555"/>
      <name val="Calibri"/>
    </font>
    <font>
      <sz val="9"/>
      <color theme="1"/>
      <name val="Poppins"/>
    </font>
    <font>
      <u/>
      <sz val="9"/>
      <color rgb="FF0000FF"/>
      <name val="Calibri"/>
    </font>
    <font>
      <u/>
      <sz val="9"/>
      <color rgb="FF0000FF"/>
      <name val="Calibri"/>
    </font>
    <font>
      <u/>
      <sz val="9"/>
      <color rgb="FF0000FF"/>
      <name val="Calibri"/>
    </font>
    <font>
      <u/>
      <sz val="9"/>
      <color rgb="FF0000FF"/>
      <name val="Calibri"/>
    </font>
    <font>
      <u/>
      <sz val="9"/>
      <color theme="1"/>
      <name val="Arial"/>
    </font>
    <font>
      <sz val="9"/>
      <color theme="1"/>
      <name val="Sans-serif"/>
    </font>
    <font>
      <u/>
      <sz val="9"/>
      <color theme="1"/>
      <name val="Courier New"/>
    </font>
    <font>
      <sz val="9"/>
      <color theme="1"/>
      <name val="Palatino Linotype"/>
    </font>
    <font>
      <u/>
      <sz val="11"/>
      <color theme="1"/>
      <name val="Courier New"/>
    </font>
    <font>
      <u/>
      <sz val="14"/>
      <color theme="1"/>
      <name val="Arial"/>
    </font>
    <font>
      <u/>
      <sz val="11"/>
      <color theme="1"/>
      <name val="Arial"/>
    </font>
    <font>
      <sz val="10"/>
      <color theme="1"/>
      <name val="Helvetica Neue"/>
    </font>
    <font>
      <u/>
      <sz val="9"/>
      <color theme="1"/>
      <name val="Arial"/>
    </font>
    <font>
      <sz val="11"/>
      <color rgb="FF000000"/>
      <name val="Calibri"/>
    </font>
    <font>
      <sz val="12"/>
      <color theme="1"/>
      <name val="Cambria"/>
    </font>
    <font>
      <b/>
      <sz val="12"/>
      <color theme="1"/>
      <name val="Courier New"/>
    </font>
    <font>
      <b/>
      <sz val="20"/>
      <color theme="1"/>
      <name val="Calibri"/>
    </font>
    <font>
      <u/>
      <sz val="11"/>
      <color rgb="FF0000FF"/>
      <name val="Calibri"/>
    </font>
    <font>
      <sz val="11"/>
      <color rgb="FF000000"/>
      <name val="&quot;Aptos Narrow&quot;"/>
    </font>
    <font>
      <u/>
      <sz val="11"/>
      <color rgb="FF0000FF"/>
      <name val="Calibri"/>
    </font>
    <font>
      <sz val="11"/>
      <color rgb="FF333333"/>
      <name val="Calibri"/>
    </font>
    <font>
      <u/>
      <sz val="11"/>
      <color rgb="FF000000"/>
      <name val="Calibri"/>
    </font>
    <font>
      <u/>
      <sz val="11"/>
      <color rgb="FF0000FF"/>
      <name val="Arial"/>
    </font>
    <font>
      <sz val="11"/>
      <color rgb="FFFFFFFF"/>
      <name val="Calibri"/>
    </font>
    <font>
      <u/>
      <sz val="11"/>
      <color rgb="FF0000FF"/>
      <name val="Calibri"/>
    </font>
    <font>
      <u/>
      <sz val="11"/>
      <color rgb="FF000000"/>
      <name val="Calibri"/>
    </font>
    <font>
      <u/>
      <sz val="11"/>
      <color rgb="FF000000"/>
      <name val="Calibri"/>
    </font>
    <font>
      <u/>
      <sz val="11"/>
      <color rgb="FF0000FF"/>
      <name val="Calibri"/>
    </font>
    <font>
      <u/>
      <sz val="11"/>
      <color rgb="FF0000FF"/>
      <name val="Calibri"/>
    </font>
    <font>
      <u/>
      <sz val="11"/>
      <color theme="1"/>
      <name val="Calibri"/>
    </font>
    <font>
      <u/>
      <sz val="11"/>
      <color rgb="FF0000FF"/>
      <name val="Calibri"/>
    </font>
    <font>
      <u/>
      <sz val="11"/>
      <color rgb="FF0000FF"/>
      <name val="Calibri"/>
    </font>
    <font>
      <u/>
      <sz val="11"/>
      <color rgb="FF0000FF"/>
      <name val="Calibri"/>
    </font>
    <font>
      <b/>
      <sz val="1"/>
      <color theme="1"/>
      <name val="Pacifico"/>
    </font>
    <font>
      <sz val="10"/>
      <color rgb="FF000000"/>
      <name val="Arial"/>
    </font>
    <font>
      <i/>
      <sz val="10"/>
      <color theme="1"/>
      <name val="Calibri"/>
    </font>
    <font>
      <i/>
      <sz val="11"/>
      <color theme="1"/>
      <name val="Calibri"/>
    </font>
    <font>
      <b/>
      <i/>
      <sz val="9"/>
      <color rgb="FF000000"/>
      <name val="Arial"/>
    </font>
    <font>
      <i/>
      <sz val="11"/>
      <color theme="1"/>
      <name val="Courier New"/>
    </font>
    <font>
      <b/>
      <i/>
      <sz val="14"/>
      <color theme="1"/>
      <name val="Calibri"/>
    </font>
    <font>
      <b/>
      <i/>
      <sz val="11"/>
      <color theme="1"/>
      <name val="Calibri"/>
    </font>
    <font>
      <sz val="1"/>
      <color theme="1"/>
      <name val="Pacifico"/>
    </font>
    <font>
      <b/>
      <sz val="11"/>
      <color theme="1"/>
      <name val="Courier New"/>
      <scheme val="minor"/>
    </font>
    <font>
      <sz val="1"/>
      <color rgb="FF000000"/>
      <name val="Pacifico"/>
    </font>
    <font>
      <sz val="9"/>
      <color rgb="FFF7981D"/>
      <name val="Google Sans Mono"/>
    </font>
    <font>
      <sz val="12"/>
      <color rgb="FFD1D5DB"/>
      <name val="Söhne"/>
    </font>
    <font>
      <u/>
      <sz val="9"/>
      <color rgb="FF1155CC"/>
      <name val="Calibri"/>
    </font>
    <font>
      <u/>
      <sz val="9"/>
      <color rgb="FF1155CC"/>
      <name val="Arial"/>
    </font>
    <font>
      <b/>
      <u/>
      <sz val="11"/>
      <color rgb="FF1155CC"/>
      <name val="&quot;Courier New&quot;"/>
    </font>
    <font>
      <sz val="9"/>
      <name val="Arial"/>
    </font>
    <font>
      <sz val="9"/>
      <color rgb="FFFF0000"/>
      <name val="Courier New"/>
    </font>
    <font>
      <b/>
      <i/>
      <sz val="11"/>
      <color rgb="FF000000"/>
      <name val="Calibri"/>
    </font>
    <font>
      <u/>
      <sz val="11"/>
      <color rgb="FF1155CC"/>
      <name val="Calibri, sans-serif"/>
    </font>
    <font>
      <sz val="10"/>
      <color rgb="FF0000FF"/>
      <name val="Calibri"/>
    </font>
    <font>
      <i/>
      <sz val="10"/>
      <color rgb="FF0000FF"/>
      <name val="Calibri"/>
    </font>
    <font>
      <i/>
      <sz val="10"/>
      <color rgb="FFFF0000"/>
      <name val="Calibri"/>
    </font>
  </fonts>
  <fills count="34">
    <fill>
      <patternFill patternType="none"/>
    </fill>
    <fill>
      <patternFill patternType="gray125"/>
    </fill>
    <fill>
      <patternFill patternType="solid">
        <fgColor rgb="FFF3F3F3"/>
        <bgColor rgb="FFF3F3F3"/>
      </patternFill>
    </fill>
    <fill>
      <patternFill patternType="solid">
        <fgColor rgb="FF92CDDC"/>
        <bgColor rgb="FF92CDDC"/>
      </patternFill>
    </fill>
    <fill>
      <patternFill patternType="solid">
        <fgColor rgb="FFFFFF00"/>
        <bgColor rgb="FFFFFF00"/>
      </patternFill>
    </fill>
    <fill>
      <patternFill patternType="solid">
        <fgColor rgb="FF000000"/>
        <bgColor rgb="FF000000"/>
      </patternFill>
    </fill>
    <fill>
      <patternFill patternType="solid">
        <fgColor rgb="FFFFFFFF"/>
        <bgColor rgb="FFFFFFFF"/>
      </patternFill>
    </fill>
    <fill>
      <patternFill patternType="solid">
        <fgColor rgb="FF00FF00"/>
        <bgColor rgb="FF00FF00"/>
      </patternFill>
    </fill>
    <fill>
      <patternFill patternType="solid">
        <fgColor rgb="FF93C47D"/>
        <bgColor rgb="FF93C47D"/>
      </patternFill>
    </fill>
    <fill>
      <patternFill patternType="solid">
        <fgColor rgb="FFB7E1CD"/>
        <bgColor rgb="FFB7E1CD"/>
      </patternFill>
    </fill>
    <fill>
      <patternFill patternType="solid">
        <fgColor rgb="FFF2F2F2"/>
        <bgColor rgb="FFF2F2F2"/>
      </patternFill>
    </fill>
    <fill>
      <patternFill patternType="solid">
        <fgColor theme="0"/>
        <bgColor theme="0"/>
      </patternFill>
    </fill>
    <fill>
      <patternFill patternType="solid">
        <fgColor rgb="FFFF0000"/>
        <bgColor rgb="FFFF0000"/>
      </patternFill>
    </fill>
    <fill>
      <patternFill patternType="solid">
        <fgColor rgb="FFEFEFEF"/>
        <bgColor rgb="FFEFEFEF"/>
      </patternFill>
    </fill>
    <fill>
      <patternFill patternType="solid">
        <fgColor rgb="FFF5F8FA"/>
        <bgColor rgb="FFF5F8FA"/>
      </patternFill>
    </fill>
    <fill>
      <patternFill patternType="solid">
        <fgColor rgb="FFCFE2F3"/>
        <bgColor rgb="FFCFE2F3"/>
      </patternFill>
    </fill>
    <fill>
      <patternFill patternType="solid">
        <fgColor rgb="FFF9F9F9"/>
        <bgColor rgb="FFF9F9F9"/>
      </patternFill>
    </fill>
    <fill>
      <patternFill patternType="solid">
        <fgColor rgb="FFFCE5CD"/>
        <bgColor rgb="FFFCE5C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46BDC6"/>
        <bgColor rgb="FF46BDC6"/>
      </patternFill>
    </fill>
    <fill>
      <patternFill patternType="solid">
        <fgColor rgb="FFCCCCCC"/>
        <bgColor rgb="FFCCCCCC"/>
      </patternFill>
    </fill>
    <fill>
      <patternFill patternType="solid">
        <fgColor rgb="FFD0E0E3"/>
        <bgColor rgb="FFD0E0E3"/>
      </patternFill>
    </fill>
    <fill>
      <patternFill patternType="solid">
        <fgColor rgb="FFB6DDE8"/>
        <bgColor rgb="FFB6DDE8"/>
      </patternFill>
    </fill>
    <fill>
      <patternFill patternType="solid">
        <fgColor rgb="FFFF9900"/>
        <bgColor rgb="FFFF9900"/>
      </patternFill>
    </fill>
    <fill>
      <patternFill patternType="solid">
        <fgColor rgb="FFF2DBDB"/>
        <bgColor rgb="FFF2DBDB"/>
      </patternFill>
    </fill>
    <fill>
      <patternFill patternType="solid">
        <fgColor rgb="FFDBE5F1"/>
        <bgColor rgb="FFDBE5F1"/>
      </patternFill>
    </fill>
    <fill>
      <patternFill patternType="solid">
        <fgColor rgb="FFEAF1DD"/>
        <bgColor rgb="FFEAF1DD"/>
      </patternFill>
    </fill>
    <fill>
      <patternFill patternType="solid">
        <fgColor rgb="FFE6B8AF"/>
        <bgColor rgb="FFE6B8AF"/>
      </patternFill>
    </fill>
    <fill>
      <patternFill patternType="solid">
        <fgColor rgb="FF00FFFF"/>
        <bgColor rgb="FF00FFFF"/>
      </patternFill>
    </fill>
    <fill>
      <patternFill patternType="solid">
        <fgColor rgb="FFE06666"/>
        <bgColor rgb="FFE06666"/>
      </patternFill>
    </fill>
    <fill>
      <patternFill patternType="solid">
        <fgColor rgb="FFFFE599"/>
        <bgColor rgb="FFFFE599"/>
      </patternFill>
    </fill>
  </fills>
  <borders count="146">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double">
        <color rgb="FF000000"/>
      </top>
      <bottom style="double">
        <color rgb="FF000000"/>
      </bottom>
      <diagonal/>
    </border>
    <border>
      <left/>
      <right/>
      <top style="double">
        <color rgb="FF000000"/>
      </top>
      <bottom style="double">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double">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double">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right/>
      <top/>
      <bottom/>
      <diagonal/>
    </border>
    <border>
      <left style="thin">
        <color rgb="FF000000"/>
      </left>
      <right style="thick">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style="thick">
        <color rgb="FF000000"/>
      </top>
      <bottom style="thick">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top style="double">
        <color rgb="FF000000"/>
      </top>
      <bottom style="double">
        <color rgb="FF000000"/>
      </bottom>
      <diagonal/>
    </border>
    <border>
      <left/>
      <right/>
      <top style="double">
        <color rgb="FF000000"/>
      </top>
      <bottom style="double">
        <color rgb="FF000000"/>
      </bottom>
      <diagonal/>
    </border>
    <border>
      <left style="double">
        <color rgb="FF000000"/>
      </left>
      <right style="thin">
        <color rgb="FF000000"/>
      </right>
      <top style="double">
        <color rgb="FF000000"/>
      </top>
      <bottom/>
      <diagonal/>
    </border>
    <border>
      <left/>
      <right style="thin">
        <color rgb="FF000000"/>
      </right>
      <top style="double">
        <color rgb="FF000000"/>
      </top>
      <bottom/>
      <diagonal/>
    </border>
    <border>
      <left/>
      <right style="thin">
        <color rgb="FF000000"/>
      </right>
      <top style="double">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double">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double">
        <color rgb="FF000000"/>
      </right>
      <top style="double">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double">
        <color rgb="FF000000"/>
      </right>
      <top/>
      <bottom/>
      <diagonal/>
    </border>
    <border>
      <left/>
      <right style="thin">
        <color rgb="FF000000"/>
      </right>
      <top style="thin">
        <color rgb="FF000000"/>
      </top>
      <bottom/>
      <diagonal/>
    </border>
    <border>
      <left/>
      <right style="double">
        <color rgb="FF000000"/>
      </right>
      <top style="thin">
        <color rgb="FF000000"/>
      </top>
      <bottom/>
      <diagonal/>
    </border>
    <border>
      <left/>
      <right style="double">
        <color rgb="FF000000"/>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double">
        <color rgb="FF000000"/>
      </bottom>
      <diagonal/>
    </border>
    <border>
      <left/>
      <right/>
      <top style="thin">
        <color rgb="FF000000"/>
      </top>
      <bottom style="double">
        <color rgb="FF000000"/>
      </bottom>
      <diagonal/>
    </border>
    <border>
      <left/>
      <right style="double">
        <color rgb="FF000000"/>
      </right>
      <top style="thin">
        <color rgb="FF000000"/>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diagonal/>
    </border>
    <border>
      <left/>
      <right style="double">
        <color rgb="FF000000"/>
      </right>
      <top/>
      <bottom style="double">
        <color rgb="FF000000"/>
      </bottom>
      <diagonal/>
    </border>
    <border>
      <left/>
      <right style="thin">
        <color rgb="FF000000"/>
      </right>
      <top style="thin">
        <color rgb="FF000000"/>
      </top>
      <bottom style="double">
        <color rgb="FF000000"/>
      </bottom>
      <diagonal/>
    </border>
    <border>
      <left/>
      <right style="double">
        <color rgb="FF000000"/>
      </right>
      <top style="thin">
        <color rgb="FF000000"/>
      </top>
      <bottom style="double">
        <color rgb="FF000000"/>
      </bottom>
      <diagonal/>
    </border>
    <border>
      <left/>
      <right style="thin">
        <color rgb="FF000000"/>
      </right>
      <top style="double">
        <color rgb="FF000000"/>
      </top>
      <bottom style="double">
        <color rgb="FF000000"/>
      </bottom>
      <diagonal/>
    </border>
    <border>
      <left style="double">
        <color rgb="FF000000"/>
      </left>
      <right style="thin">
        <color rgb="FF000000"/>
      </right>
      <top style="double">
        <color rgb="FF000000"/>
      </top>
      <bottom style="double">
        <color rgb="FF000000"/>
      </bottom>
      <diagonal/>
    </border>
    <border>
      <left/>
      <right style="thin">
        <color rgb="FF000000"/>
      </right>
      <top style="double">
        <color rgb="FF000000"/>
      </top>
      <bottom style="double">
        <color rgb="FF000000"/>
      </bottom>
      <diagonal/>
    </border>
    <border>
      <left/>
      <right style="double">
        <color rgb="FF000000"/>
      </right>
      <top style="double">
        <color rgb="FF000000"/>
      </top>
      <bottom style="double">
        <color rgb="FF000000"/>
      </bottom>
      <diagonal/>
    </border>
    <border>
      <left/>
      <right style="thin">
        <color rgb="FF000000"/>
      </right>
      <top style="double">
        <color rgb="FF000000"/>
      </top>
      <bottom style="thin">
        <color rgb="FF000000"/>
      </bottom>
      <diagonal/>
    </border>
    <border>
      <left style="double">
        <color rgb="FF000000"/>
      </left>
      <right style="thin">
        <color rgb="FF000000"/>
      </right>
      <top style="thin">
        <color rgb="FF000000"/>
      </top>
      <bottom style="medium">
        <color rgb="FF000000"/>
      </bottom>
      <diagonal/>
    </border>
    <border>
      <left/>
      <right style="thin">
        <color rgb="FF000000"/>
      </right>
      <top/>
      <bottom style="double">
        <color rgb="FF000000"/>
      </bottom>
      <diagonal/>
    </border>
    <border>
      <left style="thin">
        <color rgb="FF000000"/>
      </left>
      <right/>
      <top style="double">
        <color rgb="FF000000"/>
      </top>
      <bottom style="thin">
        <color rgb="FF000000"/>
      </bottom>
      <diagonal/>
    </border>
    <border>
      <left/>
      <right/>
      <top style="thin">
        <color rgb="FF000000"/>
      </top>
      <bottom/>
      <diagonal/>
    </border>
    <border>
      <left style="thin">
        <color rgb="FF000000"/>
      </left>
      <right/>
      <top style="double">
        <color rgb="FF000000"/>
      </top>
      <bottom style="double">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double">
        <color rgb="FF000000"/>
      </bottom>
      <diagonal/>
    </border>
    <border>
      <left style="thin">
        <color rgb="FF000000"/>
      </left>
      <right style="double">
        <color rgb="FF000000"/>
      </right>
      <top/>
      <bottom style="double">
        <color rgb="FF000000"/>
      </bottom>
      <diagonal/>
    </border>
    <border>
      <left/>
      <right/>
      <top/>
      <bottom style="double">
        <color rgb="FF000000"/>
      </bottom>
      <diagonal/>
    </border>
    <border>
      <left style="double">
        <color rgb="FF000000"/>
      </left>
      <right style="double">
        <color rgb="FF000000"/>
      </right>
      <top/>
      <bottom style="double">
        <color rgb="FF000000"/>
      </bottom>
      <diagonal/>
    </border>
    <border>
      <left/>
      <right/>
      <top style="double">
        <color rgb="FF000000"/>
      </top>
      <bottom style="thin">
        <color rgb="FF000000"/>
      </bottom>
      <diagonal/>
    </border>
    <border>
      <left style="double">
        <color rgb="FF000000"/>
      </left>
      <right/>
      <top style="double">
        <color rgb="FF000000"/>
      </top>
      <bottom/>
      <diagonal/>
    </border>
    <border>
      <left/>
      <right style="thin">
        <color rgb="FF000000"/>
      </right>
      <top style="double">
        <color rgb="FF000000"/>
      </top>
      <bottom/>
      <diagonal/>
    </border>
    <border>
      <left/>
      <right style="double">
        <color rgb="FF000000"/>
      </right>
      <top style="double">
        <color rgb="FF000000"/>
      </top>
      <bottom style="thin">
        <color rgb="FF000000"/>
      </bottom>
      <diagonal/>
    </border>
    <border>
      <left style="double">
        <color rgb="FF000000"/>
      </left>
      <right/>
      <top style="double">
        <color rgb="FF000000"/>
      </top>
      <bottom style="thin">
        <color rgb="FF000000"/>
      </bottom>
      <diagonal/>
    </border>
    <border>
      <left style="double">
        <color rgb="FF000000"/>
      </left>
      <right/>
      <top/>
      <bottom style="double">
        <color rgb="FF000000"/>
      </bottom>
      <diagonal/>
    </border>
    <border>
      <left style="thin">
        <color rgb="FF000000"/>
      </left>
      <right style="thin">
        <color rgb="FF000000"/>
      </right>
      <top/>
      <bottom style="double">
        <color rgb="FF000000"/>
      </bottom>
      <diagonal/>
    </border>
    <border>
      <left style="thin">
        <color rgb="FF000000"/>
      </left>
      <right style="double">
        <color rgb="FF000000"/>
      </right>
      <top style="thin">
        <color rgb="FF000000"/>
      </top>
      <bottom style="double">
        <color rgb="FF000000"/>
      </bottom>
      <diagonal/>
    </border>
    <border>
      <left style="double">
        <color rgb="FF000000"/>
      </left>
      <right style="thin">
        <color rgb="FF000000"/>
      </right>
      <top style="thin">
        <color rgb="FF000000"/>
      </top>
      <bottom style="double">
        <color rgb="FF000000"/>
      </bottom>
      <diagonal/>
    </border>
    <border>
      <left style="double">
        <color rgb="FF000000"/>
      </left>
      <right/>
      <top/>
      <bottom style="thin">
        <color rgb="FF000000"/>
      </bottom>
      <diagonal/>
    </border>
    <border>
      <left style="thin">
        <color rgb="FF000000"/>
      </left>
      <right/>
      <top/>
      <bottom style="thin">
        <color rgb="FF000000"/>
      </bottom>
      <diagonal/>
    </border>
    <border>
      <left/>
      <right style="double">
        <color rgb="FF000000"/>
      </right>
      <top style="double">
        <color rgb="FF000000"/>
      </top>
      <bottom style="double">
        <color rgb="FF000000"/>
      </bottom>
      <diagonal/>
    </border>
    <border>
      <left style="double">
        <color rgb="FF000000"/>
      </left>
      <right/>
      <top style="thin">
        <color rgb="FF000000"/>
      </top>
      <bottom style="thin">
        <color rgb="FF000000"/>
      </bottom>
      <diagonal/>
    </border>
    <border>
      <left style="double">
        <color rgb="FF000000"/>
      </left>
      <right/>
      <top style="thin">
        <color rgb="FF000000"/>
      </top>
      <bottom style="double">
        <color rgb="FF000000"/>
      </bottom>
      <diagonal/>
    </border>
    <border>
      <left/>
      <right/>
      <top style="thin">
        <color rgb="FF000000"/>
      </top>
      <bottom style="double">
        <color rgb="FF000000"/>
      </bottom>
      <diagonal/>
    </border>
    <border>
      <left/>
      <right style="double">
        <color rgb="FF000000"/>
      </right>
      <top/>
      <bottom/>
      <diagonal/>
    </border>
    <border>
      <left style="medium">
        <color rgb="FFC0C0C0"/>
      </left>
      <right style="medium">
        <color rgb="FFC0C0C0"/>
      </right>
      <top/>
      <bottom style="medium">
        <color rgb="FFC0C0C0"/>
      </bottom>
      <diagonal/>
    </border>
    <border>
      <left style="medium">
        <color rgb="FFC0C0C0"/>
      </left>
      <right style="medium">
        <color rgb="FFC0C0C0"/>
      </right>
      <top style="medium">
        <color rgb="FFC0C0C0"/>
      </top>
      <bottom style="medium">
        <color rgb="FFC0C0C0"/>
      </bottom>
      <diagonal/>
    </border>
    <border>
      <left/>
      <right style="thin">
        <color rgb="FF000000"/>
      </right>
      <top/>
      <bottom/>
      <diagonal/>
    </border>
    <border>
      <left style="double">
        <color rgb="FF000000"/>
      </left>
      <right style="thin">
        <color rgb="FF000000"/>
      </right>
      <top style="double">
        <color rgb="FF000000"/>
      </top>
      <bottom/>
      <diagonal/>
    </border>
    <border>
      <left/>
      <right/>
      <top style="thin">
        <color rgb="FF000000"/>
      </top>
      <bottom/>
      <diagonal/>
    </border>
    <border>
      <left style="thin">
        <color rgb="FF000000"/>
      </left>
      <right style="double">
        <color rgb="FF000000"/>
      </right>
      <top style="double">
        <color rgb="FF000000"/>
      </top>
      <bottom/>
      <diagonal/>
    </border>
    <border>
      <left style="double">
        <color rgb="FF000000"/>
      </left>
      <right style="thin">
        <color rgb="FF000000"/>
      </right>
      <top/>
      <bottom/>
      <diagonal/>
    </border>
    <border>
      <left/>
      <right/>
      <top/>
      <bottom/>
      <diagonal/>
    </border>
    <border>
      <left style="thin">
        <color rgb="FF000000"/>
      </left>
      <right style="double">
        <color rgb="FF000000"/>
      </right>
      <top/>
      <bottom/>
      <diagonal/>
    </border>
    <border>
      <left/>
      <right/>
      <top/>
      <bottom/>
      <diagonal/>
    </border>
    <border>
      <left style="thin">
        <color rgb="FF000000"/>
      </left>
      <right style="thin">
        <color rgb="FF000000"/>
      </right>
      <top/>
      <bottom style="dotted">
        <color rgb="FF000000"/>
      </bottom>
      <diagonal/>
    </border>
    <border>
      <left/>
      <right style="thin">
        <color rgb="FF000000"/>
      </right>
      <top/>
      <bottom style="dotted">
        <color rgb="FF000000"/>
      </bottom>
      <diagonal/>
    </border>
    <border>
      <left style="thin">
        <color rgb="FF000000"/>
      </left>
      <right style="double">
        <color rgb="FF000000"/>
      </right>
      <top/>
      <bottom style="dotted">
        <color rgb="FF000000"/>
      </bottom>
      <diagonal/>
    </border>
    <border>
      <left style="thin">
        <color rgb="FF000000"/>
      </left>
      <right style="double">
        <color rgb="FF000000"/>
      </right>
      <top/>
      <bottom/>
      <diagonal/>
    </border>
    <border>
      <left style="double">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double">
        <color rgb="FF000000"/>
      </right>
      <top/>
      <bottom style="medium">
        <color rgb="FF000000"/>
      </bottom>
      <diagonal/>
    </border>
    <border>
      <left style="double">
        <color rgb="FF000000"/>
      </left>
      <right style="thin">
        <color rgb="FF000000"/>
      </right>
      <top/>
      <bottom style="double">
        <color rgb="FF000000"/>
      </bottom>
      <diagonal/>
    </border>
    <border>
      <left style="thin">
        <color rgb="FF000000"/>
      </left>
      <right style="double">
        <color rgb="FF000000"/>
      </right>
      <top/>
      <bottom style="double">
        <color rgb="FF000000"/>
      </bottom>
      <diagonal/>
    </border>
    <border>
      <left style="double">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double">
        <color rgb="FF000000"/>
      </right>
      <top/>
      <bottom style="thick">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s>
  <cellStyleXfs count="1">
    <xf numFmtId="0" fontId="0" fillId="0" borderId="0"/>
  </cellStyleXfs>
  <cellXfs count="1354">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8" fillId="3" borderId="7" xfId="0" applyFont="1" applyFill="1" applyBorder="1" applyAlignment="1">
      <alignment horizontal="center" vertical="top" wrapText="1"/>
    </xf>
    <xf numFmtId="0" fontId="9" fillId="0" borderId="0" xfId="0" applyFont="1" applyAlignment="1">
      <alignment vertical="top" wrapText="1"/>
    </xf>
    <xf numFmtId="0" fontId="10" fillId="2" borderId="11" xfId="0" applyFont="1" applyFill="1" applyBorder="1" applyAlignment="1">
      <alignment horizontal="center" vertical="top" wrapText="1"/>
    </xf>
    <xf numFmtId="0" fontId="10" fillId="0" borderId="0" xfId="0" applyFont="1" applyAlignment="1">
      <alignment horizontal="center" vertical="top" wrapText="1"/>
    </xf>
    <xf numFmtId="0" fontId="11" fillId="0" borderId="0" xfId="0" applyFont="1" applyAlignment="1">
      <alignment horizontal="center" vertical="top" wrapText="1"/>
    </xf>
    <xf numFmtId="0" fontId="10" fillId="2" borderId="12" xfId="0" applyFont="1" applyFill="1" applyBorder="1" applyAlignment="1">
      <alignment horizontal="center" vertical="top" wrapText="1"/>
    </xf>
    <xf numFmtId="0" fontId="10" fillId="3" borderId="12" xfId="0" applyFont="1" applyFill="1" applyBorder="1" applyAlignment="1">
      <alignment horizontal="center" vertical="top" wrapText="1"/>
    </xf>
    <xf numFmtId="0" fontId="10" fillId="4" borderId="13" xfId="0" applyFont="1" applyFill="1" applyBorder="1" applyAlignment="1">
      <alignment horizontal="center" vertical="top" wrapText="1"/>
    </xf>
    <xf numFmtId="0" fontId="4" fillId="0" borderId="0" xfId="0" applyFont="1" applyAlignment="1">
      <alignment horizontal="center" vertical="top" wrapText="1"/>
    </xf>
    <xf numFmtId="0" fontId="10" fillId="2" borderId="14" xfId="0" applyFont="1" applyFill="1" applyBorder="1" applyAlignment="1">
      <alignment horizontal="center" vertical="top" wrapText="1"/>
    </xf>
    <xf numFmtId="164" fontId="10" fillId="2" borderId="15" xfId="0" applyNumberFormat="1" applyFont="1" applyFill="1" applyBorder="1" applyAlignment="1">
      <alignment vertical="top" wrapText="1"/>
    </xf>
    <xf numFmtId="0" fontId="10" fillId="5" borderId="15" xfId="0" applyFont="1" applyFill="1" applyBorder="1" applyAlignment="1">
      <alignment horizontal="center" vertical="top" wrapText="1"/>
    </xf>
    <xf numFmtId="0" fontId="4" fillId="0" borderId="16" xfId="0" applyFont="1" applyBorder="1" applyAlignment="1">
      <alignment horizontal="left" vertical="top" wrapText="1"/>
    </xf>
    <xf numFmtId="0" fontId="12" fillId="6" borderId="17" xfId="0" applyFont="1" applyFill="1" applyBorder="1" applyAlignment="1">
      <alignment vertical="top" wrapText="1"/>
    </xf>
    <xf numFmtId="0" fontId="9" fillId="6" borderId="18" xfId="0" applyFont="1" applyFill="1" applyBorder="1" applyAlignment="1">
      <alignment vertical="top" wrapText="1"/>
    </xf>
    <xf numFmtId="0" fontId="13" fillId="6" borderId="19" xfId="0" applyFont="1" applyFill="1" applyBorder="1" applyAlignment="1">
      <alignment vertical="top"/>
    </xf>
    <xf numFmtId="0" fontId="13" fillId="6" borderId="20" xfId="0" applyFont="1" applyFill="1" applyBorder="1" applyAlignment="1">
      <alignment vertical="top"/>
    </xf>
    <xf numFmtId="0" fontId="4" fillId="6" borderId="19" xfId="0" applyFont="1" applyFill="1" applyBorder="1" applyAlignment="1">
      <alignment vertical="top" wrapText="1"/>
    </xf>
    <xf numFmtId="0" fontId="13" fillId="6" borderId="19" xfId="0" applyFont="1" applyFill="1" applyBorder="1" applyAlignment="1">
      <alignment vertical="top" wrapText="1"/>
    </xf>
    <xf numFmtId="0" fontId="14" fillId="6" borderId="20" xfId="0" applyFont="1" applyFill="1" applyBorder="1" applyAlignment="1">
      <alignment vertical="top"/>
    </xf>
    <xf numFmtId="0" fontId="15" fillId="2" borderId="19" xfId="0" applyFont="1" applyFill="1" applyBorder="1" applyAlignment="1">
      <alignment horizontal="center" vertical="top" wrapText="1"/>
    </xf>
    <xf numFmtId="0" fontId="16" fillId="0" borderId="19" xfId="0" applyFont="1" applyBorder="1" applyAlignment="1">
      <alignment vertical="top" wrapText="1"/>
    </xf>
    <xf numFmtId="0" fontId="17" fillId="0" borderId="20" xfId="0" applyFont="1" applyBorder="1" applyAlignment="1">
      <alignment vertical="top" wrapText="1"/>
    </xf>
    <xf numFmtId="0" fontId="13" fillId="6" borderId="21" xfId="0" applyFont="1" applyFill="1" applyBorder="1" applyAlignment="1">
      <alignment vertical="top" wrapText="1"/>
    </xf>
    <xf numFmtId="0" fontId="4" fillId="6" borderId="17" xfId="0" applyFont="1" applyFill="1" applyBorder="1" applyAlignment="1">
      <alignment vertical="top" wrapText="1"/>
    </xf>
    <xf numFmtId="0" fontId="18" fillId="6" borderId="19" xfId="0" applyFont="1" applyFill="1" applyBorder="1" applyAlignment="1">
      <alignment vertical="top" wrapText="1"/>
    </xf>
    <xf numFmtId="0" fontId="19" fillId="0" borderId="0" xfId="0" applyFont="1" applyAlignment="1">
      <alignment vertical="top" wrapText="1"/>
    </xf>
    <xf numFmtId="0" fontId="10" fillId="2" borderId="22" xfId="0" applyFont="1" applyFill="1" applyBorder="1" applyAlignment="1">
      <alignment horizontal="center" vertical="top" wrapText="1"/>
    </xf>
    <xf numFmtId="164" fontId="10" fillId="2" borderId="23" xfId="0" applyNumberFormat="1" applyFont="1" applyFill="1" applyBorder="1" applyAlignment="1">
      <alignment vertical="top"/>
    </xf>
    <xf numFmtId="0" fontId="10" fillId="0" borderId="15" xfId="0" applyFont="1" applyBorder="1" applyAlignment="1">
      <alignment horizontal="center" vertical="top" wrapText="1"/>
    </xf>
    <xf numFmtId="0" fontId="4" fillId="0" borderId="19" xfId="0" applyFont="1" applyBorder="1" applyAlignment="1">
      <alignment vertical="top" wrapText="1"/>
    </xf>
    <xf numFmtId="0" fontId="12" fillId="6" borderId="23" xfId="0" applyFont="1" applyFill="1" applyBorder="1" applyAlignment="1">
      <alignment vertical="top" wrapText="1"/>
    </xf>
    <xf numFmtId="0" fontId="9" fillId="7" borderId="15" xfId="0" applyFont="1" applyFill="1" applyBorder="1" applyAlignment="1">
      <alignment vertical="top" wrapText="1"/>
    </xf>
    <xf numFmtId="0" fontId="13" fillId="6" borderId="23" xfId="0" applyFont="1" applyFill="1" applyBorder="1" applyAlignment="1">
      <alignment vertical="top"/>
    </xf>
    <xf numFmtId="0" fontId="13" fillId="6" borderId="24" xfId="0" applyFont="1" applyFill="1" applyBorder="1" applyAlignment="1">
      <alignment vertical="top"/>
    </xf>
    <xf numFmtId="0" fontId="13" fillId="6" borderId="23" xfId="0" applyFont="1" applyFill="1" applyBorder="1" applyAlignment="1">
      <alignment vertical="top" wrapText="1"/>
    </xf>
    <xf numFmtId="0" fontId="14" fillId="6" borderId="24" xfId="0" applyFont="1" applyFill="1" applyBorder="1" applyAlignment="1">
      <alignment vertical="top"/>
    </xf>
    <xf numFmtId="0" fontId="20" fillId="0" borderId="23" xfId="0" applyFont="1" applyBorder="1" applyAlignment="1">
      <alignment vertical="top" wrapText="1"/>
    </xf>
    <xf numFmtId="0" fontId="21" fillId="0" borderId="24" xfId="0" applyFont="1" applyBorder="1" applyAlignment="1">
      <alignment vertical="top" wrapText="1"/>
    </xf>
    <xf numFmtId="0" fontId="22" fillId="6" borderId="21" xfId="0" applyFont="1" applyFill="1" applyBorder="1" applyAlignment="1">
      <alignment vertical="top" wrapText="1"/>
    </xf>
    <xf numFmtId="0" fontId="4" fillId="6" borderId="23" xfId="0" applyFont="1" applyFill="1" applyBorder="1" applyAlignment="1">
      <alignment vertical="top" wrapText="1"/>
    </xf>
    <xf numFmtId="0" fontId="4" fillId="0" borderId="16" xfId="0" applyFont="1" applyBorder="1" applyAlignment="1">
      <alignment vertical="top" wrapText="1"/>
    </xf>
    <xf numFmtId="0" fontId="4" fillId="0" borderId="24" xfId="0" applyFont="1" applyBorder="1" applyAlignment="1">
      <alignment vertical="top" wrapText="1"/>
    </xf>
    <xf numFmtId="0" fontId="9" fillId="7" borderId="19" xfId="0" applyFont="1" applyFill="1" applyBorder="1" applyAlignment="1">
      <alignment vertical="top" wrapText="1"/>
    </xf>
    <xf numFmtId="0" fontId="23" fillId="6" borderId="24" xfId="0" applyFont="1" applyFill="1" applyBorder="1" applyAlignment="1">
      <alignment vertical="top" wrapText="1"/>
    </xf>
    <xf numFmtId="0" fontId="9" fillId="6" borderId="25" xfId="0" applyFont="1" applyFill="1" applyBorder="1" applyAlignment="1">
      <alignment vertical="top" wrapText="1"/>
    </xf>
    <xf numFmtId="0" fontId="9" fillId="6" borderId="15" xfId="0" applyFont="1" applyFill="1" applyBorder="1" applyAlignment="1">
      <alignment vertical="top" wrapText="1"/>
    </xf>
    <xf numFmtId="0" fontId="24" fillId="0" borderId="24" xfId="0" applyFont="1" applyBorder="1" applyAlignment="1">
      <alignment vertical="top" wrapText="1"/>
    </xf>
    <xf numFmtId="0" fontId="25" fillId="6" borderId="19" xfId="0" applyFont="1" applyFill="1" applyBorder="1" applyAlignment="1">
      <alignment vertical="top" wrapText="1"/>
    </xf>
    <xf numFmtId="0" fontId="26" fillId="0" borderId="16" xfId="0" applyFont="1" applyBorder="1" applyAlignment="1">
      <alignment vertical="top" wrapText="1"/>
    </xf>
    <xf numFmtId="0" fontId="27" fillId="6" borderId="19" xfId="0" applyFont="1" applyFill="1" applyBorder="1" applyAlignment="1">
      <alignment vertical="top" wrapText="1"/>
    </xf>
    <xf numFmtId="0" fontId="28" fillId="6" borderId="19" xfId="0" applyFont="1" applyFill="1" applyBorder="1" applyAlignment="1">
      <alignment vertical="top" wrapText="1"/>
    </xf>
    <xf numFmtId="0" fontId="4" fillId="6" borderId="26" xfId="0" applyFont="1" applyFill="1" applyBorder="1" applyAlignment="1">
      <alignment vertical="top" wrapText="1"/>
    </xf>
    <xf numFmtId="0" fontId="4" fillId="0" borderId="0" xfId="0" applyFont="1" applyAlignment="1">
      <alignment vertical="top"/>
    </xf>
    <xf numFmtId="0" fontId="9" fillId="6" borderId="19" xfId="0" applyFont="1" applyFill="1" applyBorder="1" applyAlignment="1">
      <alignment vertical="top" wrapText="1"/>
    </xf>
    <xf numFmtId="0" fontId="29" fillId="6" borderId="19" xfId="0" applyFont="1" applyFill="1" applyBorder="1" applyAlignment="1">
      <alignment vertical="top" wrapText="1"/>
    </xf>
    <xf numFmtId="0" fontId="30" fillId="6" borderId="27" xfId="0" applyFont="1" applyFill="1" applyBorder="1" applyAlignment="1">
      <alignment vertical="top" wrapText="1"/>
    </xf>
    <xf numFmtId="0" fontId="10" fillId="6" borderId="26" xfId="0" applyFont="1" applyFill="1" applyBorder="1" applyAlignment="1">
      <alignment vertical="top" wrapText="1"/>
    </xf>
    <xf numFmtId="0" fontId="31" fillId="6" borderId="0" xfId="0" applyFont="1" applyFill="1" applyAlignment="1">
      <alignment vertical="top" wrapText="1"/>
    </xf>
    <xf numFmtId="0" fontId="4" fillId="2" borderId="19" xfId="0" applyFont="1" applyFill="1" applyBorder="1" applyAlignment="1">
      <alignment vertical="top" wrapText="1"/>
    </xf>
    <xf numFmtId="0" fontId="26" fillId="6" borderId="23" xfId="0" applyFont="1" applyFill="1" applyBorder="1" applyAlignment="1">
      <alignment vertical="top" wrapText="1"/>
    </xf>
    <xf numFmtId="0" fontId="32" fillId="6" borderId="19" xfId="0" applyFont="1" applyFill="1" applyBorder="1" applyAlignment="1">
      <alignment vertical="top" wrapText="1"/>
    </xf>
    <xf numFmtId="0" fontId="10" fillId="2" borderId="15" xfId="0" applyFont="1" applyFill="1" applyBorder="1" applyAlignment="1">
      <alignment horizontal="center" vertical="top" wrapText="1"/>
    </xf>
    <xf numFmtId="0" fontId="12" fillId="0" borderId="23" xfId="0" applyFont="1" applyBorder="1" applyAlignment="1">
      <alignment vertical="top" wrapText="1"/>
    </xf>
    <xf numFmtId="0" fontId="33" fillId="6" borderId="16" xfId="0" applyFont="1" applyFill="1" applyBorder="1" applyAlignment="1">
      <alignment vertical="top" wrapText="1"/>
    </xf>
    <xf numFmtId="0" fontId="34" fillId="6" borderId="19" xfId="0" applyFont="1" applyFill="1" applyBorder="1" applyAlignment="1">
      <alignment vertical="top" wrapText="1"/>
    </xf>
    <xf numFmtId="0" fontId="35" fillId="6" borderId="0" xfId="0" applyFont="1" applyFill="1" applyAlignment="1">
      <alignment vertical="top"/>
    </xf>
    <xf numFmtId="0" fontId="4" fillId="0" borderId="26" xfId="0" applyFont="1" applyBorder="1" applyAlignment="1">
      <alignment vertical="top" wrapText="1"/>
    </xf>
    <xf numFmtId="0" fontId="36" fillId="0" borderId="0" xfId="0" applyFont="1" applyAlignment="1">
      <alignment vertical="top"/>
    </xf>
    <xf numFmtId="0" fontId="37" fillId="0" borderId="0" xfId="0" applyFont="1" applyAlignment="1">
      <alignment vertical="top"/>
    </xf>
    <xf numFmtId="0" fontId="26" fillId="6" borderId="16" xfId="0" applyFont="1" applyFill="1" applyBorder="1" applyAlignment="1">
      <alignment vertical="top" wrapText="1"/>
    </xf>
    <xf numFmtId="0" fontId="38" fillId="0" borderId="0" xfId="0" applyFont="1" applyAlignment="1">
      <alignment vertical="top"/>
    </xf>
    <xf numFmtId="0" fontId="39" fillId="6" borderId="19" xfId="0" applyFont="1" applyFill="1" applyBorder="1" applyAlignment="1">
      <alignment vertical="top" wrapText="1"/>
    </xf>
    <xf numFmtId="0" fontId="40" fillId="6" borderId="19" xfId="0" applyFont="1" applyFill="1" applyBorder="1" applyAlignment="1">
      <alignment vertical="top" wrapText="1"/>
    </xf>
    <xf numFmtId="0" fontId="12" fillId="0" borderId="16" xfId="0" applyFont="1" applyBorder="1" applyAlignment="1">
      <alignment vertical="top" wrapText="1"/>
    </xf>
    <xf numFmtId="0" fontId="41" fillId="6" borderId="16" xfId="0" applyFont="1" applyFill="1" applyBorder="1" applyAlignment="1">
      <alignment vertical="top" wrapText="1"/>
    </xf>
    <xf numFmtId="0" fontId="42" fillId="6" borderId="19" xfId="0" applyFont="1" applyFill="1" applyBorder="1" applyAlignment="1">
      <alignment vertical="top" wrapText="1"/>
    </xf>
    <xf numFmtId="0" fontId="4" fillId="6" borderId="0" xfId="0" applyFont="1" applyFill="1" applyAlignment="1">
      <alignment vertical="top" wrapText="1"/>
    </xf>
    <xf numFmtId="0" fontId="43" fillId="6" borderId="26" xfId="0" applyFont="1" applyFill="1" applyBorder="1" applyAlignment="1">
      <alignment vertical="top" wrapText="1"/>
    </xf>
    <xf numFmtId="0" fontId="4" fillId="6" borderId="28" xfId="0" applyFont="1" applyFill="1" applyBorder="1" applyAlignment="1">
      <alignment vertical="top" wrapText="1"/>
    </xf>
    <xf numFmtId="0" fontId="44" fillId="6" borderId="26" xfId="0" applyFont="1" applyFill="1" applyBorder="1" applyAlignment="1">
      <alignment vertical="top" wrapText="1"/>
    </xf>
    <xf numFmtId="0" fontId="10" fillId="5" borderId="29" xfId="0" applyFont="1" applyFill="1" applyBorder="1" applyAlignment="1">
      <alignment horizontal="center" vertical="top" wrapText="1"/>
    </xf>
    <xf numFmtId="0" fontId="10" fillId="8" borderId="19" xfId="0" applyFont="1" applyFill="1" applyBorder="1" applyAlignment="1">
      <alignment vertical="top" wrapText="1"/>
    </xf>
    <xf numFmtId="0" fontId="45" fillId="6" borderId="19" xfId="0" applyFont="1" applyFill="1" applyBorder="1" applyAlignment="1">
      <alignment vertical="top" wrapText="1"/>
    </xf>
    <xf numFmtId="0" fontId="46" fillId="6" borderId="19" xfId="0" applyFont="1" applyFill="1" applyBorder="1" applyAlignment="1">
      <alignment vertical="top" wrapText="1"/>
    </xf>
    <xf numFmtId="0" fontId="47" fillId="0" borderId="0" xfId="0" applyFont="1" applyAlignment="1">
      <alignment vertical="top" wrapText="1"/>
    </xf>
    <xf numFmtId="0" fontId="48" fillId="6" borderId="27" xfId="0" applyFont="1" applyFill="1" applyBorder="1" applyAlignment="1">
      <alignment horizontal="left" vertical="top" wrapText="1"/>
    </xf>
    <xf numFmtId="0" fontId="49" fillId="6" borderId="0" xfId="0" applyFont="1" applyFill="1" applyAlignment="1">
      <alignment vertical="top" wrapText="1"/>
    </xf>
    <xf numFmtId="0" fontId="50" fillId="6" borderId="19" xfId="0" applyFont="1" applyFill="1" applyBorder="1" applyAlignment="1">
      <alignment vertical="top" wrapText="1"/>
    </xf>
    <xf numFmtId="0" fontId="51" fillId="6" borderId="27" xfId="0" applyFont="1" applyFill="1" applyBorder="1" applyAlignment="1">
      <alignment horizontal="left" vertical="top" wrapText="1"/>
    </xf>
    <xf numFmtId="0" fontId="11" fillId="8" borderId="19" xfId="0" applyFont="1" applyFill="1" applyBorder="1" applyAlignment="1">
      <alignment vertical="top" wrapText="1"/>
    </xf>
    <xf numFmtId="0" fontId="52" fillId="9" borderId="19" xfId="0" applyFont="1" applyFill="1" applyBorder="1" applyAlignment="1">
      <alignment vertical="top" wrapText="1"/>
    </xf>
    <xf numFmtId="0" fontId="10" fillId="10" borderId="22" xfId="0" applyFont="1" applyFill="1" applyBorder="1" applyAlignment="1">
      <alignment horizontal="center" vertical="top" wrapText="1"/>
    </xf>
    <xf numFmtId="0" fontId="10" fillId="10" borderId="15" xfId="0" applyFont="1" applyFill="1" applyBorder="1" applyAlignment="1">
      <alignment horizontal="center" vertical="top" wrapText="1"/>
    </xf>
    <xf numFmtId="0" fontId="4" fillId="10" borderId="19" xfId="0" applyFont="1" applyFill="1" applyBorder="1" applyAlignment="1">
      <alignment vertical="top" wrapText="1"/>
    </xf>
    <xf numFmtId="0" fontId="13" fillId="0" borderId="19" xfId="0" applyFont="1" applyBorder="1" applyAlignment="1">
      <alignment vertical="top" wrapText="1"/>
    </xf>
    <xf numFmtId="0" fontId="9" fillId="0" borderId="19" xfId="0" applyFont="1" applyBorder="1" applyAlignment="1">
      <alignment vertical="top" wrapText="1"/>
    </xf>
    <xf numFmtId="0" fontId="13" fillId="0" borderId="0" xfId="0" applyFont="1" applyAlignment="1">
      <alignment horizontal="left" vertical="top" wrapText="1"/>
    </xf>
    <xf numFmtId="0" fontId="53" fillId="0" borderId="19" xfId="0" applyFont="1" applyBorder="1" applyAlignment="1">
      <alignment vertical="top" wrapText="1"/>
    </xf>
    <xf numFmtId="0" fontId="10" fillId="0" borderId="26" xfId="0" applyFont="1" applyBorder="1" applyAlignment="1">
      <alignment vertical="top" wrapText="1"/>
    </xf>
    <xf numFmtId="0" fontId="4" fillId="2" borderId="27" xfId="0" applyFont="1" applyFill="1" applyBorder="1" applyAlignment="1">
      <alignment vertical="top" wrapText="1"/>
    </xf>
    <xf numFmtId="0" fontId="10" fillId="7" borderId="29" xfId="0" applyFont="1" applyFill="1" applyBorder="1" applyAlignment="1">
      <alignment horizontal="center" vertical="top" wrapText="1"/>
    </xf>
    <xf numFmtId="0" fontId="14" fillId="6" borderId="19" xfId="0" applyFont="1" applyFill="1" applyBorder="1" applyAlignment="1">
      <alignment vertical="top" wrapText="1"/>
    </xf>
    <xf numFmtId="0" fontId="54" fillId="6" borderId="19" xfId="0" applyFont="1" applyFill="1" applyBorder="1" applyAlignment="1">
      <alignment vertical="top" wrapText="1"/>
    </xf>
    <xf numFmtId="0" fontId="55" fillId="6" borderId="30" xfId="0" applyFont="1" applyFill="1" applyBorder="1" applyAlignment="1">
      <alignment vertical="top" wrapText="1"/>
    </xf>
    <xf numFmtId="0" fontId="56" fillId="0" borderId="0" xfId="0" applyFont="1" applyAlignment="1">
      <alignment vertical="top"/>
    </xf>
    <xf numFmtId="0" fontId="57" fillId="0" borderId="0" xfId="0" applyFont="1" applyAlignment="1">
      <alignment vertical="top" wrapText="1"/>
    </xf>
    <xf numFmtId="0" fontId="14" fillId="0" borderId="0" xfId="0" applyFont="1" applyAlignment="1">
      <alignment vertical="top" wrapText="1"/>
    </xf>
    <xf numFmtId="0" fontId="4" fillId="6" borderId="20" xfId="0" applyFont="1" applyFill="1" applyBorder="1" applyAlignment="1">
      <alignment vertical="top" wrapText="1"/>
    </xf>
    <xf numFmtId="0" fontId="58" fillId="6" borderId="19" xfId="0" applyFont="1" applyFill="1" applyBorder="1" applyAlignment="1">
      <alignment vertical="top"/>
    </xf>
    <xf numFmtId="0" fontId="14" fillId="0" borderId="19" xfId="0" applyFont="1" applyBorder="1" applyAlignment="1">
      <alignment vertical="top" wrapText="1"/>
    </xf>
    <xf numFmtId="0" fontId="13" fillId="6" borderId="0" xfId="0" applyFont="1" applyFill="1" applyAlignment="1">
      <alignment vertical="top" wrapText="1"/>
    </xf>
    <xf numFmtId="0" fontId="4" fillId="6" borderId="30" xfId="0" applyFont="1" applyFill="1" applyBorder="1" applyAlignment="1">
      <alignment vertical="top" wrapText="1"/>
    </xf>
    <xf numFmtId="0" fontId="59" fillId="6" borderId="0" xfId="0" applyFont="1" applyFill="1" applyAlignment="1">
      <alignment horizontal="center" vertical="top" wrapText="1"/>
    </xf>
    <xf numFmtId="0" fontId="26" fillId="0" borderId="0" xfId="0" applyFont="1" applyAlignment="1">
      <alignment vertical="top" wrapText="1"/>
    </xf>
    <xf numFmtId="0" fontId="60" fillId="0" borderId="0" xfId="0" applyFont="1" applyAlignment="1">
      <alignment vertical="top"/>
    </xf>
    <xf numFmtId="0" fontId="10" fillId="8" borderId="30" xfId="0" applyFont="1" applyFill="1" applyBorder="1" applyAlignment="1">
      <alignment vertical="top" wrapText="1"/>
    </xf>
    <xf numFmtId="0" fontId="61" fillId="6" borderId="26" xfId="0" applyFont="1" applyFill="1" applyBorder="1" applyAlignment="1">
      <alignment vertical="top" wrapText="1"/>
    </xf>
    <xf numFmtId="0" fontId="10" fillId="8" borderId="0" xfId="0" applyFont="1" applyFill="1" applyAlignment="1">
      <alignment vertical="top" wrapText="1"/>
    </xf>
    <xf numFmtId="0" fontId="62" fillId="6" borderId="19" xfId="0" applyFont="1" applyFill="1" applyBorder="1" applyAlignment="1">
      <alignment vertical="top" wrapText="1"/>
    </xf>
    <xf numFmtId="0" fontId="63" fillId="6" borderId="0" xfId="0" applyFont="1" applyFill="1" applyAlignment="1">
      <alignment vertical="top" wrapText="1"/>
    </xf>
    <xf numFmtId="0" fontId="10" fillId="6" borderId="31" xfId="0" applyFont="1" applyFill="1" applyBorder="1" applyAlignment="1">
      <alignment vertical="top" wrapText="1"/>
    </xf>
    <xf numFmtId="0" fontId="64" fillId="0" borderId="0" xfId="0" applyFont="1" applyAlignment="1">
      <alignment vertical="top" wrapText="1"/>
    </xf>
    <xf numFmtId="0" fontId="65" fillId="0" borderId="0" xfId="0" applyFont="1" applyAlignment="1">
      <alignment vertical="top" wrapText="1"/>
    </xf>
    <xf numFmtId="0" fontId="13" fillId="0" borderId="0" xfId="0" applyFont="1" applyAlignment="1">
      <alignment vertical="top" wrapText="1"/>
    </xf>
    <xf numFmtId="0" fontId="66" fillId="0" borderId="19" xfId="0" applyFont="1" applyBorder="1" applyAlignment="1">
      <alignment vertical="top" wrapText="1"/>
    </xf>
    <xf numFmtId="0" fontId="67" fillId="0" borderId="19" xfId="0" applyFont="1" applyBorder="1" applyAlignment="1">
      <alignment vertical="top" wrapText="1"/>
    </xf>
    <xf numFmtId="0" fontId="4" fillId="2" borderId="19" xfId="0" applyFont="1" applyFill="1" applyBorder="1" applyAlignment="1">
      <alignment horizontal="center" vertical="top" wrapText="1"/>
    </xf>
    <xf numFmtId="0" fontId="10" fillId="7" borderId="15" xfId="0" applyFont="1" applyFill="1" applyBorder="1" applyAlignment="1">
      <alignment horizontal="center" vertical="top" wrapText="1"/>
    </xf>
    <xf numFmtId="0" fontId="68" fillId="0" borderId="0" xfId="0" applyFont="1" applyAlignment="1">
      <alignment vertical="top"/>
    </xf>
    <xf numFmtId="0" fontId="10" fillId="2" borderId="29" xfId="0" applyFont="1" applyFill="1" applyBorder="1" applyAlignment="1">
      <alignment horizontal="center" vertical="top" wrapText="1"/>
    </xf>
    <xf numFmtId="0" fontId="69" fillId="6" borderId="32" xfId="0" applyFont="1" applyFill="1" applyBorder="1" applyAlignment="1">
      <alignment vertical="top" wrapText="1"/>
    </xf>
    <xf numFmtId="0" fontId="70" fillId="0" borderId="19" xfId="0" applyFont="1" applyBorder="1" applyAlignment="1">
      <alignment horizontal="left" vertical="top" wrapText="1"/>
    </xf>
    <xf numFmtId="0" fontId="71" fillId="9" borderId="0" xfId="0" applyFont="1" applyFill="1" applyAlignment="1">
      <alignment vertical="top" wrapText="1"/>
    </xf>
    <xf numFmtId="0" fontId="72" fillId="0" borderId="19" xfId="0" applyFont="1" applyBorder="1" applyAlignment="1">
      <alignment horizontal="left" vertical="center" wrapText="1"/>
    </xf>
    <xf numFmtId="0" fontId="73" fillId="6" borderId="19" xfId="0" applyFont="1" applyFill="1" applyBorder="1" applyAlignment="1">
      <alignment vertical="top"/>
    </xf>
    <xf numFmtId="0" fontId="14" fillId="0" borderId="0" xfId="0" applyFont="1" applyAlignment="1">
      <alignment vertical="center" wrapText="1"/>
    </xf>
    <xf numFmtId="0" fontId="9" fillId="0" borderId="19" xfId="0" applyFont="1" applyBorder="1" applyAlignment="1">
      <alignment vertical="center" wrapText="1"/>
    </xf>
    <xf numFmtId="0" fontId="74" fillId="0" borderId="19" xfId="0" applyFont="1" applyBorder="1" applyAlignment="1">
      <alignment vertical="top"/>
    </xf>
    <xf numFmtId="0" fontId="75" fillId="0" borderId="0" xfId="0" applyFont="1" applyAlignment="1">
      <alignment vertical="top" wrapText="1"/>
    </xf>
    <xf numFmtId="0" fontId="76" fillId="6" borderId="27" xfId="0" applyFont="1" applyFill="1" applyBorder="1" applyAlignment="1">
      <alignment vertical="top"/>
    </xf>
    <xf numFmtId="0" fontId="10" fillId="2" borderId="19" xfId="0" applyFont="1" applyFill="1" applyBorder="1" applyAlignment="1">
      <alignment horizontal="center" vertical="top" wrapText="1"/>
    </xf>
    <xf numFmtId="0" fontId="77" fillId="6" borderId="33" xfId="0" applyFont="1" applyFill="1" applyBorder="1" applyAlignment="1">
      <alignment vertical="top" wrapText="1"/>
    </xf>
    <xf numFmtId="0" fontId="78" fillId="6" borderId="33" xfId="0" applyFont="1" applyFill="1" applyBorder="1" applyAlignment="1">
      <alignment vertical="top" wrapText="1"/>
    </xf>
    <xf numFmtId="0" fontId="4" fillId="6" borderId="34" xfId="0" applyFont="1" applyFill="1" applyBorder="1" applyAlignment="1">
      <alignment vertical="top" wrapText="1"/>
    </xf>
    <xf numFmtId="0" fontId="4" fillId="0" borderId="31" xfId="0" applyFont="1" applyBorder="1" applyAlignment="1">
      <alignment vertical="top" wrapText="1"/>
    </xf>
    <xf numFmtId="0" fontId="10" fillId="5" borderId="19" xfId="0" applyFont="1" applyFill="1" applyBorder="1" applyAlignment="1">
      <alignment horizontal="center" vertical="top" wrapText="1"/>
    </xf>
    <xf numFmtId="0" fontId="4" fillId="6" borderId="31" xfId="0" applyFont="1" applyFill="1" applyBorder="1" applyAlignment="1">
      <alignment vertical="top" wrapText="1"/>
    </xf>
    <xf numFmtId="0" fontId="79" fillId="6" borderId="0" xfId="0" applyFont="1" applyFill="1" applyAlignment="1">
      <alignment vertical="top" wrapText="1"/>
    </xf>
    <xf numFmtId="0" fontId="14" fillId="6" borderId="0" xfId="0" applyFont="1" applyFill="1" applyAlignment="1">
      <alignment vertical="top" wrapText="1"/>
    </xf>
    <xf numFmtId="0" fontId="10" fillId="7" borderId="19" xfId="0" applyFont="1" applyFill="1" applyBorder="1" applyAlignment="1">
      <alignment horizontal="center" vertical="top" wrapText="1"/>
    </xf>
    <xf numFmtId="0" fontId="4" fillId="2" borderId="35" xfId="0" applyFont="1" applyFill="1" applyBorder="1" applyAlignment="1">
      <alignment vertical="top" wrapText="1"/>
    </xf>
    <xf numFmtId="0" fontId="9" fillId="6" borderId="32" xfId="0" applyFont="1" applyFill="1" applyBorder="1" applyAlignment="1">
      <alignment vertical="top" wrapText="1"/>
    </xf>
    <xf numFmtId="0" fontId="80" fillId="6" borderId="33" xfId="0" applyFont="1" applyFill="1" applyBorder="1" applyAlignment="1">
      <alignment vertical="top" wrapText="1"/>
    </xf>
    <xf numFmtId="0" fontId="81" fillId="6" borderId="33" xfId="0" applyFont="1" applyFill="1" applyBorder="1" applyAlignment="1">
      <alignment vertical="top" wrapText="1"/>
    </xf>
    <xf numFmtId="0" fontId="82" fillId="6" borderId="36" xfId="0" applyFont="1" applyFill="1" applyBorder="1" applyAlignment="1">
      <alignment vertical="top" wrapText="1"/>
    </xf>
    <xf numFmtId="0" fontId="14" fillId="6" borderId="0" xfId="0" applyFont="1" applyFill="1" applyAlignment="1">
      <alignment vertical="center" wrapText="1"/>
    </xf>
    <xf numFmtId="0" fontId="4" fillId="6" borderId="36" xfId="0" applyFont="1" applyFill="1" applyBorder="1" applyAlignment="1">
      <alignment vertical="top" wrapText="1"/>
    </xf>
    <xf numFmtId="0" fontId="83" fillId="6" borderId="0" xfId="0" applyFont="1" applyFill="1" applyAlignment="1">
      <alignment vertical="top" wrapText="1"/>
    </xf>
    <xf numFmtId="0" fontId="4" fillId="2" borderId="33" xfId="0" applyFont="1" applyFill="1" applyBorder="1" applyAlignment="1">
      <alignment vertical="top" wrapText="1"/>
    </xf>
    <xf numFmtId="0" fontId="12" fillId="0" borderId="0" xfId="0" applyFont="1" applyAlignment="1">
      <alignment vertical="center" wrapText="1"/>
    </xf>
    <xf numFmtId="0" fontId="4" fillId="6" borderId="33" xfId="0" applyFont="1" applyFill="1" applyBorder="1" applyAlignment="1">
      <alignment vertical="top" wrapText="1"/>
    </xf>
    <xf numFmtId="0" fontId="13" fillId="6" borderId="19" xfId="0" applyFont="1" applyFill="1" applyBorder="1" applyAlignment="1">
      <alignment horizontal="left" vertical="top" wrapText="1"/>
    </xf>
    <xf numFmtId="0" fontId="84" fillId="0" borderId="0" xfId="0" applyFont="1" applyAlignment="1">
      <alignment horizontal="left" vertical="top" wrapText="1"/>
    </xf>
    <xf numFmtId="0" fontId="85" fillId="6" borderId="27" xfId="0" applyFont="1" applyFill="1" applyBorder="1" applyAlignment="1">
      <alignment horizontal="center" vertical="top" wrapText="1"/>
    </xf>
    <xf numFmtId="0" fontId="4" fillId="6" borderId="27" xfId="0" applyFont="1" applyFill="1" applyBorder="1" applyAlignment="1">
      <alignment horizontal="center" vertical="top" wrapText="1"/>
    </xf>
    <xf numFmtId="0" fontId="9" fillId="6" borderId="33" xfId="0" applyFont="1" applyFill="1" applyBorder="1" applyAlignment="1">
      <alignment vertical="top" wrapText="1"/>
    </xf>
    <xf numFmtId="0" fontId="86" fillId="6" borderId="19" xfId="0" applyFont="1" applyFill="1" applyBorder="1" applyAlignment="1">
      <alignment horizontal="left" vertical="top" wrapText="1"/>
    </xf>
    <xf numFmtId="0" fontId="54" fillId="6" borderId="33" xfId="0" applyFont="1" applyFill="1" applyBorder="1" applyAlignment="1">
      <alignment vertical="top" wrapText="1"/>
    </xf>
    <xf numFmtId="0" fontId="87" fillId="0" borderId="0" xfId="0" applyFont="1" applyAlignment="1">
      <alignment vertical="top"/>
    </xf>
    <xf numFmtId="0" fontId="88" fillId="6" borderId="19" xfId="0" applyFont="1" applyFill="1" applyBorder="1" applyAlignment="1">
      <alignment vertical="top" wrapText="1"/>
    </xf>
    <xf numFmtId="0" fontId="25" fillId="0" borderId="0" xfId="0" applyFont="1"/>
    <xf numFmtId="0" fontId="9" fillId="2" borderId="19" xfId="0" applyFont="1" applyFill="1" applyBorder="1" applyAlignment="1">
      <alignment vertical="top" wrapText="1"/>
    </xf>
    <xf numFmtId="0" fontId="10" fillId="11" borderId="26" xfId="0" applyFont="1" applyFill="1" applyBorder="1" applyAlignment="1">
      <alignment vertical="top" wrapText="1"/>
    </xf>
    <xf numFmtId="0" fontId="4" fillId="6" borderId="19" xfId="0" applyFont="1" applyFill="1" applyBorder="1" applyAlignment="1">
      <alignment horizontal="left" vertical="top" wrapText="1"/>
    </xf>
    <xf numFmtId="0" fontId="4" fillId="6" borderId="19" xfId="0" applyFont="1" applyFill="1" applyBorder="1" applyAlignment="1">
      <alignment wrapText="1"/>
    </xf>
    <xf numFmtId="0" fontId="89" fillId="0" borderId="19" xfId="0" applyFont="1" applyBorder="1" applyAlignment="1">
      <alignment vertical="top" wrapText="1"/>
    </xf>
    <xf numFmtId="0" fontId="90" fillId="6" borderId="19" xfId="0" applyFont="1" applyFill="1" applyBorder="1" applyAlignment="1">
      <alignment horizontal="left" vertical="center" wrapText="1"/>
    </xf>
    <xf numFmtId="0" fontId="25" fillId="0" borderId="19" xfId="0" applyFont="1" applyBorder="1" applyAlignment="1">
      <alignment wrapText="1"/>
    </xf>
    <xf numFmtId="0" fontId="91" fillId="0" borderId="19" xfId="0" applyFont="1" applyBorder="1" applyAlignment="1">
      <alignment wrapText="1"/>
    </xf>
    <xf numFmtId="0" fontId="92" fillId="6" borderId="19" xfId="0" applyFont="1" applyFill="1" applyBorder="1" applyAlignment="1">
      <alignment horizontal="left" vertical="top" wrapText="1"/>
    </xf>
    <xf numFmtId="0" fontId="4" fillId="6" borderId="19" xfId="0" applyFont="1" applyFill="1" applyBorder="1" applyAlignment="1">
      <alignment horizontal="left" vertical="center" wrapText="1"/>
    </xf>
    <xf numFmtId="0" fontId="93" fillId="0" borderId="0" xfId="0" applyFont="1" applyAlignment="1">
      <alignment vertical="top" wrapText="1"/>
    </xf>
    <xf numFmtId="0" fontId="94" fillId="6" borderId="19" xfId="0" applyFont="1" applyFill="1" applyBorder="1" applyAlignment="1">
      <alignment horizontal="left" vertical="top" wrapText="1"/>
    </xf>
    <xf numFmtId="0" fontId="95" fillId="6" borderId="19" xfId="0" applyFont="1" applyFill="1" applyBorder="1" applyAlignment="1">
      <alignment horizontal="left" vertical="top" wrapText="1"/>
    </xf>
    <xf numFmtId="0" fontId="96" fillId="0" borderId="0" xfId="0" applyFont="1" applyAlignment="1">
      <alignment horizontal="left" vertical="top" wrapText="1"/>
    </xf>
    <xf numFmtId="0" fontId="97" fillId="6" borderId="19" xfId="0" applyFont="1" applyFill="1" applyBorder="1" applyAlignment="1">
      <alignment horizontal="left" vertical="top" wrapText="1"/>
    </xf>
    <xf numFmtId="0" fontId="98" fillId="6" borderId="19" xfId="0" applyFont="1" applyFill="1" applyBorder="1" applyAlignment="1">
      <alignment horizontal="left" vertical="top" wrapText="1"/>
    </xf>
    <xf numFmtId="0" fontId="99" fillId="6" borderId="27" xfId="0" applyFont="1" applyFill="1" applyBorder="1" applyAlignment="1">
      <alignment vertical="top" wrapText="1"/>
    </xf>
    <xf numFmtId="0" fontId="26" fillId="6" borderId="19" xfId="0" applyFont="1" applyFill="1" applyBorder="1" applyAlignment="1">
      <alignment vertical="top" wrapText="1"/>
    </xf>
    <xf numFmtId="0" fontId="100" fillId="0" borderId="0" xfId="0" applyFont="1" applyAlignment="1">
      <alignment vertical="top"/>
    </xf>
    <xf numFmtId="0" fontId="54" fillId="0" borderId="0" xfId="0" applyFont="1" applyAlignment="1">
      <alignment vertical="top" wrapText="1"/>
    </xf>
    <xf numFmtId="0" fontId="101" fillId="6" borderId="19" xfId="0" applyFont="1" applyFill="1" applyBorder="1" applyAlignment="1">
      <alignment vertical="top" wrapText="1"/>
    </xf>
    <xf numFmtId="0" fontId="49" fillId="6" borderId="19" xfId="0" applyFont="1" applyFill="1" applyBorder="1" applyAlignment="1">
      <alignment vertical="center" wrapText="1"/>
    </xf>
    <xf numFmtId="0" fontId="102" fillId="6" borderId="19" xfId="0" applyFont="1" applyFill="1" applyBorder="1" applyAlignment="1">
      <alignment horizontal="left" vertical="center" wrapText="1"/>
    </xf>
    <xf numFmtId="0" fontId="103" fillId="0" borderId="19" xfId="0" applyFont="1" applyBorder="1" applyAlignment="1">
      <alignment horizontal="center" vertical="top" wrapText="1"/>
    </xf>
    <xf numFmtId="0" fontId="104" fillId="2" borderId="19" xfId="0" applyFont="1" applyFill="1" applyBorder="1" applyAlignment="1">
      <alignment horizontal="center" vertical="top" wrapText="1"/>
    </xf>
    <xf numFmtId="0" fontId="105" fillId="6" borderId="19" xfId="0" applyFont="1" applyFill="1" applyBorder="1" applyAlignment="1">
      <alignment vertical="top" wrapText="1"/>
    </xf>
    <xf numFmtId="0" fontId="22" fillId="6" borderId="31" xfId="0" applyFont="1" applyFill="1" applyBorder="1" applyAlignment="1">
      <alignment vertical="top" wrapText="1"/>
    </xf>
    <xf numFmtId="0" fontId="106" fillId="2" borderId="19" xfId="0" applyFont="1" applyFill="1" applyBorder="1" applyAlignment="1">
      <alignment horizontal="center" vertical="top" wrapText="1"/>
    </xf>
    <xf numFmtId="0" fontId="107" fillId="6" borderId="19" xfId="0" applyFont="1" applyFill="1" applyBorder="1" applyAlignment="1">
      <alignment vertical="top" wrapText="1"/>
    </xf>
    <xf numFmtId="0" fontId="4" fillId="0" borderId="0" xfId="0" applyFont="1" applyAlignment="1">
      <alignment vertical="center"/>
    </xf>
    <xf numFmtId="0" fontId="108" fillId="6" borderId="19" xfId="0" applyFont="1" applyFill="1" applyBorder="1" applyAlignment="1">
      <alignment horizontal="left" vertical="center" wrapText="1"/>
    </xf>
    <xf numFmtId="0" fontId="25" fillId="6" borderId="19" xfId="0" applyFont="1" applyFill="1" applyBorder="1" applyAlignment="1">
      <alignment vertical="top"/>
    </xf>
    <xf numFmtId="0" fontId="109" fillId="6" borderId="19" xfId="0" applyFont="1" applyFill="1" applyBorder="1" applyAlignment="1">
      <alignment horizontal="left" vertical="top" wrapText="1"/>
    </xf>
    <xf numFmtId="0" fontId="13" fillId="6" borderId="27" xfId="0" applyFont="1" applyFill="1" applyBorder="1" applyAlignment="1">
      <alignment horizontal="left" vertical="top" wrapText="1"/>
    </xf>
    <xf numFmtId="0" fontId="110" fillId="6" borderId="19" xfId="0" applyFont="1" applyFill="1" applyBorder="1" applyAlignment="1">
      <alignment horizontal="left" vertical="top"/>
    </xf>
    <xf numFmtId="0" fontId="4" fillId="4" borderId="31" xfId="0" applyFont="1" applyFill="1" applyBorder="1" applyAlignment="1">
      <alignment vertical="top" wrapText="1"/>
    </xf>
    <xf numFmtId="0" fontId="50" fillId="6" borderId="27" xfId="0" applyFont="1" applyFill="1" applyBorder="1" applyAlignment="1">
      <alignment vertical="top" wrapText="1"/>
    </xf>
    <xf numFmtId="0" fontId="111" fillId="0" borderId="19" xfId="0" applyFont="1" applyBorder="1" applyAlignment="1">
      <alignment vertical="top" wrapText="1"/>
    </xf>
    <xf numFmtId="0" fontId="101" fillId="6" borderId="27" xfId="0" applyFont="1" applyFill="1" applyBorder="1" applyAlignment="1">
      <alignment vertical="top" wrapText="1"/>
    </xf>
    <xf numFmtId="0" fontId="112" fillId="6" borderId="27" xfId="0" applyFont="1" applyFill="1" applyBorder="1" applyAlignment="1">
      <alignment vertical="top" wrapText="1"/>
    </xf>
    <xf numFmtId="0" fontId="113" fillId="6" borderId="19" xfId="0" applyFont="1" applyFill="1" applyBorder="1" applyAlignment="1">
      <alignment horizontal="left" vertical="center" wrapText="1"/>
    </xf>
    <xf numFmtId="0" fontId="4" fillId="11" borderId="19" xfId="0" applyFont="1" applyFill="1" applyBorder="1" applyAlignment="1">
      <alignment vertical="top" wrapText="1"/>
    </xf>
    <xf numFmtId="0" fontId="4" fillId="11" borderId="19" xfId="0" applyFont="1" applyFill="1" applyBorder="1" applyAlignment="1">
      <alignment horizontal="left" vertical="center" wrapText="1"/>
    </xf>
    <xf numFmtId="0" fontId="114" fillId="6" borderId="19" xfId="0" applyFont="1" applyFill="1" applyBorder="1" applyAlignment="1">
      <alignment horizontal="left" vertical="center" wrapText="1"/>
    </xf>
    <xf numFmtId="0" fontId="115" fillId="6" borderId="19" xfId="0" applyFont="1" applyFill="1" applyBorder="1" applyAlignment="1">
      <alignment vertical="top" wrapText="1"/>
    </xf>
    <xf numFmtId="0" fontId="116" fillId="6" borderId="19" xfId="0" applyFont="1" applyFill="1" applyBorder="1" applyAlignment="1">
      <alignment vertical="top" wrapText="1"/>
    </xf>
    <xf numFmtId="0" fontId="117" fillId="0" borderId="19" xfId="0" applyFont="1" applyBorder="1" applyAlignment="1">
      <alignment horizontal="left" vertical="center" wrapText="1"/>
    </xf>
    <xf numFmtId="0" fontId="118" fillId="0" borderId="19" xfId="0" applyFont="1" applyBorder="1" applyAlignment="1">
      <alignment vertical="top" wrapText="1"/>
    </xf>
    <xf numFmtId="0" fontId="119" fillId="0" borderId="19" xfId="0" applyFont="1" applyBorder="1" applyAlignment="1">
      <alignment wrapText="1"/>
    </xf>
    <xf numFmtId="0" fontId="4" fillId="6" borderId="37" xfId="0" applyFont="1" applyFill="1" applyBorder="1" applyAlignment="1">
      <alignment vertical="top" wrapText="1"/>
    </xf>
    <xf numFmtId="0" fontId="4" fillId="0" borderId="19" xfId="0" applyFont="1" applyBorder="1" applyAlignment="1">
      <alignment horizontal="center" vertical="top" wrapText="1"/>
    </xf>
    <xf numFmtId="0" fontId="4" fillId="0" borderId="0" xfId="0" applyFont="1"/>
    <xf numFmtId="0" fontId="14" fillId="6" borderId="19" xfId="0" applyFont="1" applyFill="1" applyBorder="1" applyAlignment="1">
      <alignment vertical="top"/>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0" fontId="121" fillId="3" borderId="41" xfId="0" applyFont="1" applyFill="1" applyBorder="1" applyAlignment="1">
      <alignment horizontal="center" vertical="center"/>
    </xf>
    <xf numFmtId="0" fontId="120" fillId="3" borderId="41" xfId="0" applyFont="1" applyFill="1" applyBorder="1" applyAlignment="1">
      <alignment horizontal="center" vertical="center"/>
    </xf>
    <xf numFmtId="0" fontId="120" fillId="3" borderId="42" xfId="0" applyFont="1" applyFill="1" applyBorder="1" applyAlignment="1">
      <alignment horizontal="center" vertical="center"/>
    </xf>
    <xf numFmtId="0" fontId="121" fillId="3" borderId="42" xfId="0" applyFont="1" applyFill="1" applyBorder="1" applyAlignment="1">
      <alignment horizontal="center" vertical="center"/>
    </xf>
    <xf numFmtId="0" fontId="120" fillId="3" borderId="42" xfId="0" applyFont="1" applyFill="1" applyBorder="1" applyAlignment="1">
      <alignment horizontal="center" vertical="center" wrapText="1"/>
    </xf>
    <xf numFmtId="0" fontId="120" fillId="2" borderId="42" xfId="0" applyFont="1" applyFill="1" applyBorder="1" applyAlignment="1">
      <alignment horizontal="center" vertical="center" wrapText="1"/>
    </xf>
    <xf numFmtId="0" fontId="120" fillId="4" borderId="42" xfId="0" applyFont="1" applyFill="1" applyBorder="1" applyAlignment="1">
      <alignment horizontal="center" vertical="center" wrapText="1"/>
    </xf>
    <xf numFmtId="0" fontId="4" fillId="0" borderId="23" xfId="0" applyFont="1" applyBorder="1" applyAlignment="1">
      <alignment vertical="top" wrapText="1"/>
    </xf>
    <xf numFmtId="0" fontId="10" fillId="2" borderId="23" xfId="0" applyFont="1" applyFill="1" applyBorder="1" applyAlignment="1">
      <alignment vertical="top"/>
    </xf>
    <xf numFmtId="164" fontId="10" fillId="2" borderId="23" xfId="0" applyNumberFormat="1" applyFont="1" applyFill="1" applyBorder="1" applyAlignment="1">
      <alignment horizontal="left" vertical="top"/>
    </xf>
    <xf numFmtId="0" fontId="10" fillId="2" borderId="23" xfId="0" applyFont="1" applyFill="1" applyBorder="1" applyAlignment="1">
      <alignment horizontal="left" vertical="top" wrapText="1"/>
    </xf>
    <xf numFmtId="0" fontId="4" fillId="2" borderId="43" xfId="0" applyFont="1" applyFill="1" applyBorder="1" applyAlignment="1">
      <alignment vertical="top" wrapText="1"/>
    </xf>
    <xf numFmtId="0" fontId="9" fillId="6" borderId="23" xfId="0" applyFont="1" applyFill="1" applyBorder="1" applyAlignment="1">
      <alignment vertical="top" wrapText="1"/>
    </xf>
    <xf numFmtId="0" fontId="4" fillId="6" borderId="23" xfId="0" applyFont="1" applyFill="1" applyBorder="1" applyAlignment="1">
      <alignment vertical="top"/>
    </xf>
    <xf numFmtId="0" fontId="4" fillId="2" borderId="23" xfId="0" applyFont="1" applyFill="1" applyBorder="1" applyAlignment="1">
      <alignment horizontal="center" vertical="top" wrapText="1"/>
    </xf>
    <xf numFmtId="0" fontId="122" fillId="2" borderId="23" xfId="0" applyFont="1" applyFill="1" applyBorder="1" applyAlignment="1">
      <alignment horizontal="center" vertical="top" wrapText="1"/>
    </xf>
    <xf numFmtId="0" fontId="10" fillId="2" borderId="19" xfId="0" applyFont="1" applyFill="1" applyBorder="1" applyAlignment="1">
      <alignment vertical="top"/>
    </xf>
    <xf numFmtId="0" fontId="10" fillId="12" borderId="19" xfId="0" applyFont="1" applyFill="1" applyBorder="1" applyAlignment="1">
      <alignment horizontal="left" vertical="top"/>
    </xf>
    <xf numFmtId="0" fontId="4" fillId="0" borderId="19" xfId="0" applyFont="1" applyBorder="1" applyAlignment="1">
      <alignment horizontal="left" vertical="top" wrapText="1"/>
    </xf>
    <xf numFmtId="0" fontId="9" fillId="0" borderId="19" xfId="0" applyFont="1" applyBorder="1" applyAlignment="1">
      <alignment horizontal="left" vertical="top"/>
    </xf>
    <xf numFmtId="0" fontId="4" fillId="0" borderId="19" xfId="0" applyFont="1" applyBorder="1" applyAlignment="1">
      <alignment horizontal="left" vertical="top"/>
    </xf>
    <xf numFmtId="0" fontId="4" fillId="6" borderId="19" xfId="0" applyFont="1" applyFill="1" applyBorder="1" applyAlignment="1">
      <alignment vertical="top"/>
    </xf>
    <xf numFmtId="0" fontId="10" fillId="2" borderId="19" xfId="0" applyFont="1" applyFill="1" applyBorder="1" applyAlignment="1">
      <alignment horizontal="left" vertical="top"/>
    </xf>
    <xf numFmtId="0" fontId="123" fillId="0" borderId="23" xfId="0" applyFont="1" applyBorder="1" applyAlignment="1">
      <alignment vertical="top" wrapText="1"/>
    </xf>
    <xf numFmtId="0" fontId="124" fillId="6" borderId="19" xfId="0" applyFont="1" applyFill="1" applyBorder="1" applyAlignment="1">
      <alignment vertical="top" wrapText="1"/>
    </xf>
    <xf numFmtId="0" fontId="10" fillId="0" borderId="19" xfId="0" applyFont="1" applyBorder="1" applyAlignment="1">
      <alignment vertical="top" wrapText="1"/>
    </xf>
    <xf numFmtId="165" fontId="10" fillId="2" borderId="19" xfId="0" applyNumberFormat="1" applyFont="1" applyFill="1" applyBorder="1" applyAlignment="1">
      <alignment horizontal="left" vertical="top"/>
    </xf>
    <xf numFmtId="0" fontId="124" fillId="11" borderId="19" xfId="0" applyFont="1" applyFill="1" applyBorder="1" applyAlignment="1">
      <alignment vertical="top" wrapText="1"/>
    </xf>
    <xf numFmtId="0" fontId="125" fillId="0" borderId="19" xfId="0" applyFont="1" applyBorder="1" applyAlignment="1">
      <alignment horizontal="left" vertical="top" wrapText="1"/>
    </xf>
    <xf numFmtId="0" fontId="126" fillId="6" borderId="19" xfId="0" applyFont="1" applyFill="1" applyBorder="1" applyAlignment="1">
      <alignment vertical="top"/>
    </xf>
    <xf numFmtId="0" fontId="87" fillId="6" borderId="19" xfId="0" applyFont="1" applyFill="1" applyBorder="1" applyAlignment="1">
      <alignment vertical="top" wrapText="1"/>
    </xf>
    <xf numFmtId="165" fontId="10" fillId="13" borderId="19" xfId="0" applyNumberFormat="1" applyFont="1" applyFill="1" applyBorder="1" applyAlignment="1">
      <alignment horizontal="left" vertical="top"/>
    </xf>
    <xf numFmtId="0" fontId="87" fillId="11" borderId="19" xfId="0" applyFont="1" applyFill="1" applyBorder="1" applyAlignment="1">
      <alignment vertical="top" wrapText="1"/>
    </xf>
    <xf numFmtId="0" fontId="4" fillId="11" borderId="19" xfId="0" applyFont="1" applyFill="1" applyBorder="1" applyAlignment="1">
      <alignment vertical="top"/>
    </xf>
    <xf numFmtId="0" fontId="127" fillId="11" borderId="19" xfId="0" applyFont="1" applyFill="1" applyBorder="1" applyAlignment="1">
      <alignment vertical="top"/>
    </xf>
    <xf numFmtId="0" fontId="128" fillId="2" borderId="19" xfId="0" applyFont="1" applyFill="1" applyBorder="1" applyAlignment="1">
      <alignment horizontal="left" vertical="top"/>
    </xf>
    <xf numFmtId="0" fontId="10" fillId="6" borderId="19" xfId="0" applyFont="1" applyFill="1" applyBorder="1" applyAlignment="1">
      <alignment vertical="top" wrapText="1"/>
    </xf>
    <xf numFmtId="0" fontId="87" fillId="0" borderId="19" xfId="0" applyFont="1" applyBorder="1"/>
    <xf numFmtId="0" fontId="128" fillId="6" borderId="19" xfId="0" applyFont="1" applyFill="1" applyBorder="1" applyAlignment="1">
      <alignment vertical="top" wrapText="1"/>
    </xf>
    <xf numFmtId="0" fontId="87" fillId="0" borderId="0" xfId="0" applyFont="1"/>
    <xf numFmtId="0" fontId="25" fillId="0" borderId="0" xfId="0" applyFont="1" applyAlignment="1">
      <alignment vertical="center"/>
    </xf>
    <xf numFmtId="0" fontId="64" fillId="0" borderId="0" xfId="0" applyFont="1" applyAlignment="1">
      <alignment wrapText="1"/>
    </xf>
    <xf numFmtId="0" fontId="25" fillId="0" borderId="0" xfId="0" applyFont="1" applyAlignment="1">
      <alignment vertical="center" wrapText="1"/>
    </xf>
    <xf numFmtId="0" fontId="25" fillId="0" borderId="0" xfId="0" applyFont="1" applyAlignment="1">
      <alignment wrapText="1"/>
    </xf>
    <xf numFmtId="0" fontId="130" fillId="0" borderId="0" xfId="0" applyFont="1" applyAlignment="1">
      <alignment vertical="center"/>
    </xf>
    <xf numFmtId="0" fontId="131" fillId="0" borderId="19" xfId="0" applyFont="1" applyBorder="1" applyAlignment="1">
      <alignment horizontal="center" vertical="center"/>
    </xf>
    <xf numFmtId="0" fontId="120" fillId="3" borderId="7" xfId="0" applyFont="1" applyFill="1" applyBorder="1" applyAlignment="1">
      <alignment horizontal="center" vertical="center"/>
    </xf>
    <xf numFmtId="0" fontId="120" fillId="11" borderId="46" xfId="0" applyFont="1" applyFill="1" applyBorder="1" applyAlignment="1">
      <alignment horizontal="center" vertical="center"/>
    </xf>
    <xf numFmtId="0" fontId="120" fillId="2" borderId="47" xfId="0" applyFont="1" applyFill="1" applyBorder="1" applyAlignment="1">
      <alignment horizontal="center" vertical="center"/>
    </xf>
    <xf numFmtId="0" fontId="120" fillId="2" borderId="48" xfId="0" applyFont="1" applyFill="1" applyBorder="1" applyAlignment="1">
      <alignment horizontal="center" vertical="center"/>
    </xf>
    <xf numFmtId="0" fontId="120" fillId="2" borderId="49" xfId="0" applyFont="1" applyFill="1" applyBorder="1" applyAlignment="1">
      <alignment horizontal="center" vertical="center"/>
    </xf>
    <xf numFmtId="0" fontId="120" fillId="3" borderId="50" xfId="0" applyFont="1" applyFill="1" applyBorder="1" applyAlignment="1">
      <alignment horizontal="center" vertical="center"/>
    </xf>
    <xf numFmtId="0" fontId="10" fillId="3" borderId="51" xfId="0" applyFont="1" applyFill="1" applyBorder="1" applyAlignment="1">
      <alignment horizontal="center" vertical="center"/>
    </xf>
    <xf numFmtId="0" fontId="120" fillId="3" borderId="51" xfId="0" applyFont="1" applyFill="1" applyBorder="1" applyAlignment="1">
      <alignment horizontal="center" vertical="center"/>
    </xf>
    <xf numFmtId="0" fontId="120" fillId="3" borderId="52" xfId="0" applyFont="1" applyFill="1" applyBorder="1" applyAlignment="1">
      <alignment horizontal="center" vertical="center"/>
    </xf>
    <xf numFmtId="0" fontId="120" fillId="3" borderId="30" xfId="0" applyFont="1" applyFill="1" applyBorder="1" applyAlignment="1">
      <alignment horizontal="center" vertical="center"/>
    </xf>
    <xf numFmtId="0" fontId="120" fillId="3" borderId="30" xfId="0" applyFont="1" applyFill="1" applyBorder="1" applyAlignment="1">
      <alignment horizontal="center" vertical="center" wrapText="1"/>
    </xf>
    <xf numFmtId="0" fontId="120" fillId="3" borderId="33" xfId="0" applyFont="1" applyFill="1" applyBorder="1" applyAlignment="1">
      <alignment horizontal="center" vertical="center" wrapText="1"/>
    </xf>
    <xf numFmtId="0" fontId="120" fillId="3" borderId="53" xfId="0" applyFont="1" applyFill="1" applyBorder="1" applyAlignment="1">
      <alignment horizontal="center" vertical="center" wrapText="1"/>
    </xf>
    <xf numFmtId="0" fontId="120" fillId="3" borderId="54" xfId="0" applyFont="1" applyFill="1" applyBorder="1" applyAlignment="1">
      <alignment horizontal="center" vertical="top" wrapText="1"/>
    </xf>
    <xf numFmtId="0" fontId="120" fillId="4" borderId="55" xfId="0" applyFont="1" applyFill="1" applyBorder="1" applyAlignment="1">
      <alignment horizontal="center" vertical="center" wrapText="1"/>
    </xf>
    <xf numFmtId="0" fontId="10" fillId="10" borderId="19" xfId="0" applyFont="1" applyFill="1" applyBorder="1" applyAlignment="1">
      <alignment horizontal="center" vertical="top"/>
    </xf>
    <xf numFmtId="164" fontId="10" fillId="2" borderId="19" xfId="0" applyNumberFormat="1" applyFont="1" applyFill="1" applyBorder="1" applyAlignment="1">
      <alignment horizontal="left" vertical="top"/>
    </xf>
    <xf numFmtId="0" fontId="10" fillId="10" borderId="19" xfId="0" applyFont="1" applyFill="1" applyBorder="1" applyAlignment="1">
      <alignment horizontal="left" vertical="top"/>
    </xf>
    <xf numFmtId="0" fontId="14" fillId="6" borderId="19" xfId="0" applyFont="1" applyFill="1" applyBorder="1" applyAlignment="1">
      <alignment horizontal="left" vertical="top"/>
    </xf>
    <xf numFmtId="0" fontId="13" fillId="6" borderId="19" xfId="0" applyFont="1" applyFill="1" applyBorder="1" applyAlignment="1">
      <alignment horizontal="left" vertical="top"/>
    </xf>
    <xf numFmtId="166" fontId="13" fillId="6" borderId="19" xfId="0" applyNumberFormat="1" applyFont="1" applyFill="1" applyBorder="1" applyAlignment="1">
      <alignment horizontal="right"/>
    </xf>
    <xf numFmtId="14" fontId="13" fillId="6" borderId="19" xfId="0" applyNumberFormat="1" applyFont="1" applyFill="1" applyBorder="1" applyAlignment="1">
      <alignment horizontal="left" vertical="top" wrapText="1"/>
    </xf>
    <xf numFmtId="14" fontId="13" fillId="6" borderId="20" xfId="0" applyNumberFormat="1" applyFont="1" applyFill="1" applyBorder="1" applyAlignment="1">
      <alignment horizontal="left" vertical="top" wrapText="1"/>
    </xf>
    <xf numFmtId="0" fontId="132" fillId="10" borderId="19" xfId="0" applyFont="1" applyFill="1" applyBorder="1" applyAlignment="1">
      <alignment horizontal="center" vertical="top" wrapText="1"/>
    </xf>
    <xf numFmtId="0" fontId="25" fillId="0" borderId="20" xfId="0" applyFont="1" applyBorder="1" applyAlignment="1">
      <alignment horizontal="left" vertical="top"/>
    </xf>
    <xf numFmtId="0" fontId="41" fillId="0" borderId="19" xfId="0" applyFont="1" applyBorder="1" applyAlignment="1">
      <alignment horizontal="center" vertical="center" wrapText="1"/>
    </xf>
    <xf numFmtId="0" fontId="41" fillId="0" borderId="19" xfId="0" applyFont="1" applyBorder="1" applyAlignment="1">
      <alignment vertical="center" wrapText="1"/>
    </xf>
    <xf numFmtId="0" fontId="25" fillId="0" borderId="20" xfId="0" applyFont="1" applyBorder="1"/>
    <xf numFmtId="0" fontId="10" fillId="0" borderId="19" xfId="0" applyFont="1" applyBorder="1" applyAlignment="1">
      <alignment horizontal="left" vertical="top"/>
    </xf>
    <xf numFmtId="0" fontId="14" fillId="6" borderId="23" xfId="0" applyFont="1" applyFill="1" applyBorder="1" applyAlignment="1">
      <alignment vertical="top" wrapText="1"/>
    </xf>
    <xf numFmtId="0" fontId="14" fillId="6" borderId="23" xfId="0" applyFont="1" applyFill="1" applyBorder="1" applyAlignment="1">
      <alignment horizontal="left" vertical="top"/>
    </xf>
    <xf numFmtId="0" fontId="9" fillId="0" borderId="19" xfId="0" applyFont="1" applyBorder="1" applyAlignment="1">
      <alignment horizontal="left" vertical="top" wrapText="1"/>
    </xf>
    <xf numFmtId="0" fontId="13" fillId="6" borderId="23" xfId="0" applyFont="1" applyFill="1" applyBorder="1" applyAlignment="1">
      <alignment horizontal="left" vertical="top"/>
    </xf>
    <xf numFmtId="0" fontId="133" fillId="6" borderId="24" xfId="0" applyFont="1" applyFill="1" applyBorder="1" applyAlignment="1">
      <alignment horizontal="left" vertical="top"/>
    </xf>
    <xf numFmtId="167" fontId="4" fillId="0" borderId="24" xfId="0" applyNumberFormat="1" applyFont="1" applyBorder="1" applyAlignment="1">
      <alignment horizontal="left" vertical="top" wrapText="1"/>
    </xf>
    <xf numFmtId="166" fontId="13" fillId="6" borderId="23" xfId="0" applyNumberFormat="1" applyFont="1" applyFill="1" applyBorder="1" applyAlignment="1">
      <alignment horizontal="right" vertical="top"/>
    </xf>
    <xf numFmtId="0" fontId="134" fillId="9" borderId="24" xfId="0" applyFont="1" applyFill="1" applyBorder="1" applyAlignment="1">
      <alignment vertical="top"/>
    </xf>
    <xf numFmtId="0" fontId="135" fillId="0" borderId="23" xfId="0" applyFont="1" applyBorder="1" applyAlignment="1">
      <alignment vertical="top" wrapText="1"/>
    </xf>
    <xf numFmtId="14" fontId="13" fillId="6" borderId="24" xfId="0" applyNumberFormat="1" applyFont="1" applyFill="1" applyBorder="1" applyAlignment="1">
      <alignment horizontal="left" vertical="top" wrapText="1"/>
    </xf>
    <xf numFmtId="0" fontId="126" fillId="0" borderId="19" xfId="0" applyFont="1" applyBorder="1" applyAlignment="1">
      <alignment horizontal="left" vertical="top" wrapText="1"/>
    </xf>
    <xf numFmtId="14" fontId="4" fillId="0" borderId="20" xfId="0" applyNumberFormat="1" applyFont="1" applyBorder="1" applyAlignment="1">
      <alignment horizontal="left" vertical="top" wrapText="1"/>
    </xf>
    <xf numFmtId="0" fontId="9" fillId="6" borderId="23" xfId="0" applyFont="1" applyFill="1" applyBorder="1" applyAlignment="1">
      <alignment vertical="top"/>
    </xf>
    <xf numFmtId="0" fontId="136" fillId="6" borderId="24" xfId="0" applyFont="1" applyFill="1" applyBorder="1" applyAlignment="1">
      <alignment vertical="top"/>
    </xf>
    <xf numFmtId="0" fontId="137" fillId="6" borderId="19" xfId="0" applyFont="1" applyFill="1" applyBorder="1" applyAlignment="1">
      <alignment vertical="top"/>
    </xf>
    <xf numFmtId="167" fontId="137" fillId="6" borderId="24" xfId="0" applyNumberFormat="1" applyFont="1" applyFill="1" applyBorder="1" applyAlignment="1">
      <alignment vertical="top"/>
    </xf>
    <xf numFmtId="166" fontId="137" fillId="6" borderId="23" xfId="0" applyNumberFormat="1" applyFont="1" applyFill="1" applyBorder="1" applyAlignment="1">
      <alignment horizontal="right" vertical="top"/>
    </xf>
    <xf numFmtId="0" fontId="137" fillId="0" borderId="24" xfId="0" applyFont="1" applyBorder="1" applyAlignment="1">
      <alignment horizontal="left" vertical="top" wrapText="1"/>
    </xf>
    <xf numFmtId="0" fontId="136" fillId="6" borderId="23" xfId="0" applyFont="1" applyFill="1" applyBorder="1" applyAlignment="1">
      <alignment vertical="top"/>
    </xf>
    <xf numFmtId="14" fontId="136" fillId="6" borderId="24" xfId="0" applyNumberFormat="1" applyFont="1" applyFill="1" applyBorder="1" applyAlignment="1">
      <alignment vertical="top"/>
    </xf>
    <xf numFmtId="14" fontId="9" fillId="0" borderId="44" xfId="0" applyNumberFormat="1" applyFont="1" applyBorder="1" applyAlignment="1">
      <alignment horizontal="left" vertical="top" wrapText="1"/>
    </xf>
    <xf numFmtId="0" fontId="41" fillId="0" borderId="19" xfId="0" applyFont="1" applyBorder="1" applyAlignment="1">
      <alignment vertical="top" wrapText="1"/>
    </xf>
    <xf numFmtId="0" fontId="14" fillId="0" borderId="23" xfId="0" applyFont="1" applyBorder="1" applyAlignment="1">
      <alignment vertical="top" wrapText="1"/>
    </xf>
    <xf numFmtId="0" fontId="9" fillId="7" borderId="19" xfId="0" applyFont="1" applyFill="1" applyBorder="1" applyAlignment="1">
      <alignment horizontal="left" vertical="top" wrapText="1"/>
    </xf>
    <xf numFmtId="0" fontId="9" fillId="0" borderId="23" xfId="0" applyFont="1" applyBorder="1" applyAlignment="1">
      <alignment horizontal="left" vertical="top"/>
    </xf>
    <xf numFmtId="0" fontId="9" fillId="0" borderId="20" xfId="0" applyFont="1" applyBorder="1" applyAlignment="1">
      <alignment horizontal="left" vertical="top"/>
    </xf>
    <xf numFmtId="0" fontId="4" fillId="0" borderId="20" xfId="0" applyFont="1" applyBorder="1" applyAlignment="1">
      <alignment horizontal="left" vertical="top"/>
    </xf>
    <xf numFmtId="0" fontId="4" fillId="0" borderId="20" xfId="0" applyFont="1" applyBorder="1" applyAlignment="1">
      <alignment horizontal="left" vertical="top" wrapText="1"/>
    </xf>
    <xf numFmtId="0" fontId="4" fillId="0" borderId="23" xfId="0" applyFont="1" applyBorder="1" applyAlignment="1">
      <alignment horizontal="left" vertical="top"/>
    </xf>
    <xf numFmtId="0" fontId="133" fillId="0" borderId="24" xfId="0" applyFont="1" applyBorder="1" applyAlignment="1">
      <alignment horizontal="left" vertical="top"/>
    </xf>
    <xf numFmtId="167" fontId="4" fillId="0" borderId="20" xfId="0" applyNumberFormat="1" applyFont="1" applyBorder="1" applyAlignment="1">
      <alignment horizontal="left" vertical="top" wrapText="1"/>
    </xf>
    <xf numFmtId="166" fontId="4" fillId="0" borderId="23" xfId="0" applyNumberFormat="1" applyFont="1" applyBorder="1" applyAlignment="1">
      <alignment horizontal="right" vertical="top"/>
    </xf>
    <xf numFmtId="0" fontId="11" fillId="0" borderId="19" xfId="0" applyFont="1" applyBorder="1" applyAlignment="1">
      <alignment horizontal="left" vertical="top" wrapText="1"/>
    </xf>
    <xf numFmtId="14" fontId="4" fillId="0" borderId="24" xfId="0" applyNumberFormat="1" applyFont="1" applyBorder="1" applyAlignment="1">
      <alignment horizontal="left" vertical="top" wrapText="1"/>
    </xf>
    <xf numFmtId="0" fontId="4" fillId="0" borderId="20" xfId="0" quotePrefix="1" applyFont="1" applyBorder="1" applyAlignment="1">
      <alignment horizontal="left" vertical="top" wrapText="1"/>
    </xf>
    <xf numFmtId="0" fontId="138" fillId="0" borderId="19" xfId="0" applyFont="1" applyBorder="1" applyAlignment="1">
      <alignment vertical="center" wrapText="1"/>
    </xf>
    <xf numFmtId="0" fontId="139" fillId="6" borderId="23" xfId="0" applyFont="1" applyFill="1" applyBorder="1" applyAlignment="1">
      <alignment vertical="top"/>
    </xf>
    <xf numFmtId="0" fontId="9" fillId="0" borderId="20" xfId="0" applyFont="1" applyBorder="1" applyAlignment="1">
      <alignment horizontal="left" vertical="top" wrapText="1"/>
    </xf>
    <xf numFmtId="0" fontId="140" fillId="6" borderId="24" xfId="0" applyFont="1" applyFill="1" applyBorder="1" applyAlignment="1">
      <alignment vertical="top"/>
    </xf>
    <xf numFmtId="0" fontId="14" fillId="0" borderId="24" xfId="0" applyFont="1" applyBorder="1" applyAlignment="1">
      <alignment horizontal="left" vertical="top" wrapText="1"/>
    </xf>
    <xf numFmtId="14" fontId="9" fillId="0" borderId="56" xfId="0" applyNumberFormat="1" applyFont="1" applyBorder="1" applyAlignment="1">
      <alignment horizontal="left" vertical="top" wrapText="1"/>
    </xf>
    <xf numFmtId="0" fontId="10" fillId="5" borderId="19" xfId="0" applyFont="1" applyFill="1" applyBorder="1" applyAlignment="1">
      <alignment horizontal="left" vertical="top"/>
    </xf>
    <xf numFmtId="0" fontId="9" fillId="0" borderId="23" xfId="0" applyFont="1" applyBorder="1" applyAlignment="1">
      <alignment horizontal="left" vertical="top" wrapText="1"/>
    </xf>
    <xf numFmtId="0" fontId="141" fillId="0" borderId="24" xfId="0" applyFont="1" applyBorder="1" applyAlignment="1">
      <alignment horizontal="left" vertical="top"/>
    </xf>
    <xf numFmtId="167" fontId="4" fillId="0" borderId="19" xfId="0" applyNumberFormat="1" applyFont="1" applyBorder="1" applyAlignment="1">
      <alignment horizontal="left" vertical="top" wrapText="1"/>
    </xf>
    <xf numFmtId="166" fontId="4" fillId="0" borderId="23" xfId="0" applyNumberFormat="1" applyFont="1" applyBorder="1" applyAlignment="1">
      <alignment horizontal="right" vertical="center"/>
    </xf>
    <xf numFmtId="0" fontId="4" fillId="0" borderId="0" xfId="0" applyFont="1" applyAlignment="1">
      <alignment horizontal="left" vertical="top"/>
    </xf>
    <xf numFmtId="14" fontId="4" fillId="0" borderId="23" xfId="0" applyNumberFormat="1" applyFont="1" applyBorder="1" applyAlignment="1">
      <alignment horizontal="left" vertical="top" wrapText="1"/>
    </xf>
    <xf numFmtId="14" fontId="4" fillId="0" borderId="44" xfId="0" applyNumberFormat="1" applyFont="1" applyBorder="1" applyAlignment="1">
      <alignment horizontal="left" vertical="top" wrapText="1"/>
    </xf>
    <xf numFmtId="0" fontId="4" fillId="7" borderId="19" xfId="0" applyFont="1" applyFill="1" applyBorder="1" applyAlignment="1">
      <alignment horizontal="left" vertical="top" wrapText="1"/>
    </xf>
    <xf numFmtId="166" fontId="4" fillId="0" borderId="20" xfId="0" applyNumberFormat="1" applyFont="1" applyBorder="1" applyAlignment="1">
      <alignment horizontal="right" vertical="center"/>
    </xf>
    <xf numFmtId="0" fontId="142" fillId="0" borderId="19" xfId="0" applyFont="1" applyBorder="1" applyAlignment="1">
      <alignment vertical="center" wrapText="1"/>
    </xf>
    <xf numFmtId="0" fontId="143" fillId="0" borderId="19" xfId="0" applyFont="1" applyBorder="1" applyAlignment="1">
      <alignment vertical="top" wrapText="1"/>
    </xf>
    <xf numFmtId="14" fontId="4" fillId="0" borderId="19" xfId="0" applyNumberFormat="1" applyFont="1" applyBorder="1" applyAlignment="1">
      <alignment horizontal="left" vertical="top" wrapText="1"/>
    </xf>
    <xf numFmtId="168" fontId="4" fillId="0" borderId="20" xfId="0" applyNumberFormat="1" applyFont="1" applyBorder="1" applyAlignment="1">
      <alignment horizontal="left" vertical="top"/>
    </xf>
    <xf numFmtId="0" fontId="144" fillId="0" borderId="19" xfId="0" applyFont="1" applyBorder="1" applyAlignment="1">
      <alignment vertical="center" wrapText="1"/>
    </xf>
    <xf numFmtId="0" fontId="5" fillId="0" borderId="19" xfId="0" applyFont="1" applyBorder="1" applyAlignment="1">
      <alignment vertical="top" wrapText="1"/>
    </xf>
    <xf numFmtId="0" fontId="4" fillId="0" borderId="24" xfId="0" applyFont="1" applyBorder="1" applyAlignment="1">
      <alignment horizontal="left" vertical="top" wrapText="1"/>
    </xf>
    <xf numFmtId="0" fontId="9" fillId="0" borderId="24" xfId="0" applyFont="1" applyBorder="1" applyAlignment="1">
      <alignment horizontal="left" vertical="top"/>
    </xf>
    <xf numFmtId="0" fontId="4" fillId="0" borderId="24" xfId="0" applyFont="1" applyBorder="1" applyAlignment="1">
      <alignment horizontal="left" vertical="top"/>
    </xf>
    <xf numFmtId="166" fontId="4" fillId="0" borderId="24" xfId="0" applyNumberFormat="1" applyFont="1" applyBorder="1" applyAlignment="1">
      <alignment horizontal="right" vertical="center"/>
    </xf>
    <xf numFmtId="0" fontId="145" fillId="0" borderId="19" xfId="0" applyFont="1" applyBorder="1" applyAlignment="1">
      <alignment vertical="center" wrapText="1"/>
    </xf>
    <xf numFmtId="0" fontId="10" fillId="10" borderId="15" xfId="0" applyFont="1" applyFill="1" applyBorder="1" applyAlignment="1">
      <alignment horizontal="left" vertical="top"/>
    </xf>
    <xf numFmtId="0" fontId="25" fillId="0" borderId="19" xfId="0" applyFont="1" applyBorder="1" applyAlignment="1">
      <alignment vertical="top" wrapText="1"/>
    </xf>
    <xf numFmtId="166" fontId="4" fillId="0" borderId="19" xfId="0" applyNumberFormat="1" applyFont="1" applyBorder="1" applyAlignment="1">
      <alignment horizontal="right" vertical="center"/>
    </xf>
    <xf numFmtId="0" fontId="4" fillId="0" borderId="19" xfId="0" quotePrefix="1" applyFont="1" applyBorder="1" applyAlignment="1">
      <alignment horizontal="left" vertical="top" wrapText="1"/>
    </xf>
    <xf numFmtId="0" fontId="41" fillId="0" borderId="19" xfId="0" applyFont="1" applyBorder="1" applyAlignment="1">
      <alignment horizontal="center" vertical="top" wrapText="1"/>
    </xf>
    <xf numFmtId="0" fontId="4" fillId="0" borderId="0" xfId="0" applyFont="1" applyAlignment="1">
      <alignment horizontal="left" vertical="top" wrapText="1"/>
    </xf>
    <xf numFmtId="0" fontId="4" fillId="4" borderId="19" xfId="0" applyFont="1" applyFill="1" applyBorder="1" applyAlignment="1">
      <alignment horizontal="left" vertical="top"/>
    </xf>
    <xf numFmtId="0" fontId="10" fillId="4" borderId="19" xfId="0" applyFont="1" applyFill="1" applyBorder="1" applyAlignment="1">
      <alignment horizontal="left" vertical="top"/>
    </xf>
    <xf numFmtId="167" fontId="4" fillId="0" borderId="0" xfId="0" applyNumberFormat="1" applyFont="1" applyAlignment="1">
      <alignment horizontal="left" vertical="top" wrapText="1"/>
    </xf>
    <xf numFmtId="0" fontId="146" fillId="0" borderId="19" xfId="0" applyFont="1" applyBorder="1" applyAlignment="1">
      <alignment vertical="center" wrapText="1"/>
    </xf>
    <xf numFmtId="0" fontId="147" fillId="0" borderId="19" xfId="0" applyFont="1" applyBorder="1" applyAlignment="1">
      <alignment horizontal="left" vertical="top"/>
    </xf>
    <xf numFmtId="0" fontId="10" fillId="7" borderId="19" xfId="0" applyFont="1" applyFill="1" applyBorder="1" applyAlignment="1">
      <alignment horizontal="left" vertical="top"/>
    </xf>
    <xf numFmtId="0" fontId="148" fillId="0" borderId="19" xfId="0" applyFont="1" applyBorder="1" applyAlignment="1">
      <alignment vertical="top" wrapText="1"/>
    </xf>
    <xf numFmtId="0" fontId="4" fillId="7" borderId="19" xfId="0" applyFont="1" applyFill="1" applyBorder="1" applyAlignment="1">
      <alignment horizontal="left" vertical="top"/>
    </xf>
    <xf numFmtId="0" fontId="25" fillId="0" borderId="19" xfId="0" applyFont="1" applyBorder="1" applyAlignment="1">
      <alignment vertical="center" wrapText="1"/>
    </xf>
    <xf numFmtId="14" fontId="25" fillId="0" borderId="19" xfId="0" applyNumberFormat="1" applyFont="1" applyBorder="1" applyAlignment="1">
      <alignment horizontal="left" vertical="center" wrapText="1"/>
    </xf>
    <xf numFmtId="0" fontId="10" fillId="10" borderId="16" xfId="0" applyFont="1" applyFill="1" applyBorder="1" applyAlignment="1">
      <alignment horizontal="left" vertical="top"/>
    </xf>
    <xf numFmtId="0" fontId="4" fillId="0" borderId="23" xfId="0" applyFont="1" applyBorder="1" applyAlignment="1">
      <alignment horizontal="left" vertical="top" wrapText="1"/>
    </xf>
    <xf numFmtId="0" fontId="4" fillId="7" borderId="23" xfId="0" applyFont="1" applyFill="1" applyBorder="1" applyAlignment="1">
      <alignment horizontal="left" vertical="top" wrapText="1"/>
    </xf>
    <xf numFmtId="167" fontId="4" fillId="0" borderId="23" xfId="0" applyNumberFormat="1" applyFont="1" applyBorder="1" applyAlignment="1">
      <alignment horizontal="left" vertical="top" wrapText="1"/>
    </xf>
    <xf numFmtId="0" fontId="4" fillId="0" borderId="23" xfId="0" quotePrefix="1" applyFont="1" applyBorder="1" applyAlignment="1">
      <alignment horizontal="left" vertical="top" wrapText="1"/>
    </xf>
    <xf numFmtId="14" fontId="4" fillId="0" borderId="57" xfId="0" applyNumberFormat="1" applyFont="1" applyBorder="1" applyAlignment="1">
      <alignment horizontal="left" vertical="top" wrapText="1"/>
    </xf>
    <xf numFmtId="0" fontId="25" fillId="0" borderId="24" xfId="0" applyFont="1" applyBorder="1" applyAlignment="1">
      <alignment horizontal="left" vertical="top"/>
    </xf>
    <xf numFmtId="0" fontId="41" fillId="0" borderId="23" xfId="0" applyFont="1" applyBorder="1" applyAlignment="1">
      <alignment horizontal="center" vertical="center" wrapText="1"/>
    </xf>
    <xf numFmtId="0" fontId="149" fillId="0" borderId="23" xfId="0" applyFont="1" applyBorder="1" applyAlignment="1">
      <alignment vertical="center" wrapText="1"/>
    </xf>
    <xf numFmtId="0" fontId="41" fillId="0" borderId="23" xfId="0" applyFont="1" applyBorder="1" applyAlignment="1">
      <alignment vertical="center" wrapText="1"/>
    </xf>
    <xf numFmtId="0" fontId="25" fillId="0" borderId="19" xfId="0" applyFont="1" applyBorder="1"/>
    <xf numFmtId="14" fontId="13" fillId="6" borderId="44" xfId="0" applyNumberFormat="1" applyFont="1" applyFill="1" applyBorder="1" applyAlignment="1">
      <alignment horizontal="left" vertical="top"/>
    </xf>
    <xf numFmtId="0" fontId="150" fillId="0" borderId="19" xfId="0" applyFont="1" applyBorder="1" applyAlignment="1">
      <alignment vertical="center" wrapText="1"/>
    </xf>
    <xf numFmtId="0" fontId="151" fillId="0" borderId="19" xfId="0" applyFont="1" applyBorder="1" applyAlignment="1">
      <alignment vertical="top" wrapText="1"/>
    </xf>
    <xf numFmtId="0" fontId="25" fillId="0" borderId="19" xfId="0" applyFont="1" applyBorder="1" applyAlignment="1">
      <alignment horizontal="left" vertical="top"/>
    </xf>
    <xf numFmtId="0" fontId="152" fillId="0" borderId="19" xfId="0" applyFont="1" applyBorder="1" applyAlignment="1">
      <alignment vertical="center" wrapText="1"/>
    </xf>
    <xf numFmtId="0" fontId="9" fillId="7" borderId="30" xfId="0" applyFont="1" applyFill="1" applyBorder="1" applyAlignment="1">
      <alignment vertical="top" wrapText="1"/>
    </xf>
    <xf numFmtId="0" fontId="137" fillId="6" borderId="30" xfId="0" applyFont="1" applyFill="1" applyBorder="1" applyAlignment="1">
      <alignment vertical="top"/>
    </xf>
    <xf numFmtId="0" fontId="9" fillId="0" borderId="30" xfId="0" applyFont="1" applyBorder="1" applyAlignment="1">
      <alignment horizontal="left" vertical="top"/>
    </xf>
    <xf numFmtId="0" fontId="9" fillId="6" borderId="19" xfId="0" applyFont="1" applyFill="1" applyBorder="1" applyAlignment="1">
      <alignment vertical="top"/>
    </xf>
    <xf numFmtId="167" fontId="9" fillId="0" borderId="30" xfId="0" applyNumberFormat="1" applyFont="1" applyBorder="1" applyAlignment="1">
      <alignment horizontal="left" vertical="top" wrapText="1"/>
    </xf>
    <xf numFmtId="166" fontId="137" fillId="6" borderId="30" xfId="0" applyNumberFormat="1" applyFont="1" applyFill="1" applyBorder="1" applyAlignment="1">
      <alignment horizontal="right" vertical="top"/>
    </xf>
    <xf numFmtId="0" fontId="137" fillId="0" borderId="30" xfId="0" applyFont="1" applyBorder="1" applyAlignment="1">
      <alignment horizontal="left" vertical="top" wrapText="1"/>
    </xf>
    <xf numFmtId="14" fontId="9" fillId="0" borderId="30" xfId="0" applyNumberFormat="1" applyFont="1" applyBorder="1" applyAlignment="1">
      <alignment horizontal="left" vertical="top" wrapText="1"/>
    </xf>
    <xf numFmtId="0" fontId="9" fillId="0" borderId="58" xfId="0" quotePrefix="1" applyFont="1" applyBorder="1" applyAlignment="1">
      <alignment horizontal="left" vertical="top" wrapText="1"/>
    </xf>
    <xf numFmtId="0" fontId="41" fillId="0" borderId="30" xfId="0" applyFont="1" applyBorder="1" applyAlignment="1">
      <alignment vertical="center" wrapText="1"/>
    </xf>
    <xf numFmtId="0" fontId="153" fillId="0" borderId="30" xfId="0" applyFont="1" applyBorder="1" applyAlignment="1">
      <alignment vertical="center" wrapText="1"/>
    </xf>
    <xf numFmtId="0" fontId="137" fillId="6" borderId="19" xfId="0" applyFont="1" applyFill="1" applyBorder="1" applyAlignment="1">
      <alignment vertical="top" wrapText="1"/>
    </xf>
    <xf numFmtId="167" fontId="9" fillId="0" borderId="19" xfId="0" applyNumberFormat="1" applyFont="1" applyBorder="1" applyAlignment="1">
      <alignment horizontal="left" vertical="top" wrapText="1"/>
    </xf>
    <xf numFmtId="166" fontId="137" fillId="6" borderId="19" xfId="0" applyNumberFormat="1" applyFont="1" applyFill="1" applyBorder="1" applyAlignment="1">
      <alignment horizontal="right" vertical="top"/>
    </xf>
    <xf numFmtId="14" fontId="9" fillId="0" borderId="19" xfId="0" applyNumberFormat="1" applyFont="1" applyBorder="1" applyAlignment="1">
      <alignment horizontal="left" vertical="top" wrapText="1"/>
    </xf>
    <xf numFmtId="0" fontId="9" fillId="0" borderId="44" xfId="0" quotePrefix="1" applyFont="1" applyBorder="1" applyAlignment="1">
      <alignment horizontal="left" vertical="top" wrapText="1"/>
    </xf>
    <xf numFmtId="0" fontId="154" fillId="0" borderId="20" xfId="0" applyFont="1" applyBorder="1" applyAlignment="1">
      <alignment wrapText="1"/>
    </xf>
    <xf numFmtId="0" fontId="9" fillId="0" borderId="59" xfId="0" applyFont="1" applyBorder="1" applyAlignment="1">
      <alignment vertical="top" wrapText="1"/>
    </xf>
    <xf numFmtId="0" fontId="9" fillId="7" borderId="59" xfId="0" applyFont="1" applyFill="1" applyBorder="1" applyAlignment="1">
      <alignment vertical="top" wrapText="1"/>
    </xf>
    <xf numFmtId="0" fontId="9" fillId="0" borderId="59" xfId="0" applyFont="1" applyBorder="1" applyAlignment="1">
      <alignment horizontal="left" vertical="top"/>
    </xf>
    <xf numFmtId="0" fontId="4" fillId="0" borderId="59" xfId="0" applyFont="1" applyBorder="1" applyAlignment="1">
      <alignment horizontal="left" vertical="top"/>
    </xf>
    <xf numFmtId="167" fontId="4" fillId="0" borderId="59" xfId="0" applyNumberFormat="1" applyFont="1" applyBorder="1" applyAlignment="1">
      <alignment horizontal="left" vertical="top" wrapText="1"/>
    </xf>
    <xf numFmtId="166" fontId="137" fillId="6" borderId="59" xfId="0" applyNumberFormat="1" applyFont="1" applyFill="1" applyBorder="1" applyAlignment="1">
      <alignment horizontal="right" vertical="top"/>
    </xf>
    <xf numFmtId="0" fontId="4" fillId="0" borderId="59" xfId="0" quotePrefix="1" applyFont="1" applyBorder="1" applyAlignment="1">
      <alignment horizontal="left" vertical="top" wrapText="1"/>
    </xf>
    <xf numFmtId="14" fontId="4" fillId="0" borderId="60" xfId="0" applyNumberFormat="1" applyFont="1" applyBorder="1" applyAlignment="1">
      <alignment horizontal="left" vertical="top" wrapText="1"/>
    </xf>
    <xf numFmtId="0" fontId="41" fillId="0" borderId="59" xfId="0" applyFont="1" applyBorder="1" applyAlignment="1">
      <alignment vertical="top" wrapText="1"/>
    </xf>
    <xf numFmtId="0" fontId="155" fillId="0" borderId="59" xfId="0" applyFont="1" applyBorder="1" applyAlignment="1">
      <alignment vertical="top" wrapText="1"/>
    </xf>
    <xf numFmtId="0" fontId="41" fillId="0" borderId="61" xfId="0" applyFont="1" applyBorder="1" applyAlignment="1">
      <alignment vertical="top" wrapText="1"/>
    </xf>
    <xf numFmtId="166" fontId="4" fillId="0" borderId="19" xfId="0" applyNumberFormat="1" applyFont="1" applyBorder="1" applyAlignment="1">
      <alignment horizontal="right" vertical="top"/>
    </xf>
    <xf numFmtId="0" fontId="25" fillId="0" borderId="19" xfId="0" quotePrefix="1" applyFont="1" applyBorder="1" applyAlignment="1">
      <alignment horizontal="left" vertical="top" wrapText="1"/>
    </xf>
    <xf numFmtId="0" fontId="156" fillId="0" borderId="19" xfId="0" applyFont="1" applyBorder="1" applyAlignment="1">
      <alignment vertical="top" wrapText="1"/>
    </xf>
    <xf numFmtId="0" fontId="10" fillId="0" borderId="15" xfId="0" applyFont="1" applyBorder="1" applyAlignment="1">
      <alignment horizontal="left" vertical="top"/>
    </xf>
    <xf numFmtId="0" fontId="9" fillId="7" borderId="23" xfId="0" applyFont="1" applyFill="1" applyBorder="1" applyAlignment="1">
      <alignment horizontal="left" vertical="top" wrapText="1"/>
    </xf>
    <xf numFmtId="0" fontId="25" fillId="0" borderId="23" xfId="0" applyFont="1" applyBorder="1" applyAlignment="1">
      <alignment horizontal="left" vertical="top" wrapText="1"/>
    </xf>
    <xf numFmtId="0" fontId="157" fillId="0" borderId="23" xfId="0" applyFont="1" applyBorder="1" applyAlignment="1">
      <alignment vertical="top" wrapText="1"/>
    </xf>
    <xf numFmtId="0" fontId="4" fillId="0" borderId="30" xfId="0" applyFont="1" applyBorder="1" applyAlignment="1">
      <alignment horizontal="left" vertical="top" wrapText="1"/>
    </xf>
    <xf numFmtId="0" fontId="4" fillId="7" borderId="30" xfId="0" applyFont="1" applyFill="1" applyBorder="1" applyAlignment="1">
      <alignment horizontal="left" vertical="top" wrapText="1"/>
    </xf>
    <xf numFmtId="0" fontId="4" fillId="0" borderId="30" xfId="0" applyFont="1" applyBorder="1" applyAlignment="1">
      <alignment horizontal="left" vertical="top"/>
    </xf>
    <xf numFmtId="167" fontId="4" fillId="0" borderId="30" xfId="0" applyNumberFormat="1" applyFont="1" applyBorder="1" applyAlignment="1">
      <alignment horizontal="left" vertical="top" wrapText="1"/>
    </xf>
    <xf numFmtId="166" fontId="4" fillId="0" borderId="30" xfId="0" applyNumberFormat="1" applyFont="1" applyBorder="1" applyAlignment="1">
      <alignment horizontal="right" vertical="top"/>
    </xf>
    <xf numFmtId="14" fontId="4" fillId="0" borderId="30" xfId="0" applyNumberFormat="1" applyFont="1" applyBorder="1" applyAlignment="1">
      <alignment horizontal="left" vertical="top" wrapText="1"/>
    </xf>
    <xf numFmtId="14" fontId="4" fillId="0" borderId="58" xfId="0" applyNumberFormat="1" applyFont="1" applyBorder="1" applyAlignment="1">
      <alignment horizontal="left" vertical="top" wrapText="1"/>
    </xf>
    <xf numFmtId="0" fontId="25" fillId="0" borderId="30" xfId="0" applyFont="1" applyBorder="1" applyAlignment="1">
      <alignment horizontal="left" vertical="top" wrapText="1"/>
    </xf>
    <xf numFmtId="0" fontId="158" fillId="0" borderId="30" xfId="0" applyFont="1" applyBorder="1" applyAlignment="1">
      <alignment vertical="top" wrapText="1"/>
    </xf>
    <xf numFmtId="0" fontId="25" fillId="0" borderId="19" xfId="0" applyFont="1" applyBorder="1" applyAlignment="1">
      <alignment horizontal="left" vertical="top" wrapText="1"/>
    </xf>
    <xf numFmtId="0" fontId="4" fillId="0" borderId="59" xfId="0" applyFont="1" applyBorder="1" applyAlignment="1">
      <alignment horizontal="left" vertical="top" wrapText="1"/>
    </xf>
    <xf numFmtId="166" fontId="4" fillId="0" borderId="59" xfId="0" applyNumberFormat="1" applyFont="1" applyBorder="1" applyAlignment="1">
      <alignment horizontal="right" vertical="center"/>
    </xf>
    <xf numFmtId="0" fontId="25" fillId="0" borderId="59" xfId="0" applyFont="1" applyBorder="1" applyAlignment="1">
      <alignment wrapText="1"/>
    </xf>
    <xf numFmtId="0" fontId="141" fillId="0" borderId="19" xfId="0" applyFont="1" applyBorder="1" applyAlignment="1">
      <alignment horizontal="left" vertical="top"/>
    </xf>
    <xf numFmtId="0" fontId="4" fillId="0" borderId="19" xfId="0" applyFont="1" applyBorder="1" applyAlignment="1">
      <alignment horizontal="left" vertical="center" wrapText="1"/>
    </xf>
    <xf numFmtId="0" fontId="159" fillId="0" borderId="19" xfId="0" applyFont="1" applyBorder="1" applyAlignment="1">
      <alignment wrapText="1"/>
    </xf>
    <xf numFmtId="0" fontId="160" fillId="0" borderId="19" xfId="0" applyFont="1" applyBorder="1" applyAlignment="1">
      <alignment horizontal="left" vertical="top"/>
    </xf>
    <xf numFmtId="0" fontId="133" fillId="0" borderId="19" xfId="0" applyFont="1" applyBorder="1" applyAlignment="1">
      <alignment horizontal="left" vertical="top"/>
    </xf>
    <xf numFmtId="0" fontId="4" fillId="0" borderId="44" xfId="0" quotePrefix="1" applyFont="1" applyBorder="1" applyAlignment="1">
      <alignment horizontal="left" vertical="top" wrapText="1"/>
    </xf>
    <xf numFmtId="0" fontId="41" fillId="0" borderId="19" xfId="0" applyFont="1" applyBorder="1" applyAlignment="1">
      <alignment horizontal="left" vertical="top" wrapText="1"/>
    </xf>
    <xf numFmtId="0" fontId="10" fillId="10" borderId="54" xfId="0" applyFont="1" applyFill="1" applyBorder="1" applyAlignment="1">
      <alignment horizontal="left" vertical="top"/>
    </xf>
    <xf numFmtId="0" fontId="9" fillId="7" borderId="59" xfId="0" applyFont="1" applyFill="1" applyBorder="1" applyAlignment="1">
      <alignment horizontal="left" vertical="top" wrapText="1"/>
    </xf>
    <xf numFmtId="0" fontId="133" fillId="0" borderId="59" xfId="0" applyFont="1" applyBorder="1" applyAlignment="1">
      <alignment horizontal="left" vertical="top"/>
    </xf>
    <xf numFmtId="166" fontId="4" fillId="0" borderId="59" xfId="0" applyNumberFormat="1" applyFont="1" applyBorder="1" applyAlignment="1">
      <alignment horizontal="right" vertical="top"/>
    </xf>
    <xf numFmtId="0" fontId="11" fillId="0" borderId="59" xfId="0" applyFont="1" applyBorder="1" applyAlignment="1">
      <alignment horizontal="left" vertical="top" wrapText="1"/>
    </xf>
    <xf numFmtId="14" fontId="4" fillId="0" borderId="59" xfId="0" applyNumberFormat="1" applyFont="1" applyBorder="1" applyAlignment="1">
      <alignment horizontal="left" vertical="top" wrapText="1"/>
    </xf>
    <xf numFmtId="0" fontId="4" fillId="0" borderId="60" xfId="0" quotePrefix="1" applyFont="1" applyBorder="1" applyAlignment="1">
      <alignment horizontal="left" vertical="top" wrapText="1"/>
    </xf>
    <xf numFmtId="0" fontId="25" fillId="0" borderId="61" xfId="0" applyFont="1" applyBorder="1" applyAlignment="1">
      <alignment wrapText="1"/>
    </xf>
    <xf numFmtId="0" fontId="161" fillId="0" borderId="19" xfId="0" applyFont="1" applyBorder="1" applyAlignment="1">
      <alignment vertical="center" wrapText="1"/>
    </xf>
    <xf numFmtId="0" fontId="14" fillId="7" borderId="19" xfId="0" applyFont="1" applyFill="1" applyBorder="1" applyAlignment="1">
      <alignment vertical="top" wrapText="1"/>
    </xf>
    <xf numFmtId="0" fontId="9" fillId="7" borderId="23" xfId="0" applyFont="1" applyFill="1" applyBorder="1" applyAlignment="1">
      <alignment vertical="top" wrapText="1"/>
    </xf>
    <xf numFmtId="0" fontId="129" fillId="0" borderId="23" xfId="0" applyFont="1" applyBorder="1" applyAlignment="1">
      <alignment horizontal="center" vertical="center" wrapText="1"/>
    </xf>
    <xf numFmtId="0" fontId="13" fillId="6" borderId="23" xfId="0" applyFont="1" applyFill="1" applyBorder="1" applyAlignment="1">
      <alignment horizontal="right"/>
    </xf>
    <xf numFmtId="0" fontId="13" fillId="6" borderId="23" xfId="0" applyFont="1" applyFill="1" applyBorder="1" applyAlignment="1">
      <alignment horizontal="left" vertical="top" wrapText="1"/>
    </xf>
    <xf numFmtId="166" fontId="13" fillId="6" borderId="23" xfId="0" applyNumberFormat="1" applyFont="1" applyFill="1" applyBorder="1" applyAlignment="1">
      <alignment horizontal="right"/>
    </xf>
    <xf numFmtId="0" fontId="162" fillId="0" borderId="23" xfId="0" applyFont="1" applyBorder="1"/>
    <xf numFmtId="14" fontId="162" fillId="0" borderId="57" xfId="0" applyNumberFormat="1" applyFont="1" applyBorder="1"/>
    <xf numFmtId="0" fontId="25" fillId="0" borderId="23" xfId="0" applyFont="1" applyBorder="1" applyAlignment="1">
      <alignment wrapText="1"/>
    </xf>
    <xf numFmtId="0" fontId="25" fillId="0" borderId="21" xfId="0" applyFont="1" applyBorder="1" applyAlignment="1">
      <alignment wrapText="1"/>
    </xf>
    <xf numFmtId="0" fontId="9" fillId="7" borderId="30" xfId="0" applyFont="1" applyFill="1" applyBorder="1" applyAlignment="1">
      <alignment horizontal="left" vertical="top" wrapText="1"/>
    </xf>
    <xf numFmtId="0" fontId="133" fillId="0" borderId="30" xfId="0" applyFont="1" applyBorder="1" applyAlignment="1">
      <alignment horizontal="left" vertical="top"/>
    </xf>
    <xf numFmtId="0" fontId="11" fillId="0" borderId="30" xfId="0" applyFont="1" applyBorder="1" applyAlignment="1">
      <alignment horizontal="left" vertical="top" wrapText="1"/>
    </xf>
    <xf numFmtId="0" fontId="4" fillId="0" borderId="58" xfId="0" quotePrefix="1" applyFont="1" applyBorder="1" applyAlignment="1">
      <alignment horizontal="left" vertical="top" wrapText="1"/>
    </xf>
    <xf numFmtId="0" fontId="25" fillId="0" borderId="62" xfId="0" applyFont="1" applyBorder="1" applyAlignment="1">
      <alignment horizontal="left" vertical="top"/>
    </xf>
    <xf numFmtId="0" fontId="25" fillId="0" borderId="63" xfId="0" applyFont="1" applyBorder="1" applyAlignment="1">
      <alignment vertical="top" wrapText="1"/>
    </xf>
    <xf numFmtId="0" fontId="163" fillId="0" borderId="19" xfId="0" applyFont="1" applyBorder="1" applyAlignment="1">
      <alignment wrapText="1"/>
    </xf>
    <xf numFmtId="166" fontId="164" fillId="0" borderId="19" xfId="0" applyNumberFormat="1" applyFont="1" applyBorder="1" applyAlignment="1">
      <alignment horizontal="right" vertical="top"/>
    </xf>
    <xf numFmtId="0" fontId="165" fillId="0" borderId="19" xfId="0" applyFont="1" applyBorder="1" applyAlignment="1">
      <alignment wrapText="1"/>
    </xf>
    <xf numFmtId="0" fontId="166" fillId="0" borderId="23" xfId="0" applyFont="1" applyBorder="1" applyAlignment="1">
      <alignment wrapText="1"/>
    </xf>
    <xf numFmtId="0" fontId="10" fillId="10" borderId="25" xfId="0" applyFont="1" applyFill="1" applyBorder="1" applyAlignment="1">
      <alignment horizontal="left" vertical="top"/>
    </xf>
    <xf numFmtId="0" fontId="167" fillId="0" borderId="19" xfId="0" applyFont="1" applyBorder="1" applyAlignment="1">
      <alignment vertical="center" wrapText="1"/>
    </xf>
    <xf numFmtId="0" fontId="168" fillId="0" borderId="19" xfId="0" applyFont="1" applyBorder="1" applyAlignment="1">
      <alignment vertical="center" wrapText="1"/>
    </xf>
    <xf numFmtId="0" fontId="169" fillId="0" borderId="19" xfId="0" applyFont="1" applyBorder="1" applyAlignment="1">
      <alignment horizontal="center" vertical="center" wrapText="1"/>
    </xf>
    <xf numFmtId="0" fontId="87" fillId="0" borderId="19" xfId="0" applyFont="1" applyBorder="1" applyAlignment="1">
      <alignment vertical="top" wrapText="1"/>
    </xf>
    <xf numFmtId="0" fontId="25" fillId="0" borderId="64" xfId="0" applyFont="1" applyBorder="1" applyAlignment="1">
      <alignment vertical="top" wrapText="1"/>
    </xf>
    <xf numFmtId="0" fontId="4" fillId="7" borderId="30" xfId="0" applyFont="1" applyFill="1" applyBorder="1" applyAlignment="1">
      <alignment horizontal="left" vertical="top"/>
    </xf>
    <xf numFmtId="166" fontId="4" fillId="0" borderId="30" xfId="0" applyNumberFormat="1" applyFont="1" applyBorder="1" applyAlignment="1">
      <alignment horizontal="right" vertical="center"/>
    </xf>
    <xf numFmtId="0" fontId="4" fillId="0" borderId="30" xfId="0" quotePrefix="1" applyFont="1" applyBorder="1" applyAlignment="1">
      <alignment horizontal="left" vertical="top" wrapText="1"/>
    </xf>
    <xf numFmtId="0" fontId="25" fillId="0" borderId="30" xfId="0" applyFont="1" applyBorder="1" applyAlignment="1">
      <alignment wrapText="1"/>
    </xf>
    <xf numFmtId="0" fontId="25" fillId="0" borderId="63" xfId="0" applyFont="1" applyBorder="1" applyAlignment="1">
      <alignment wrapText="1"/>
    </xf>
    <xf numFmtId="168" fontId="4" fillId="0" borderId="19" xfId="0" applyNumberFormat="1" applyFont="1" applyBorder="1" applyAlignment="1">
      <alignment horizontal="left" vertical="top" wrapText="1"/>
    </xf>
    <xf numFmtId="0" fontId="170" fillId="0" borderId="0" xfId="0" applyFont="1" applyAlignment="1">
      <alignment vertical="top" wrapText="1"/>
    </xf>
    <xf numFmtId="0" fontId="171" fillId="0" borderId="19" xfId="0" applyFont="1" applyBorder="1" applyAlignment="1">
      <alignment horizontal="left" vertical="top"/>
    </xf>
    <xf numFmtId="0" fontId="172" fillId="0" borderId="19" xfId="0" applyFont="1" applyBorder="1" applyAlignment="1">
      <alignment vertical="top" wrapText="1"/>
    </xf>
    <xf numFmtId="0" fontId="4" fillId="0" borderId="44" xfId="0" applyFont="1" applyBorder="1" applyAlignment="1">
      <alignment horizontal="left" vertical="top" wrapText="1"/>
    </xf>
    <xf numFmtId="0" fontId="173" fillId="0" borderId="19" xfId="0" applyFont="1" applyBorder="1" applyAlignment="1">
      <alignment wrapText="1"/>
    </xf>
    <xf numFmtId="0" fontId="25" fillId="6" borderId="29" xfId="0" applyFont="1" applyFill="1" applyBorder="1" applyAlignment="1">
      <alignment horizontal="left" vertical="top"/>
    </xf>
    <xf numFmtId="0" fontId="25" fillId="6" borderId="19" xfId="0" applyFont="1" applyFill="1" applyBorder="1" applyAlignment="1">
      <alignment wrapText="1"/>
    </xf>
    <xf numFmtId="0" fontId="25" fillId="6" borderId="65" xfId="0" applyFont="1" applyFill="1" applyBorder="1" applyAlignment="1">
      <alignment wrapText="1"/>
    </xf>
    <xf numFmtId="0" fontId="4" fillId="6" borderId="12" xfId="0" applyFont="1" applyFill="1" applyBorder="1" applyAlignment="1">
      <alignment horizontal="left" vertical="top" wrapText="1"/>
    </xf>
    <xf numFmtId="0" fontId="4" fillId="6" borderId="12" xfId="0" applyFont="1" applyFill="1" applyBorder="1" applyAlignment="1">
      <alignment horizontal="left" vertical="top"/>
    </xf>
    <xf numFmtId="167" fontId="4" fillId="6" borderId="12" xfId="0" applyNumberFormat="1" applyFont="1" applyFill="1" applyBorder="1" applyAlignment="1">
      <alignment horizontal="left" vertical="top" wrapText="1"/>
    </xf>
    <xf numFmtId="166" fontId="4" fillId="6" borderId="12" xfId="0" applyNumberFormat="1" applyFont="1" applyFill="1" applyBorder="1" applyAlignment="1">
      <alignment horizontal="right" vertical="center"/>
    </xf>
    <xf numFmtId="14" fontId="4" fillId="6" borderId="19" xfId="0" applyNumberFormat="1" applyFont="1" applyFill="1" applyBorder="1" applyAlignment="1">
      <alignment horizontal="left" vertical="top" wrapText="1"/>
    </xf>
    <xf numFmtId="14" fontId="4" fillId="6" borderId="66" xfId="0" applyNumberFormat="1" applyFont="1" applyFill="1" applyBorder="1" applyAlignment="1">
      <alignment horizontal="left" vertical="top" wrapText="1"/>
    </xf>
    <xf numFmtId="0" fontId="25" fillId="6" borderId="67" xfId="0" applyFont="1" applyFill="1" applyBorder="1" applyAlignment="1">
      <alignment horizontal="left" vertical="top"/>
    </xf>
    <xf numFmtId="0" fontId="25" fillId="6" borderId="68" xfId="0" applyFont="1" applyFill="1" applyBorder="1" applyAlignment="1">
      <alignment wrapText="1"/>
    </xf>
    <xf numFmtId="0" fontId="25" fillId="6" borderId="69" xfId="0" applyFont="1" applyFill="1" applyBorder="1" applyAlignment="1">
      <alignment wrapText="1"/>
    </xf>
    <xf numFmtId="167" fontId="4" fillId="0" borderId="0" xfId="0" applyNumberFormat="1" applyFont="1"/>
    <xf numFmtId="166" fontId="174" fillId="0" borderId="0" xfId="0" applyNumberFormat="1" applyFont="1" applyAlignment="1">
      <alignment vertical="center"/>
    </xf>
    <xf numFmtId="0" fontId="170" fillId="0" borderId="0" xfId="0" applyFont="1"/>
    <xf numFmtId="0" fontId="120" fillId="0" borderId="0" xfId="0" applyFont="1" applyAlignment="1">
      <alignment horizontal="center" vertical="center"/>
    </xf>
    <xf numFmtId="0" fontId="120" fillId="0" borderId="70"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xf>
    <xf numFmtId="0" fontId="175" fillId="0" borderId="0" xfId="0" applyFont="1" applyAlignment="1">
      <alignment wrapText="1"/>
    </xf>
    <xf numFmtId="0" fontId="41" fillId="0" borderId="0" xfId="0" applyFont="1" applyAlignment="1">
      <alignment horizontal="center" vertical="center"/>
    </xf>
    <xf numFmtId="0" fontId="120" fillId="2" borderId="11" xfId="0" applyFont="1" applyFill="1" applyBorder="1" applyAlignment="1">
      <alignment horizontal="center" vertical="center" wrapText="1"/>
    </xf>
    <xf numFmtId="0" fontId="120" fillId="2" borderId="71" xfId="0" applyFont="1" applyFill="1" applyBorder="1" applyAlignment="1">
      <alignment horizontal="center" vertical="center" wrapText="1"/>
    </xf>
    <xf numFmtId="0" fontId="120" fillId="3" borderId="50" xfId="0" applyFont="1" applyFill="1" applyBorder="1" applyAlignment="1">
      <alignment horizontal="center" vertical="center" wrapText="1"/>
    </xf>
    <xf numFmtId="0" fontId="120" fillId="3" borderId="72" xfId="0" applyFont="1" applyFill="1" applyBorder="1" applyAlignment="1">
      <alignment horizontal="center" vertical="center" wrapText="1"/>
    </xf>
    <xf numFmtId="0" fontId="120" fillId="2" borderId="73" xfId="0" applyFont="1" applyFill="1" applyBorder="1" applyAlignment="1">
      <alignment horizontal="center" vertical="center" wrapText="1"/>
    </xf>
    <xf numFmtId="0" fontId="120" fillId="3" borderId="49" xfId="0" applyFont="1" applyFill="1" applyBorder="1" applyAlignment="1">
      <alignment horizontal="center" vertical="center" wrapText="1"/>
    </xf>
    <xf numFmtId="0" fontId="120" fillId="4" borderId="19" xfId="0" applyFont="1" applyFill="1" applyBorder="1" applyAlignment="1">
      <alignment horizontal="center" vertical="center" wrapText="1"/>
    </xf>
    <xf numFmtId="0" fontId="120" fillId="2" borderId="14" xfId="0" applyFont="1" applyFill="1" applyBorder="1" applyAlignment="1">
      <alignment vertical="top" wrapText="1"/>
    </xf>
    <xf numFmtId="0" fontId="120" fillId="2" borderId="15" xfId="0" applyFont="1" applyFill="1" applyBorder="1" applyAlignment="1">
      <alignment horizontal="left" vertical="top" wrapText="1"/>
    </xf>
    <xf numFmtId="0" fontId="41" fillId="6" borderId="17" xfId="0" applyFont="1" applyFill="1" applyBorder="1" applyAlignment="1">
      <alignment vertical="top" wrapText="1"/>
    </xf>
    <xf numFmtId="0" fontId="26" fillId="7" borderId="18" xfId="0" applyFont="1" applyFill="1" applyBorder="1" applyAlignment="1">
      <alignment vertical="top" wrapText="1"/>
    </xf>
    <xf numFmtId="0" fontId="26" fillId="6" borderId="16" xfId="0" applyFont="1" applyFill="1" applyBorder="1" applyAlignment="1">
      <alignment horizontal="center" vertical="top" wrapText="1"/>
    </xf>
    <xf numFmtId="0" fontId="87" fillId="0" borderId="21" xfId="0" applyFont="1" applyBorder="1" applyAlignment="1">
      <alignment horizontal="center" vertical="top" wrapText="1"/>
    </xf>
    <xf numFmtId="0" fontId="26" fillId="6" borderId="15" xfId="0" applyFont="1" applyFill="1" applyBorder="1" applyAlignment="1">
      <alignment horizontal="left" vertical="top" wrapText="1"/>
    </xf>
    <xf numFmtId="0" fontId="176" fillId="6" borderId="19" xfId="0" applyFont="1" applyFill="1" applyBorder="1" applyAlignment="1">
      <alignment vertical="top" wrapText="1"/>
    </xf>
    <xf numFmtId="0" fontId="41" fillId="0" borderId="19" xfId="0" applyFont="1" applyBorder="1" applyAlignment="1">
      <alignment vertical="top"/>
    </xf>
    <xf numFmtId="0" fontId="64" fillId="0" borderId="0" xfId="0" applyFont="1" applyAlignment="1">
      <alignment vertical="top"/>
    </xf>
    <xf numFmtId="0" fontId="120" fillId="2" borderId="22" xfId="0" applyFont="1" applyFill="1" applyBorder="1" applyAlignment="1">
      <alignment vertical="top" wrapText="1"/>
    </xf>
    <xf numFmtId="0" fontId="177" fillId="5" borderId="15" xfId="0" applyFont="1" applyFill="1" applyBorder="1" applyAlignment="1">
      <alignment horizontal="left" vertical="top" wrapText="1"/>
    </xf>
    <xf numFmtId="0" fontId="26" fillId="6" borderId="15" xfId="0" applyFont="1" applyFill="1" applyBorder="1" applyAlignment="1">
      <alignment vertical="top" wrapText="1"/>
    </xf>
    <xf numFmtId="0" fontId="26" fillId="6" borderId="19" xfId="0" applyFont="1" applyFill="1" applyBorder="1" applyAlignment="1">
      <alignment horizontal="center" vertical="top" wrapText="1"/>
    </xf>
    <xf numFmtId="0" fontId="26" fillId="6" borderId="29" xfId="0" applyFont="1" applyFill="1" applyBorder="1" applyAlignment="1">
      <alignment horizontal="left" vertical="top" wrapText="1"/>
    </xf>
    <xf numFmtId="0" fontId="178" fillId="6" borderId="19" xfId="0" applyFont="1" applyFill="1" applyBorder="1" applyAlignment="1">
      <alignment vertical="center" wrapText="1"/>
    </xf>
    <xf numFmtId="0" fontId="179" fillId="6" borderId="19" xfId="0" applyFont="1" applyFill="1" applyBorder="1" applyAlignment="1">
      <alignment vertical="top" wrapText="1"/>
    </xf>
    <xf numFmtId="0" fontId="41" fillId="0" borderId="23" xfId="0" applyFont="1" applyBorder="1" applyAlignment="1">
      <alignment vertical="top" wrapText="1"/>
    </xf>
    <xf numFmtId="0" fontId="26" fillId="7" borderId="15" xfId="0" applyFont="1" applyFill="1" applyBorder="1" applyAlignment="1">
      <alignment vertical="top" wrapText="1"/>
    </xf>
    <xf numFmtId="0" fontId="41" fillId="6" borderId="19" xfId="0" applyFont="1" applyFill="1" applyBorder="1" applyAlignment="1">
      <alignment vertical="center" wrapText="1"/>
    </xf>
    <xf numFmtId="0" fontId="120" fillId="2" borderId="15" xfId="0" applyFont="1" applyFill="1" applyBorder="1" applyAlignment="1">
      <alignment horizontal="left" vertical="center"/>
    </xf>
    <xf numFmtId="0" fontId="180" fillId="0" borderId="23" xfId="0" applyFont="1" applyBorder="1" applyAlignment="1">
      <alignment vertical="top" wrapText="1"/>
    </xf>
    <xf numFmtId="0" fontId="26" fillId="7" borderId="24" xfId="0" applyFont="1" applyFill="1" applyBorder="1" applyAlignment="1">
      <alignment vertical="top" wrapText="1"/>
    </xf>
    <xf numFmtId="0" fontId="26" fillId="0" borderId="19" xfId="0" applyFont="1" applyBorder="1" applyAlignment="1">
      <alignment horizontal="center" vertical="top" wrapText="1"/>
    </xf>
    <xf numFmtId="0" fontId="26" fillId="0" borderId="20" xfId="0" applyFont="1" applyBorder="1" applyAlignment="1">
      <alignment horizontal="left" vertical="top" wrapText="1"/>
    </xf>
    <xf numFmtId="0" fontId="33" fillId="0" borderId="19" xfId="0" applyFont="1" applyBorder="1" applyAlignment="1">
      <alignment vertical="top" wrapText="1"/>
    </xf>
    <xf numFmtId="0" fontId="120" fillId="5" borderId="15" xfId="0" applyFont="1" applyFill="1" applyBorder="1" applyAlignment="1">
      <alignment horizontal="left" vertical="center"/>
    </xf>
    <xf numFmtId="0" fontId="26" fillId="0" borderId="24" xfId="0" applyFont="1" applyBorder="1" applyAlignment="1">
      <alignment vertical="top" wrapText="1"/>
    </xf>
    <xf numFmtId="0" fontId="41" fillId="0" borderId="20" xfId="0" applyFont="1" applyBorder="1" applyAlignment="1">
      <alignment horizontal="left" vertical="top" wrapText="1"/>
    </xf>
    <xf numFmtId="0" fontId="41" fillId="6" borderId="19" xfId="0" applyFont="1" applyFill="1" applyBorder="1" applyAlignment="1">
      <alignment vertical="top" wrapText="1"/>
    </xf>
    <xf numFmtId="0" fontId="120" fillId="0" borderId="15" xfId="0" applyFont="1" applyBorder="1" applyAlignment="1">
      <alignment horizontal="left" vertical="center"/>
    </xf>
    <xf numFmtId="0" fontId="26" fillId="7" borderId="24" xfId="0" applyFont="1" applyFill="1" applyBorder="1" applyAlignment="1">
      <alignment vertical="center" wrapText="1"/>
    </xf>
    <xf numFmtId="0" fontId="87" fillId="0" borderId="21" xfId="0" applyFont="1" applyBorder="1" applyAlignment="1">
      <alignment horizontal="center" vertical="center" wrapText="1"/>
    </xf>
    <xf numFmtId="0" fontId="41" fillId="0" borderId="20" xfId="0" applyFont="1" applyBorder="1" applyAlignment="1">
      <alignment horizontal="left" vertical="center" wrapText="1"/>
    </xf>
    <xf numFmtId="0" fontId="33" fillId="0" borderId="19" xfId="0" applyFont="1" applyBorder="1" applyAlignment="1">
      <alignment vertical="center" wrapText="1"/>
    </xf>
    <xf numFmtId="0" fontId="181" fillId="6" borderId="19" xfId="0" applyFont="1" applyFill="1" applyBorder="1" applyAlignment="1">
      <alignment vertical="center" wrapText="1"/>
    </xf>
    <xf numFmtId="0" fontId="26" fillId="0" borderId="24" xfId="0" applyFont="1" applyBorder="1" applyAlignment="1">
      <alignment vertical="center" wrapText="1"/>
    </xf>
    <xf numFmtId="0" fontId="33" fillId="6" borderId="19" xfId="0" applyFont="1" applyFill="1" applyBorder="1" applyAlignment="1">
      <alignment vertical="center" wrapText="1"/>
    </xf>
    <xf numFmtId="0" fontId="26" fillId="0" borderId="19" xfId="0" applyFont="1" applyBorder="1" applyAlignment="1">
      <alignment vertical="center" wrapText="1"/>
    </xf>
    <xf numFmtId="165" fontId="120" fillId="2" borderId="15" xfId="0" applyNumberFormat="1" applyFont="1" applyFill="1" applyBorder="1" applyAlignment="1">
      <alignment horizontal="left" vertical="center"/>
    </xf>
    <xf numFmtId="0" fontId="33" fillId="0" borderId="19" xfId="0" applyFont="1" applyBorder="1" applyAlignment="1">
      <alignment horizontal="left" vertical="center" wrapText="1"/>
    </xf>
    <xf numFmtId="0" fontId="12" fillId="6" borderId="27" xfId="0" applyFont="1" applyFill="1" applyBorder="1" applyAlignment="1">
      <alignment horizontal="left" vertical="center" wrapText="1"/>
    </xf>
    <xf numFmtId="0" fontId="182" fillId="0" borderId="19" xfId="0" applyFont="1" applyBorder="1" applyAlignment="1">
      <alignment vertical="center" wrapText="1"/>
    </xf>
    <xf numFmtId="0" fontId="143" fillId="0" borderId="19" xfId="0" applyFont="1" applyBorder="1" applyAlignment="1">
      <alignment horizontal="center" vertical="center" wrapText="1"/>
    </xf>
    <xf numFmtId="0" fontId="183" fillId="0" borderId="0" xfId="0" applyFont="1"/>
    <xf numFmtId="164" fontId="120" fillId="2" borderId="15" xfId="0" applyNumberFormat="1" applyFont="1" applyFill="1" applyBorder="1" applyAlignment="1">
      <alignment horizontal="left" vertical="center" wrapText="1"/>
    </xf>
    <xf numFmtId="0" fontId="41" fillId="6" borderId="32" xfId="0" applyFont="1" applyFill="1" applyBorder="1" applyAlignment="1">
      <alignment horizontal="left" vertical="top" wrapText="1"/>
    </xf>
    <xf numFmtId="0" fontId="5" fillId="6" borderId="19" xfId="0" applyFont="1" applyFill="1" applyBorder="1" applyAlignment="1">
      <alignment vertical="center" wrapText="1"/>
    </xf>
    <xf numFmtId="0" fontId="41" fillId="6" borderId="19" xfId="0" applyFont="1" applyFill="1" applyBorder="1" applyAlignment="1">
      <alignment horizontal="left" vertical="top" wrapText="1"/>
    </xf>
    <xf numFmtId="164" fontId="120" fillId="2" borderId="15" xfId="0" applyNumberFormat="1" applyFont="1" applyFill="1" applyBorder="1" applyAlignment="1">
      <alignment horizontal="left" vertical="top" wrapText="1"/>
    </xf>
    <xf numFmtId="0" fontId="26" fillId="0" borderId="19" xfId="0" applyFont="1" applyBorder="1" applyAlignment="1">
      <alignment wrapText="1"/>
    </xf>
    <xf numFmtId="0" fontId="184" fillId="0" borderId="19" xfId="0" applyFont="1" applyBorder="1" applyAlignment="1">
      <alignment horizontal="left" vertical="top" wrapText="1"/>
    </xf>
    <xf numFmtId="0" fontId="185" fillId="0" borderId="19" xfId="0" applyFont="1" applyBorder="1" applyAlignment="1">
      <alignment wrapText="1"/>
    </xf>
    <xf numFmtId="0" fontId="12" fillId="0" borderId="19" xfId="0" applyFont="1" applyBorder="1" applyAlignment="1">
      <alignment wrapText="1"/>
    </xf>
    <xf numFmtId="0" fontId="186" fillId="0" borderId="19" xfId="0" applyFont="1" applyBorder="1" applyAlignment="1">
      <alignment wrapText="1"/>
    </xf>
    <xf numFmtId="0" fontId="41" fillId="0" borderId="20" xfId="0" applyFont="1" applyBorder="1" applyAlignment="1">
      <alignment horizontal="center" vertical="center" wrapText="1"/>
    </xf>
    <xf numFmtId="0" fontId="25" fillId="0" borderId="64" xfId="0" applyFont="1" applyBorder="1" applyAlignment="1">
      <alignment wrapText="1"/>
    </xf>
    <xf numFmtId="0" fontId="41" fillId="0" borderId="19" xfId="0" applyFont="1" applyBorder="1" applyAlignment="1">
      <alignment vertical="center"/>
    </xf>
    <xf numFmtId="0" fontId="41" fillId="0" borderId="19" xfId="0" applyFont="1" applyBorder="1" applyAlignment="1">
      <alignment horizontal="center" vertical="center"/>
    </xf>
    <xf numFmtId="0" fontId="41" fillId="0" borderId="20" xfId="0" applyFont="1" applyBorder="1" applyAlignment="1">
      <alignment horizontal="left" vertical="center"/>
    </xf>
    <xf numFmtId="164" fontId="120" fillId="2" borderId="71" xfId="0" applyNumberFormat="1" applyFont="1" applyFill="1" applyBorder="1" applyAlignment="1">
      <alignment horizontal="left" vertical="top" wrapText="1"/>
    </xf>
    <xf numFmtId="0" fontId="41" fillId="0" borderId="12" xfId="0" applyFont="1" applyBorder="1" applyAlignment="1">
      <alignment vertical="center"/>
    </xf>
    <xf numFmtId="0" fontId="41" fillId="0" borderId="12" xfId="0" applyFont="1" applyBorder="1" applyAlignment="1">
      <alignment vertical="center" wrapText="1"/>
    </xf>
    <xf numFmtId="0" fontId="41" fillId="0" borderId="12" xfId="0" applyFont="1" applyBorder="1" applyAlignment="1">
      <alignment horizontal="center" vertical="center"/>
    </xf>
    <xf numFmtId="0" fontId="25" fillId="0" borderId="74" xfId="0" applyFont="1" applyBorder="1" applyAlignment="1">
      <alignment horizontal="center" vertical="center" wrapText="1"/>
    </xf>
    <xf numFmtId="0" fontId="41" fillId="0" borderId="75" xfId="0" applyFont="1" applyBorder="1" applyAlignment="1">
      <alignment horizontal="left" vertical="center"/>
    </xf>
    <xf numFmtId="0" fontId="26" fillId="0" borderId="12" xfId="0" applyFont="1" applyBorder="1" applyAlignment="1">
      <alignment wrapText="1"/>
    </xf>
    <xf numFmtId="0" fontId="41" fillId="0" borderId="62" xfId="0" applyFont="1" applyBorder="1" applyAlignment="1">
      <alignment horizontal="center" vertical="center" wrapText="1"/>
    </xf>
    <xf numFmtId="0" fontId="41" fillId="0" borderId="75" xfId="0" applyFont="1" applyBorder="1" applyAlignment="1">
      <alignment horizontal="center" vertical="center" wrapText="1"/>
    </xf>
    <xf numFmtId="0" fontId="25" fillId="0" borderId="76" xfId="0" applyFont="1" applyBorder="1" applyAlignment="1">
      <alignment wrapText="1"/>
    </xf>
    <xf numFmtId="0" fontId="5" fillId="0" borderId="0" xfId="0" applyFont="1" applyAlignment="1">
      <alignment horizontal="center" vertical="center"/>
    </xf>
    <xf numFmtId="0" fontId="120" fillId="0" borderId="70" xfId="0" applyFont="1" applyBorder="1" applyAlignment="1">
      <alignment horizontal="center" vertical="center" wrapText="1"/>
    </xf>
    <xf numFmtId="0" fontId="41" fillId="0" borderId="0" xfId="0" applyFont="1"/>
    <xf numFmtId="0" fontId="87" fillId="0" borderId="0" xfId="0" applyFont="1" applyAlignment="1">
      <alignment vertical="center"/>
    </xf>
    <xf numFmtId="0" fontId="120" fillId="2" borderId="78" xfId="0" applyFont="1" applyFill="1" applyBorder="1" applyAlignment="1">
      <alignment horizontal="center" vertical="center" wrapText="1"/>
    </xf>
    <xf numFmtId="0" fontId="120" fillId="2" borderId="79" xfId="0" applyFont="1" applyFill="1" applyBorder="1" applyAlignment="1">
      <alignment horizontal="center" vertical="center" wrapText="1"/>
    </xf>
    <xf numFmtId="0" fontId="120" fillId="2" borderId="79" xfId="0" applyFont="1" applyFill="1" applyBorder="1" applyAlignment="1">
      <alignment horizontal="center" vertical="center"/>
    </xf>
    <xf numFmtId="0" fontId="5" fillId="3" borderId="77" xfId="0" applyFont="1" applyFill="1" applyBorder="1" applyAlignment="1">
      <alignment horizontal="center" vertical="center" wrapText="1"/>
    </xf>
    <xf numFmtId="0" fontId="5" fillId="3" borderId="72" xfId="0" applyFont="1" applyFill="1" applyBorder="1" applyAlignment="1">
      <alignment horizontal="center" vertical="center" wrapText="1"/>
    </xf>
    <xf numFmtId="0" fontId="120" fillId="3" borderId="79" xfId="0" applyFont="1" applyFill="1" applyBorder="1" applyAlignment="1">
      <alignment horizontal="center" vertical="center" wrapText="1"/>
    </xf>
    <xf numFmtId="0" fontId="187" fillId="4" borderId="80" xfId="0" applyFont="1" applyFill="1" applyBorder="1" applyAlignment="1">
      <alignment horizontal="center" vertical="center" wrapText="1"/>
    </xf>
    <xf numFmtId="0" fontId="120" fillId="2" borderId="14" xfId="0" applyFont="1" applyFill="1" applyBorder="1" applyAlignment="1">
      <alignment horizontal="center" vertical="top" wrapText="1"/>
    </xf>
    <xf numFmtId="164" fontId="10" fillId="2" borderId="15" xfId="0" applyNumberFormat="1" applyFont="1" applyFill="1" applyBorder="1" applyAlignment="1">
      <alignment horizontal="left" vertical="top"/>
    </xf>
    <xf numFmtId="0" fontId="120" fillId="2" borderId="15" xfId="0" applyFont="1" applyFill="1" applyBorder="1" applyAlignment="1">
      <alignment horizontal="left" vertical="top"/>
    </xf>
    <xf numFmtId="0" fontId="41" fillId="0" borderId="17" xfId="0" applyFont="1" applyBorder="1" applyAlignment="1">
      <alignment vertical="top"/>
    </xf>
    <xf numFmtId="0" fontId="41" fillId="0" borderId="81" xfId="0" applyFont="1" applyBorder="1" applyAlignment="1">
      <alignment vertical="top" wrapText="1"/>
    </xf>
    <xf numFmtId="0" fontId="41" fillId="7" borderId="23" xfId="0" applyFont="1" applyFill="1" applyBorder="1" applyAlignment="1">
      <alignment horizontal="left" vertical="top" wrapText="1"/>
    </xf>
    <xf numFmtId="0" fontId="188" fillId="0" borderId="23" xfId="0" applyFont="1" applyBorder="1" applyAlignment="1">
      <alignment horizontal="left" vertical="top" wrapText="1"/>
    </xf>
    <xf numFmtId="0" fontId="41" fillId="0" borderId="24" xfId="0" applyFont="1" applyBorder="1" applyAlignment="1">
      <alignment horizontal="left" vertical="top" wrapText="1"/>
    </xf>
    <xf numFmtId="0" fontId="26" fillId="0" borderId="24" xfId="0" applyFont="1" applyBorder="1" applyAlignment="1">
      <alignment horizontal="left" vertical="top" wrapText="1"/>
    </xf>
    <xf numFmtId="0" fontId="26" fillId="0" borderId="23" xfId="0" applyFont="1" applyBorder="1" applyAlignment="1">
      <alignment horizontal="left" vertical="top" wrapText="1"/>
    </xf>
    <xf numFmtId="0" fontId="189" fillId="0" borderId="23" xfId="0" applyFont="1" applyBorder="1" applyAlignment="1">
      <alignment horizontal="left" vertical="top" wrapText="1"/>
    </xf>
    <xf numFmtId="0" fontId="41" fillId="0" borderId="24" xfId="0" applyFont="1" applyBorder="1" applyAlignment="1">
      <alignment vertical="top" wrapText="1"/>
    </xf>
    <xf numFmtId="0" fontId="41" fillId="0" borderId="23" xfId="0" applyFont="1" applyBorder="1" applyAlignment="1">
      <alignment horizontal="left" vertical="top" wrapText="1"/>
    </xf>
    <xf numFmtId="0" fontId="120" fillId="10" borderId="22" xfId="0" applyFont="1" applyFill="1" applyBorder="1" applyAlignment="1">
      <alignment horizontal="center" vertical="top" wrapText="1"/>
    </xf>
    <xf numFmtId="0" fontId="120" fillId="10" borderId="15" xfId="0" applyFont="1" applyFill="1" applyBorder="1" applyAlignment="1">
      <alignment horizontal="left" vertical="top"/>
    </xf>
    <xf numFmtId="0" fontId="41" fillId="0" borderId="24" xfId="0" applyFont="1" applyBorder="1" applyAlignment="1">
      <alignment vertical="center"/>
    </xf>
    <xf numFmtId="0" fontId="41" fillId="7" borderId="19" xfId="0" applyFont="1" applyFill="1" applyBorder="1" applyAlignment="1">
      <alignment horizontal="left" vertical="top" wrapText="1"/>
    </xf>
    <xf numFmtId="0" fontId="188" fillId="0" borderId="19" xfId="0" applyFont="1" applyBorder="1" applyAlignment="1">
      <alignment horizontal="left" vertical="top" wrapText="1"/>
    </xf>
    <xf numFmtId="0" fontId="26" fillId="0" borderId="19" xfId="0" applyFont="1" applyBorder="1" applyAlignment="1">
      <alignment horizontal="left" vertical="top" wrapText="1"/>
    </xf>
    <xf numFmtId="0" fontId="190" fillId="0" borderId="23" xfId="0" applyFont="1" applyBorder="1" applyAlignment="1">
      <alignment horizontal="center" vertical="center" wrapText="1"/>
    </xf>
    <xf numFmtId="0" fontId="41" fillId="11" borderId="29" xfId="0" applyFont="1" applyFill="1" applyBorder="1" applyAlignment="1">
      <alignment vertical="top" wrapText="1"/>
    </xf>
    <xf numFmtId="0" fontId="87" fillId="11" borderId="65" xfId="0" applyFont="1" applyFill="1" applyBorder="1" applyAlignment="1">
      <alignment vertical="center" wrapText="1"/>
    </xf>
    <xf numFmtId="0" fontId="25" fillId="11" borderId="27" xfId="0" applyFont="1" applyFill="1" applyBorder="1"/>
    <xf numFmtId="0" fontId="120" fillId="10" borderId="14" xfId="0" applyFont="1" applyFill="1" applyBorder="1" applyAlignment="1">
      <alignment horizontal="center" vertical="top" wrapText="1"/>
    </xf>
    <xf numFmtId="0" fontId="120" fillId="0" borderId="15" xfId="0" applyFont="1" applyBorder="1" applyAlignment="1">
      <alignment horizontal="left" vertical="top"/>
    </xf>
    <xf numFmtId="0" fontId="191" fillId="0" borderId="23" xfId="0" applyFont="1" applyBorder="1" applyAlignment="1">
      <alignment horizontal="center" vertical="center" wrapText="1"/>
    </xf>
    <xf numFmtId="0" fontId="64" fillId="11" borderId="0" xfId="0" applyFont="1" applyFill="1"/>
    <xf numFmtId="0" fontId="87" fillId="11" borderId="65" xfId="0" quotePrefix="1" applyFont="1" applyFill="1" applyBorder="1" applyAlignment="1">
      <alignment vertical="top" wrapText="1"/>
    </xf>
    <xf numFmtId="0" fontId="41" fillId="4" borderId="19" xfId="0" applyFont="1" applyFill="1" applyBorder="1" applyAlignment="1">
      <alignment horizontal="left" vertical="top" wrapText="1"/>
    </xf>
    <xf numFmtId="0" fontId="192" fillId="0" borderId="23" xfId="0" applyFont="1" applyBorder="1" applyAlignment="1">
      <alignment horizontal="center" vertical="center" wrapText="1"/>
    </xf>
    <xf numFmtId="0" fontId="41" fillId="11" borderId="20" xfId="0" applyFont="1" applyFill="1" applyBorder="1" applyAlignment="1">
      <alignment vertical="top" wrapText="1"/>
    </xf>
    <xf numFmtId="0" fontId="25" fillId="11" borderId="27" xfId="0" applyFont="1" applyFill="1" applyBorder="1" applyAlignment="1">
      <alignment vertical="top"/>
    </xf>
    <xf numFmtId="0" fontId="41" fillId="4" borderId="23" xfId="0" applyFont="1" applyFill="1" applyBorder="1" applyAlignment="1">
      <alignment horizontal="left" vertical="top" wrapText="1"/>
    </xf>
    <xf numFmtId="0" fontId="87" fillId="0" borderId="21" xfId="0" applyFont="1" applyBorder="1" applyAlignment="1">
      <alignment vertical="center" wrapText="1"/>
    </xf>
    <xf numFmtId="0" fontId="41" fillId="0" borderId="19" xfId="0" applyFont="1" applyBorder="1" applyAlignment="1">
      <alignment horizontal="left" vertical="center" wrapText="1"/>
    </xf>
    <xf numFmtId="0" fontId="41" fillId="0" borderId="23" xfId="0" applyFont="1" applyBorder="1" applyAlignment="1">
      <alignment horizontal="left" vertical="center" wrapText="1"/>
    </xf>
    <xf numFmtId="0" fontId="41" fillId="0" borderId="20" xfId="0" applyFont="1" applyBorder="1" applyAlignment="1">
      <alignment vertical="top" wrapText="1"/>
    </xf>
    <xf numFmtId="0" fontId="87" fillId="6" borderId="65" xfId="0" applyFont="1" applyFill="1" applyBorder="1" applyAlignment="1">
      <alignment vertical="center" wrapText="1"/>
    </xf>
    <xf numFmtId="0" fontId="193" fillId="0" borderId="23" xfId="0" applyFont="1" applyBorder="1" applyAlignment="1">
      <alignment horizontal="center" vertical="center" wrapText="1"/>
    </xf>
    <xf numFmtId="0" fontId="120" fillId="12" borderId="15" xfId="0" applyFont="1" applyFill="1" applyBorder="1" applyAlignment="1">
      <alignment horizontal="left" vertical="top"/>
    </xf>
    <xf numFmtId="0" fontId="87" fillId="6" borderId="65" xfId="0" applyFont="1" applyFill="1" applyBorder="1" applyAlignment="1">
      <alignment vertical="top" wrapText="1"/>
    </xf>
    <xf numFmtId="165" fontId="120" fillId="5" borderId="15" xfId="0" applyNumberFormat="1" applyFont="1" applyFill="1" applyBorder="1" applyAlignment="1">
      <alignment horizontal="left" vertical="top"/>
    </xf>
    <xf numFmtId="0" fontId="87" fillId="0" borderId="19" xfId="0" applyFont="1" applyBorder="1" applyAlignment="1">
      <alignment vertical="center"/>
    </xf>
    <xf numFmtId="0" fontId="87" fillId="0" borderId="64" xfId="0" applyFont="1" applyBorder="1" applyAlignment="1">
      <alignment vertical="center" wrapText="1"/>
    </xf>
    <xf numFmtId="0" fontId="194" fillId="0" borderId="20" xfId="0" applyFont="1" applyBorder="1" applyAlignment="1">
      <alignment horizontal="left" vertical="top" wrapText="1"/>
    </xf>
    <xf numFmtId="165" fontId="120" fillId="10" borderId="15" xfId="0" applyNumberFormat="1" applyFont="1" applyFill="1" applyBorder="1" applyAlignment="1">
      <alignment horizontal="left" vertical="top"/>
    </xf>
    <xf numFmtId="0" fontId="195" fillId="0" borderId="20" xfId="0" applyFont="1" applyBorder="1" applyAlignment="1">
      <alignment horizontal="left" vertical="top" wrapText="1"/>
    </xf>
    <xf numFmtId="0" fontId="196" fillId="0" borderId="19" xfId="0" applyFont="1" applyBorder="1" applyAlignment="1">
      <alignment horizontal="center" vertical="center"/>
    </xf>
    <xf numFmtId="0" fontId="120" fillId="2" borderId="82" xfId="0" applyFont="1" applyFill="1" applyBorder="1" applyAlignment="1">
      <alignment horizontal="center" vertical="top" wrapText="1"/>
    </xf>
    <xf numFmtId="164" fontId="120" fillId="2" borderId="71" xfId="0" applyNumberFormat="1" applyFont="1" applyFill="1" applyBorder="1" applyAlignment="1">
      <alignment horizontal="left" vertical="top"/>
    </xf>
    <xf numFmtId="0" fontId="41" fillId="0" borderId="12" xfId="0" applyFont="1" applyBorder="1" applyAlignment="1">
      <alignment horizontal="left" vertical="top"/>
    </xf>
    <xf numFmtId="0" fontId="41" fillId="0" borderId="12" xfId="0" applyFont="1" applyBorder="1" applyAlignment="1">
      <alignment horizontal="left" vertical="center" wrapText="1"/>
    </xf>
    <xf numFmtId="0" fontId="41" fillId="0" borderId="12" xfId="0" applyFont="1" applyBorder="1" applyAlignment="1">
      <alignment horizontal="left" vertical="top" wrapText="1"/>
    </xf>
    <xf numFmtId="0" fontId="41" fillId="0" borderId="83" xfId="0" applyFont="1" applyBorder="1" applyAlignment="1">
      <alignment horizontal="left" vertical="top" wrapText="1"/>
    </xf>
    <xf numFmtId="0" fontId="41" fillId="0" borderId="83" xfId="0" applyFont="1" applyBorder="1" applyAlignment="1">
      <alignment horizontal="left" vertical="top"/>
    </xf>
    <xf numFmtId="0" fontId="26" fillId="0" borderId="12" xfId="0" applyFont="1" applyBorder="1" applyAlignment="1">
      <alignment horizontal="left" vertical="top"/>
    </xf>
    <xf numFmtId="0" fontId="41" fillId="0" borderId="75" xfId="0" applyFont="1" applyBorder="1" applyAlignment="1">
      <alignment horizontal="left" vertical="top" wrapText="1"/>
    </xf>
    <xf numFmtId="0" fontId="41" fillId="0" borderId="75" xfId="0" applyFont="1" applyBorder="1" applyAlignment="1">
      <alignment vertical="top" wrapText="1"/>
    </xf>
    <xf numFmtId="0" fontId="87" fillId="0" borderId="76" xfId="0" applyFont="1" applyBorder="1" applyAlignment="1">
      <alignment vertical="center" wrapText="1"/>
    </xf>
    <xf numFmtId="0" fontId="64" fillId="0" borderId="0" xfId="0" applyFont="1" applyAlignment="1">
      <alignment horizontal="center"/>
    </xf>
    <xf numFmtId="0" fontId="41" fillId="0" borderId="0" xfId="0" applyFont="1" applyAlignment="1">
      <alignment vertical="center"/>
    </xf>
    <xf numFmtId="0" fontId="41" fillId="0" borderId="0" xfId="0" applyFont="1" applyAlignment="1">
      <alignment horizontal="left" vertical="center"/>
    </xf>
    <xf numFmtId="0" fontId="197" fillId="0" borderId="0" xfId="0" applyFont="1" applyAlignment="1">
      <alignment horizontal="center" vertical="center" wrapText="1"/>
    </xf>
    <xf numFmtId="0" fontId="25" fillId="0" borderId="0" xfId="0" applyFont="1" applyAlignment="1">
      <alignment vertical="top"/>
    </xf>
    <xf numFmtId="0" fontId="10" fillId="3" borderId="0" xfId="0" applyFont="1" applyFill="1" applyAlignment="1">
      <alignment horizontal="center" vertical="top"/>
    </xf>
    <xf numFmtId="0" fontId="10" fillId="2" borderId="47" xfId="0" applyFont="1" applyFill="1" applyBorder="1" applyAlignment="1">
      <alignment horizontal="center" vertical="top"/>
    </xf>
    <xf numFmtId="0" fontId="10" fillId="2" borderId="49" xfId="0" applyFont="1" applyFill="1" applyBorder="1" applyAlignment="1">
      <alignment horizontal="center" vertical="top"/>
    </xf>
    <xf numFmtId="0" fontId="10" fillId="3" borderId="73" xfId="0" applyFont="1" applyFill="1" applyBorder="1" applyAlignment="1">
      <alignment horizontal="center" vertical="top" wrapText="1"/>
    </xf>
    <xf numFmtId="0" fontId="10" fillId="3" borderId="73" xfId="0" applyFont="1" applyFill="1" applyBorder="1" applyAlignment="1">
      <alignment horizontal="center" vertical="top"/>
    </xf>
    <xf numFmtId="0" fontId="10" fillId="3" borderId="33" xfId="0" applyFont="1" applyFill="1" applyBorder="1" applyAlignment="1">
      <alignment horizontal="center" vertical="top"/>
    </xf>
    <xf numFmtId="0" fontId="10" fillId="2" borderId="53" xfId="0" applyFont="1" applyFill="1" applyBorder="1" applyAlignment="1">
      <alignment horizontal="center" vertical="top" wrapText="1"/>
    </xf>
    <xf numFmtId="0" fontId="10" fillId="3" borderId="54" xfId="0" applyFont="1" applyFill="1" applyBorder="1" applyAlignment="1">
      <alignment horizontal="center" vertical="top"/>
    </xf>
    <xf numFmtId="0" fontId="10" fillId="4" borderId="55" xfId="0" applyFont="1" applyFill="1" applyBorder="1" applyAlignment="1">
      <alignment horizontal="center" vertical="top" wrapText="1"/>
    </xf>
    <xf numFmtId="0" fontId="10" fillId="2" borderId="19" xfId="0" applyFont="1" applyFill="1" applyBorder="1" applyAlignment="1">
      <alignment horizontal="center" vertical="top"/>
    </xf>
    <xf numFmtId="0" fontId="10" fillId="5" borderId="19" xfId="0" applyFont="1" applyFill="1" applyBorder="1" applyAlignment="1">
      <alignment horizontal="left" vertical="top" wrapText="1"/>
    </xf>
    <xf numFmtId="0" fontId="10" fillId="2" borderId="19" xfId="0" applyFont="1" applyFill="1" applyBorder="1" applyAlignment="1">
      <alignment horizontal="left" vertical="top" wrapText="1"/>
    </xf>
    <xf numFmtId="0" fontId="4" fillId="0" borderId="20" xfId="0" applyFont="1" applyBorder="1" applyAlignment="1">
      <alignment vertical="top"/>
    </xf>
    <xf numFmtId="0" fontId="4" fillId="0" borderId="0" xfId="0" quotePrefix="1" applyFont="1" applyAlignment="1">
      <alignment horizontal="left" vertical="top"/>
    </xf>
    <xf numFmtId="0" fontId="198" fillId="0" borderId="19" xfId="0" applyFont="1" applyBorder="1" applyAlignment="1">
      <alignment horizontal="center" vertical="top" wrapText="1"/>
    </xf>
    <xf numFmtId="0" fontId="4" fillId="0" borderId="0" xfId="0" applyFont="1" applyAlignment="1">
      <alignment horizontal="right" vertical="top"/>
    </xf>
    <xf numFmtId="0" fontId="25" fillId="0" borderId="19" xfId="0" applyFont="1" applyBorder="1" applyAlignment="1">
      <alignment vertical="top"/>
    </xf>
    <xf numFmtId="0" fontId="4" fillId="0" borderId="24" xfId="0" applyFont="1" applyBorder="1" applyAlignment="1">
      <alignment vertical="top"/>
    </xf>
    <xf numFmtId="0" fontId="199" fillId="0" borderId="19" xfId="0" applyFont="1" applyBorder="1" applyAlignment="1">
      <alignment horizontal="left" vertical="top" wrapText="1"/>
    </xf>
    <xf numFmtId="0" fontId="200" fillId="0" borderId="19" xfId="0" applyFont="1" applyBorder="1" applyAlignment="1">
      <alignment horizontal="left" vertical="top" wrapText="1"/>
    </xf>
    <xf numFmtId="0" fontId="201" fillId="0" borderId="19" xfId="0" applyFont="1" applyBorder="1" applyAlignment="1">
      <alignment horizontal="left" vertical="top" wrapText="1"/>
    </xf>
    <xf numFmtId="0" fontId="4" fillId="0" borderId="19" xfId="0" applyFont="1" applyBorder="1" applyAlignment="1">
      <alignment vertical="top"/>
    </xf>
    <xf numFmtId="0" fontId="4" fillId="7" borderId="24" xfId="0" applyFont="1" applyFill="1" applyBorder="1" applyAlignment="1">
      <alignment vertical="top"/>
    </xf>
    <xf numFmtId="0" fontId="4" fillId="0" borderId="19" xfId="0" applyFont="1" applyBorder="1" applyAlignment="1">
      <alignment horizontal="right" vertical="top" wrapText="1"/>
    </xf>
    <xf numFmtId="0" fontId="87" fillId="0" borderId="0" xfId="0" applyFont="1" applyAlignment="1">
      <alignment wrapText="1"/>
    </xf>
    <xf numFmtId="0" fontId="4" fillId="0" borderId="19" xfId="0" quotePrefix="1" applyFont="1" applyBorder="1" applyAlignment="1">
      <alignment horizontal="left" vertical="top"/>
    </xf>
    <xf numFmtId="0" fontId="202" fillId="0" borderId="19" xfId="0" applyFont="1" applyBorder="1" applyAlignment="1">
      <alignment horizontal="left" vertical="top" wrapText="1"/>
    </xf>
    <xf numFmtId="0" fontId="41" fillId="0" borderId="0" xfId="0" applyFont="1" applyAlignment="1">
      <alignment vertical="top" wrapText="1"/>
    </xf>
    <xf numFmtId="0" fontId="41" fillId="0" borderId="0" xfId="0" applyFont="1" applyAlignment="1">
      <alignment wrapText="1"/>
    </xf>
    <xf numFmtId="0" fontId="10" fillId="12" borderId="19" xfId="0" applyFont="1" applyFill="1" applyBorder="1" applyAlignment="1">
      <alignment horizontal="left" vertical="top" wrapText="1"/>
    </xf>
    <xf numFmtId="0" fontId="4" fillId="0" borderId="59" xfId="0" applyFont="1" applyBorder="1" applyAlignment="1">
      <alignment vertical="top" wrapText="1"/>
    </xf>
    <xf numFmtId="0" fontId="54" fillId="0" borderId="19" xfId="0" applyFont="1" applyBorder="1" applyAlignment="1">
      <alignment horizontal="left" vertical="top" wrapText="1"/>
    </xf>
    <xf numFmtId="0" fontId="10" fillId="2" borderId="66" xfId="0" applyFont="1" applyFill="1" applyBorder="1" applyAlignment="1">
      <alignment horizontal="left" vertical="top"/>
    </xf>
    <xf numFmtId="0" fontId="13" fillId="0" borderId="19" xfId="0" applyFont="1" applyBorder="1" applyAlignment="1">
      <alignment horizontal="left" vertical="top" wrapText="1"/>
    </xf>
    <xf numFmtId="0" fontId="4" fillId="7" borderId="20" xfId="0" applyFont="1" applyFill="1" applyBorder="1" applyAlignment="1">
      <alignment horizontal="left" vertical="top" wrapText="1"/>
    </xf>
    <xf numFmtId="0" fontId="203" fillId="0" borderId="0" xfId="0" applyFont="1" applyAlignment="1">
      <alignment vertical="top" wrapText="1"/>
    </xf>
    <xf numFmtId="0" fontId="204" fillId="0" borderId="19" xfId="0" applyFont="1" applyBorder="1" applyAlignment="1">
      <alignment wrapText="1"/>
    </xf>
    <xf numFmtId="0" fontId="112" fillId="0" borderId="0" xfId="0" applyFont="1" applyAlignment="1">
      <alignment vertical="top" wrapText="1"/>
    </xf>
    <xf numFmtId="0" fontId="4" fillId="0" borderId="44" xfId="0" applyFont="1" applyBorder="1" applyAlignment="1">
      <alignment horizontal="left" vertical="top"/>
    </xf>
    <xf numFmtId="0" fontId="112" fillId="0" borderId="19" xfId="0" applyFont="1" applyBorder="1" applyAlignment="1">
      <alignment vertical="top"/>
    </xf>
    <xf numFmtId="0" fontId="4" fillId="0" borderId="85" xfId="0" applyFont="1" applyBorder="1" applyAlignment="1">
      <alignment vertical="top" wrapText="1"/>
    </xf>
    <xf numFmtId="0" fontId="25" fillId="0" borderId="56" xfId="0" applyFont="1" applyBorder="1" applyAlignment="1">
      <alignment wrapText="1"/>
    </xf>
    <xf numFmtId="0" fontId="199" fillId="0" borderId="19" xfId="0" applyFont="1" applyBorder="1" applyAlignment="1">
      <alignment horizontal="left" vertical="top"/>
    </xf>
    <xf numFmtId="0" fontId="4" fillId="0" borderId="56" xfId="0" applyFont="1" applyBorder="1" applyAlignment="1">
      <alignment vertical="top" wrapText="1"/>
    </xf>
    <xf numFmtId="0" fontId="25" fillId="0" borderId="85" xfId="0" applyFont="1" applyBorder="1" applyAlignment="1">
      <alignment wrapText="1"/>
    </xf>
    <xf numFmtId="0" fontId="4" fillId="0" borderId="19" xfId="0" applyFont="1" applyBorder="1" applyAlignment="1">
      <alignment wrapText="1"/>
    </xf>
    <xf numFmtId="169" fontId="4" fillId="0" borderId="19" xfId="0" applyNumberFormat="1" applyFont="1" applyBorder="1" applyAlignment="1">
      <alignment horizontal="left" vertical="top" wrapText="1"/>
    </xf>
    <xf numFmtId="0" fontId="205" fillId="0" borderId="19" xfId="0" quotePrefix="1" applyFont="1" applyBorder="1" applyAlignment="1">
      <alignment horizontal="left" vertical="top"/>
    </xf>
    <xf numFmtId="0" fontId="206" fillId="6" borderId="0" xfId="0" applyFont="1" applyFill="1" applyAlignment="1">
      <alignment horizontal="left" wrapText="1"/>
    </xf>
    <xf numFmtId="0" fontId="199" fillId="0" borderId="19" xfId="0" applyFont="1" applyBorder="1" applyAlignment="1">
      <alignment vertical="top"/>
    </xf>
    <xf numFmtId="14" fontId="4" fillId="0" borderId="19" xfId="0" applyNumberFormat="1" applyFont="1" applyBorder="1" applyAlignment="1">
      <alignment vertical="top" wrapText="1"/>
    </xf>
    <xf numFmtId="0" fontId="101" fillId="6" borderId="19" xfId="0" applyFont="1" applyFill="1" applyBorder="1" applyAlignment="1">
      <alignment wrapText="1"/>
    </xf>
    <xf numFmtId="0" fontId="13" fillId="0" borderId="19" xfId="0" quotePrefix="1" applyFont="1" applyBorder="1" applyAlignment="1">
      <alignment horizontal="left" vertical="top"/>
    </xf>
    <xf numFmtId="14" fontId="207" fillId="0" borderId="19" xfId="0" applyNumberFormat="1" applyFont="1" applyBorder="1" applyAlignment="1">
      <alignment horizontal="right" vertical="top"/>
    </xf>
    <xf numFmtId="0" fontId="151" fillId="0" borderId="19" xfId="0" quotePrefix="1" applyFont="1" applyBorder="1" applyAlignment="1">
      <alignment vertical="top"/>
    </xf>
    <xf numFmtId="0" fontId="208" fillId="0" borderId="19" xfId="0" applyFont="1" applyBorder="1" applyAlignment="1">
      <alignment horizontal="left" vertical="top"/>
    </xf>
    <xf numFmtId="0" fontId="151" fillId="0" borderId="19" xfId="0" quotePrefix="1" applyFont="1" applyBorder="1" applyAlignment="1">
      <alignment horizontal="left" vertical="top"/>
    </xf>
    <xf numFmtId="0" fontId="209" fillId="0" borderId="19" xfId="0" applyFont="1" applyBorder="1" applyAlignment="1">
      <alignment vertical="top" wrapText="1"/>
    </xf>
    <xf numFmtId="168" fontId="4" fillId="0" borderId="19" xfId="0" applyNumberFormat="1" applyFont="1" applyBorder="1" applyAlignment="1">
      <alignment horizontal="left" vertical="top"/>
    </xf>
    <xf numFmtId="0" fontId="210" fillId="0" borderId="19" xfId="0" applyFont="1" applyBorder="1" applyAlignment="1">
      <alignment vertical="top" wrapText="1"/>
    </xf>
    <xf numFmtId="0" fontId="4" fillId="0" borderId="23" xfId="0" applyFont="1" applyBorder="1" applyAlignment="1">
      <alignment vertical="top"/>
    </xf>
    <xf numFmtId="0" fontId="13" fillId="7" borderId="19" xfId="0" applyFont="1" applyFill="1" applyBorder="1" applyAlignment="1">
      <alignment horizontal="left" vertical="top"/>
    </xf>
    <xf numFmtId="0" fontId="13" fillId="0" borderId="19" xfId="0" applyFont="1" applyBorder="1" applyAlignment="1">
      <alignment horizontal="left" vertical="top"/>
    </xf>
    <xf numFmtId="0" fontId="211" fillId="0" borderId="0" xfId="0" applyFont="1" applyAlignment="1">
      <alignment wrapText="1"/>
    </xf>
    <xf numFmtId="0" fontId="64" fillId="0" borderId="0" xfId="0" quotePrefix="1" applyFont="1"/>
    <xf numFmtId="0" fontId="212" fillId="0" borderId="19" xfId="0" applyFont="1" applyBorder="1" applyAlignment="1">
      <alignment vertical="top" wrapText="1"/>
    </xf>
    <xf numFmtId="0" fontId="213" fillId="0" borderId="19" xfId="0" applyFont="1" applyBorder="1" applyAlignment="1">
      <alignment vertical="top" wrapText="1"/>
    </xf>
    <xf numFmtId="0" fontId="199" fillId="6" borderId="16" xfId="0" applyFont="1" applyFill="1" applyBorder="1" applyAlignment="1">
      <alignment vertical="top" wrapText="1"/>
    </xf>
    <xf numFmtId="0" fontId="199" fillId="0" borderId="0" xfId="0" applyFont="1" applyAlignment="1">
      <alignment horizontal="left" vertical="top"/>
    </xf>
    <xf numFmtId="0" fontId="13" fillId="0" borderId="0" xfId="0" applyFont="1" applyAlignment="1">
      <alignment horizontal="left" vertical="top"/>
    </xf>
    <xf numFmtId="0" fontId="101" fillId="14" borderId="16" xfId="0" applyFont="1" applyFill="1" applyBorder="1" applyAlignment="1">
      <alignment vertical="top" wrapText="1"/>
    </xf>
    <xf numFmtId="165" fontId="10" fillId="2" borderId="19" xfId="0" applyNumberFormat="1" applyFont="1" applyFill="1" applyBorder="1" applyAlignment="1">
      <alignment horizontal="left" vertical="top" wrapText="1"/>
    </xf>
    <xf numFmtId="170" fontId="4" fillId="0" borderId="19" xfId="0" applyNumberFormat="1" applyFont="1" applyBorder="1" applyAlignment="1">
      <alignment horizontal="left" vertical="top" wrapText="1"/>
    </xf>
    <xf numFmtId="0" fontId="214" fillId="6" borderId="0" xfId="0" applyFont="1" applyFill="1"/>
    <xf numFmtId="0" fontId="215" fillId="6" borderId="0" xfId="0" applyFont="1" applyFill="1" applyAlignment="1">
      <alignment vertical="top"/>
    </xf>
    <xf numFmtId="171" fontId="4" fillId="0" borderId="19" xfId="0" applyNumberFormat="1" applyFont="1" applyBorder="1" applyAlignment="1">
      <alignment horizontal="left" vertical="top"/>
    </xf>
    <xf numFmtId="0" fontId="216" fillId="0" borderId="19" xfId="0" applyFont="1" applyBorder="1" applyAlignment="1">
      <alignment horizontal="left" vertical="top" wrapText="1"/>
    </xf>
    <xf numFmtId="0" fontId="217" fillId="0" borderId="0" xfId="0" applyFont="1"/>
    <xf numFmtId="170" fontId="4" fillId="0" borderId="19" xfId="0" applyNumberFormat="1" applyFont="1" applyBorder="1" applyAlignment="1">
      <alignment horizontal="left" vertical="top"/>
    </xf>
    <xf numFmtId="0" fontId="217" fillId="0" borderId="19" xfId="0" applyFont="1" applyBorder="1"/>
    <xf numFmtId="0" fontId="4" fillId="0" borderId="0" xfId="0" applyFont="1" applyAlignment="1">
      <alignment wrapText="1"/>
    </xf>
    <xf numFmtId="0" fontId="13" fillId="0" borderId="0" xfId="0" applyFont="1" applyAlignment="1">
      <alignment vertical="top"/>
    </xf>
    <xf numFmtId="14" fontId="4" fillId="0" borderId="19" xfId="0" applyNumberFormat="1" applyFont="1" applyBorder="1" applyAlignment="1">
      <alignment horizontal="left" vertical="top"/>
    </xf>
    <xf numFmtId="0" fontId="13" fillId="0" borderId="0" xfId="0" applyFont="1" applyAlignment="1">
      <alignment wrapText="1"/>
    </xf>
    <xf numFmtId="0" fontId="112" fillId="0" borderId="0" xfId="0" applyFont="1"/>
    <xf numFmtId="0" fontId="13" fillId="0" borderId="0" xfId="0" applyFont="1" applyAlignment="1">
      <alignment horizontal="left"/>
    </xf>
    <xf numFmtId="0" fontId="199" fillId="0" borderId="19" xfId="0" applyFont="1" applyBorder="1" applyAlignment="1">
      <alignment horizontal="left"/>
    </xf>
    <xf numFmtId="0" fontId="4" fillId="0" borderId="19" xfId="0" applyFont="1" applyBorder="1" applyAlignment="1">
      <alignment horizontal="center" vertical="top"/>
    </xf>
    <xf numFmtId="0" fontId="101" fillId="0" borderId="19" xfId="0" applyFont="1" applyBorder="1" applyAlignment="1">
      <alignment horizontal="left" wrapText="1"/>
    </xf>
    <xf numFmtId="168" fontId="4" fillId="0" borderId="19" xfId="0" applyNumberFormat="1" applyFont="1" applyBorder="1" applyAlignment="1">
      <alignment vertical="top"/>
    </xf>
    <xf numFmtId="0" fontId="4" fillId="0" borderId="19" xfId="0" applyFont="1" applyBorder="1"/>
    <xf numFmtId="0" fontId="4" fillId="2" borderId="19" xfId="0" applyFont="1" applyFill="1" applyBorder="1" applyAlignment="1">
      <alignment vertical="top"/>
    </xf>
    <xf numFmtId="49" fontId="4" fillId="0" borderId="19" xfId="0" applyNumberFormat="1" applyFont="1" applyBorder="1" applyAlignment="1">
      <alignment vertical="top"/>
    </xf>
    <xf numFmtId="0" fontId="199" fillId="0" borderId="19" xfId="0" applyFont="1" applyBorder="1" applyAlignment="1">
      <alignment vertical="top" wrapText="1"/>
    </xf>
    <xf numFmtId="0" fontId="13" fillId="0" borderId="19" xfId="0" applyFont="1" applyBorder="1" applyAlignment="1">
      <alignment horizontal="left"/>
    </xf>
    <xf numFmtId="0" fontId="4" fillId="0" borderId="0" xfId="0" applyFont="1" applyAlignment="1">
      <alignment horizontal="center" vertical="top"/>
    </xf>
    <xf numFmtId="0" fontId="10" fillId="12" borderId="19" xfId="0" applyFont="1" applyFill="1" applyBorder="1" applyAlignment="1">
      <alignment vertical="top" wrapText="1"/>
    </xf>
    <xf numFmtId="0" fontId="10" fillId="9" borderId="19" xfId="0" applyFont="1" applyFill="1" applyBorder="1" applyAlignment="1">
      <alignment vertical="top" wrapText="1"/>
    </xf>
    <xf numFmtId="0" fontId="151" fillId="0" borderId="19" xfId="0" applyFont="1" applyBorder="1" applyAlignment="1">
      <alignment wrapText="1"/>
    </xf>
    <xf numFmtId="0" fontId="218" fillId="9" borderId="19" xfId="0" applyFont="1" applyFill="1" applyBorder="1" applyAlignment="1">
      <alignment vertical="top" wrapText="1"/>
    </xf>
    <xf numFmtId="0" fontId="10" fillId="9" borderId="19" xfId="0" quotePrefix="1" applyFont="1" applyFill="1" applyBorder="1" applyAlignment="1">
      <alignment vertical="top" wrapText="1"/>
    </xf>
    <xf numFmtId="0" fontId="219" fillId="0" borderId="19" xfId="0" applyFont="1" applyBorder="1" applyAlignment="1">
      <alignment vertical="top" wrapText="1"/>
    </xf>
    <xf numFmtId="0" fontId="5" fillId="9" borderId="19" xfId="0" applyFont="1" applyFill="1" applyBorder="1" applyAlignment="1">
      <alignment vertical="top" wrapText="1"/>
    </xf>
    <xf numFmtId="0" fontId="128" fillId="9" borderId="19" xfId="0" applyFont="1" applyFill="1" applyBorder="1" applyAlignment="1">
      <alignment wrapText="1"/>
    </xf>
    <xf numFmtId="0" fontId="10" fillId="9" borderId="0" xfId="0" applyFont="1" applyFill="1" applyAlignment="1">
      <alignment vertical="top" wrapText="1"/>
    </xf>
    <xf numFmtId="0" fontId="151" fillId="6" borderId="19" xfId="0" applyFont="1" applyFill="1" applyBorder="1" applyAlignment="1">
      <alignment vertical="top" wrapText="1"/>
    </xf>
    <xf numFmtId="0" fontId="219" fillId="6" borderId="19" xfId="0" applyFont="1" applyFill="1" applyBorder="1" applyAlignment="1">
      <alignment vertical="top" wrapText="1"/>
    </xf>
    <xf numFmtId="0" fontId="220" fillId="9" borderId="0" xfId="0" applyFont="1" applyFill="1" applyAlignment="1">
      <alignment vertical="top" wrapText="1"/>
    </xf>
    <xf numFmtId="0" fontId="221" fillId="9" borderId="19" xfId="0" applyFont="1" applyFill="1" applyBorder="1" applyAlignment="1">
      <alignment vertical="top" wrapText="1"/>
    </xf>
    <xf numFmtId="0" fontId="222" fillId="6" borderId="19" xfId="0" applyFont="1" applyFill="1" applyBorder="1" applyAlignment="1">
      <alignment vertical="top" wrapText="1"/>
    </xf>
    <xf numFmtId="0" fontId="223" fillId="6" borderId="0" xfId="0" applyFont="1" applyFill="1" applyAlignment="1">
      <alignment vertical="top" wrapText="1"/>
    </xf>
    <xf numFmtId="0" fontId="199" fillId="6" borderId="19" xfId="0" applyFont="1" applyFill="1" applyBorder="1" applyAlignment="1">
      <alignment vertical="top" wrapText="1"/>
    </xf>
    <xf numFmtId="0" fontId="4" fillId="6" borderId="59" xfId="0" applyFont="1" applyFill="1" applyBorder="1" applyAlignment="1">
      <alignment vertical="top" wrapText="1"/>
    </xf>
    <xf numFmtId="0" fontId="101" fillId="6" borderId="0" xfId="0" applyFont="1" applyFill="1" applyAlignment="1">
      <alignment vertical="top" wrapText="1"/>
    </xf>
    <xf numFmtId="0" fontId="4" fillId="15" borderId="19" xfId="0" applyFont="1" applyFill="1" applyBorder="1" applyAlignment="1">
      <alignment vertical="top" wrapText="1"/>
    </xf>
    <xf numFmtId="0" fontId="120" fillId="3" borderId="0" xfId="0" applyFont="1" applyFill="1" applyAlignment="1">
      <alignment horizontal="center" vertical="center"/>
    </xf>
    <xf numFmtId="0" fontId="120" fillId="2" borderId="78" xfId="0" applyFont="1" applyFill="1" applyBorder="1" applyAlignment="1">
      <alignment horizontal="center" vertical="center"/>
    </xf>
    <xf numFmtId="0" fontId="120" fillId="3" borderId="77" xfId="0" applyFont="1" applyFill="1" applyBorder="1" applyAlignment="1">
      <alignment horizontal="center" vertical="center"/>
    </xf>
    <xf numFmtId="0" fontId="120" fillId="3" borderId="86" xfId="0" applyFont="1" applyFill="1" applyBorder="1" applyAlignment="1">
      <alignment horizontal="center" vertical="center"/>
    </xf>
    <xf numFmtId="0" fontId="120" fillId="3" borderId="46" xfId="0" applyFont="1" applyFill="1" applyBorder="1" applyAlignment="1">
      <alignment horizontal="center" vertical="center"/>
    </xf>
    <xf numFmtId="0" fontId="120" fillId="3" borderId="79" xfId="0" applyFont="1" applyFill="1" applyBorder="1" applyAlignment="1">
      <alignment horizontal="center" vertical="center"/>
    </xf>
    <xf numFmtId="0" fontId="120" fillId="3" borderId="72" xfId="0" applyFont="1" applyFill="1" applyBorder="1" applyAlignment="1">
      <alignment horizontal="center" vertical="center"/>
    </xf>
    <xf numFmtId="0" fontId="120" fillId="2" borderId="33" xfId="0" applyFont="1" applyFill="1" applyBorder="1" applyAlignment="1">
      <alignment horizontal="center" vertical="center" wrapText="1"/>
    </xf>
    <xf numFmtId="0" fontId="120" fillId="3" borderId="12" xfId="0" applyFont="1" applyFill="1" applyBorder="1" applyAlignment="1">
      <alignment horizontal="center" vertical="center" wrapText="1"/>
    </xf>
    <xf numFmtId="0" fontId="120" fillId="4" borderId="13" xfId="0" applyFont="1" applyFill="1" applyBorder="1" applyAlignment="1">
      <alignment horizontal="center" vertical="center"/>
    </xf>
    <xf numFmtId="0" fontId="10" fillId="2" borderId="14" xfId="0" applyFont="1" applyFill="1" applyBorder="1" applyAlignment="1">
      <alignment vertical="top"/>
    </xf>
    <xf numFmtId="0" fontId="10" fillId="2" borderId="15" xfId="0" applyFont="1" applyFill="1" applyBorder="1" applyAlignment="1">
      <alignment horizontal="left" vertical="top"/>
    </xf>
    <xf numFmtId="0" fontId="9" fillId="0" borderId="19" xfId="0" applyFont="1" applyBorder="1"/>
    <xf numFmtId="0" fontId="4" fillId="6" borderId="16" xfId="0" applyFont="1" applyFill="1" applyBorder="1" applyAlignment="1">
      <alignment vertical="top"/>
    </xf>
    <xf numFmtId="0" fontId="4" fillId="6" borderId="16" xfId="0" applyFont="1" applyFill="1" applyBorder="1" applyAlignment="1">
      <alignment vertical="top" wrapText="1"/>
    </xf>
    <xf numFmtId="0" fontId="224" fillId="16" borderId="19" xfId="0" applyFont="1" applyFill="1" applyBorder="1" applyAlignment="1">
      <alignment vertical="top" wrapText="1"/>
    </xf>
    <xf numFmtId="0" fontId="4" fillId="16" borderId="19" xfId="0" applyFont="1" applyFill="1" applyBorder="1" applyAlignment="1">
      <alignment vertical="top" wrapText="1"/>
    </xf>
    <xf numFmtId="0" fontId="4" fillId="6" borderId="87" xfId="0" applyFont="1" applyFill="1" applyBorder="1" applyAlignment="1">
      <alignment vertical="top"/>
    </xf>
    <xf numFmtId="0" fontId="10" fillId="2" borderId="22" xfId="0" applyFont="1" applyFill="1" applyBorder="1" applyAlignment="1">
      <alignment vertical="top"/>
    </xf>
    <xf numFmtId="0" fontId="4" fillId="7" borderId="19" xfId="0" applyFont="1" applyFill="1" applyBorder="1" applyAlignment="1">
      <alignment vertical="top"/>
    </xf>
    <xf numFmtId="0" fontId="225" fillId="16" borderId="19" xfId="0" applyFont="1" applyFill="1" applyBorder="1" applyAlignment="1">
      <alignment vertical="top" wrapText="1"/>
    </xf>
    <xf numFmtId="0" fontId="226" fillId="16" borderId="19" xfId="0" applyFont="1" applyFill="1" applyBorder="1" applyAlignment="1">
      <alignment vertical="top" wrapText="1"/>
    </xf>
    <xf numFmtId="0" fontId="4" fillId="6" borderId="26" xfId="0" applyFont="1" applyFill="1" applyBorder="1" applyAlignment="1">
      <alignment vertical="top"/>
    </xf>
    <xf numFmtId="0" fontId="4" fillId="6" borderId="15" xfId="0" applyFont="1" applyFill="1" applyBorder="1" applyAlignment="1">
      <alignment vertical="top"/>
    </xf>
    <xf numFmtId="0" fontId="4" fillId="12" borderId="19" xfId="0" applyFont="1" applyFill="1" applyBorder="1" applyAlignment="1">
      <alignment vertical="top"/>
    </xf>
    <xf numFmtId="0" fontId="143" fillId="6" borderId="26" xfId="0" applyFont="1" applyFill="1" applyBorder="1" applyAlignment="1">
      <alignment vertical="top"/>
    </xf>
    <xf numFmtId="0" fontId="227" fillId="6" borderId="27" xfId="0" applyFont="1" applyFill="1" applyBorder="1" applyAlignment="1">
      <alignment vertical="top" wrapText="1"/>
    </xf>
    <xf numFmtId="0" fontId="10" fillId="6" borderId="26" xfId="0" applyFont="1" applyFill="1" applyBorder="1" applyAlignment="1">
      <alignment vertical="top"/>
    </xf>
    <xf numFmtId="165" fontId="10" fillId="2" borderId="15" xfId="0" applyNumberFormat="1" applyFont="1" applyFill="1" applyBorder="1" applyAlignment="1">
      <alignment horizontal="left" vertical="top"/>
    </xf>
    <xf numFmtId="0" fontId="128" fillId="2" borderId="15" xfId="0" applyFont="1" applyFill="1" applyBorder="1" applyAlignment="1">
      <alignment horizontal="left" vertical="top"/>
    </xf>
    <xf numFmtId="0" fontId="9" fillId="6" borderId="28" xfId="0" applyFont="1" applyFill="1" applyBorder="1" applyAlignment="1">
      <alignment vertical="top" wrapText="1"/>
    </xf>
    <xf numFmtId="0" fontId="10" fillId="2" borderId="29" xfId="0" applyFont="1" applyFill="1" applyBorder="1" applyAlignment="1">
      <alignment horizontal="left" vertical="top"/>
    </xf>
    <xf numFmtId="0" fontId="4" fillId="6" borderId="27" xfId="0" applyFont="1" applyFill="1" applyBorder="1" applyAlignment="1">
      <alignment vertical="top"/>
    </xf>
    <xf numFmtId="0" fontId="4" fillId="6" borderId="27" xfId="0" applyFont="1" applyFill="1" applyBorder="1" applyAlignment="1">
      <alignment vertical="top" wrapText="1"/>
    </xf>
    <xf numFmtId="165" fontId="10" fillId="2" borderId="29" xfId="0" applyNumberFormat="1" applyFont="1" applyFill="1" applyBorder="1" applyAlignment="1">
      <alignment horizontal="left" vertical="top"/>
    </xf>
    <xf numFmtId="0" fontId="128" fillId="6" borderId="31" xfId="0" applyFont="1" applyFill="1" applyBorder="1" applyAlignment="1">
      <alignment vertical="top"/>
    </xf>
    <xf numFmtId="0" fontId="228" fillId="6" borderId="27" xfId="0" applyFont="1" applyFill="1" applyBorder="1" applyAlignment="1">
      <alignment vertical="top" wrapText="1"/>
    </xf>
    <xf numFmtId="0" fontId="4" fillId="6" borderId="34" xfId="0" applyFont="1" applyFill="1" applyBorder="1" applyAlignment="1">
      <alignment vertical="top"/>
    </xf>
    <xf numFmtId="0" fontId="4" fillId="6" borderId="31" xfId="0" applyFont="1" applyFill="1" applyBorder="1" applyAlignment="1">
      <alignment vertical="top"/>
    </xf>
    <xf numFmtId="0" fontId="229" fillId="6" borderId="19" xfId="0" applyFont="1" applyFill="1" applyBorder="1" applyAlignment="1">
      <alignment vertical="top" wrapText="1"/>
    </xf>
    <xf numFmtId="0" fontId="4" fillId="6" borderId="36" xfId="0" applyFont="1" applyFill="1" applyBorder="1" applyAlignment="1">
      <alignment vertical="top"/>
    </xf>
    <xf numFmtId="0" fontId="4" fillId="6" borderId="33" xfId="0" applyFont="1" applyFill="1" applyBorder="1" applyAlignment="1">
      <alignment vertical="top"/>
    </xf>
    <xf numFmtId="0" fontId="230" fillId="6" borderId="19" xfId="0" applyFont="1" applyFill="1" applyBorder="1" applyAlignment="1">
      <alignment vertical="top" wrapText="1"/>
    </xf>
    <xf numFmtId="0" fontId="25" fillId="6" borderId="31" xfId="0" applyFont="1" applyFill="1" applyBorder="1" applyAlignment="1">
      <alignment vertical="top"/>
    </xf>
    <xf numFmtId="0" fontId="151" fillId="6" borderId="27" xfId="0" applyFont="1" applyFill="1" applyBorder="1" applyAlignment="1">
      <alignment vertical="top" wrapText="1"/>
    </xf>
    <xf numFmtId="0" fontId="151" fillId="6" borderId="33" xfId="0" applyFont="1" applyFill="1" applyBorder="1" applyAlignment="1">
      <alignment vertical="top" wrapText="1"/>
    </xf>
    <xf numFmtId="0" fontId="128" fillId="2" borderId="19" xfId="0" applyFont="1" applyFill="1" applyBorder="1" applyAlignment="1">
      <alignment vertical="top"/>
    </xf>
    <xf numFmtId="0" fontId="25" fillId="6" borderId="33" xfId="0" applyFont="1" applyFill="1" applyBorder="1" applyAlignment="1">
      <alignment vertical="top" wrapText="1"/>
    </xf>
    <xf numFmtId="0" fontId="231" fillId="6" borderId="19" xfId="0" applyFont="1" applyFill="1" applyBorder="1" applyAlignment="1">
      <alignment vertical="top" wrapText="1"/>
    </xf>
    <xf numFmtId="0" fontId="128" fillId="2" borderId="15" xfId="0" applyFont="1" applyFill="1" applyBorder="1" applyAlignment="1">
      <alignment vertical="top"/>
    </xf>
    <xf numFmtId="0" fontId="175" fillId="6" borderId="19" xfId="0" applyFont="1" applyFill="1" applyBorder="1" applyAlignment="1">
      <alignment vertical="top" wrapText="1"/>
    </xf>
    <xf numFmtId="0" fontId="25" fillId="6" borderId="27" xfId="0" applyFont="1" applyFill="1" applyBorder="1" applyAlignment="1">
      <alignment vertical="top" wrapText="1"/>
    </xf>
    <xf numFmtId="0" fontId="232" fillId="6" borderId="19" xfId="0" applyFont="1" applyFill="1" applyBorder="1" applyAlignment="1">
      <alignment vertical="top" wrapText="1"/>
    </xf>
    <xf numFmtId="0" fontId="233" fillId="6" borderId="27" xfId="0" applyFont="1" applyFill="1" applyBorder="1" applyAlignment="1">
      <alignment vertical="top" wrapText="1"/>
    </xf>
    <xf numFmtId="0" fontId="9" fillId="6" borderId="27" xfId="0" applyFont="1" applyFill="1" applyBorder="1" applyAlignment="1">
      <alignment vertical="top" wrapText="1"/>
    </xf>
    <xf numFmtId="0" fontId="234" fillId="6" borderId="19" xfId="0" applyFont="1" applyFill="1" applyBorder="1" applyAlignment="1">
      <alignment vertical="top" wrapText="1"/>
    </xf>
    <xf numFmtId="0" fontId="235" fillId="6" borderId="19" xfId="0" applyFont="1" applyFill="1" applyBorder="1" applyAlignment="1">
      <alignment vertical="top" wrapText="1"/>
    </xf>
    <xf numFmtId="0" fontId="236" fillId="6" borderId="19" xfId="0" applyFont="1" applyFill="1" applyBorder="1" applyAlignment="1">
      <alignment vertical="top" wrapText="1"/>
    </xf>
    <xf numFmtId="0" fontId="10" fillId="2" borderId="88" xfId="0" applyFont="1" applyFill="1" applyBorder="1" applyAlignment="1">
      <alignment vertical="top"/>
    </xf>
    <xf numFmtId="0" fontId="128" fillId="2" borderId="88" xfId="0" applyFont="1" applyFill="1" applyBorder="1" applyAlignment="1">
      <alignment vertical="top"/>
    </xf>
    <xf numFmtId="0" fontId="25" fillId="6" borderId="88" xfId="0" applyFont="1" applyFill="1" applyBorder="1" applyAlignment="1">
      <alignment vertical="top" wrapText="1"/>
    </xf>
    <xf numFmtId="0" fontId="4" fillId="6" borderId="88" xfId="0" applyFont="1" applyFill="1" applyBorder="1" applyAlignment="1">
      <alignment vertical="top"/>
    </xf>
    <xf numFmtId="0" fontId="25" fillId="6" borderId="89" xfId="0" applyFont="1" applyFill="1" applyBorder="1" applyAlignment="1">
      <alignment vertical="top"/>
    </xf>
    <xf numFmtId="0" fontId="64" fillId="0" borderId="0" xfId="0" applyFont="1"/>
    <xf numFmtId="0" fontId="128" fillId="11" borderId="27" xfId="0" applyFont="1" applyFill="1" applyBorder="1" applyAlignment="1">
      <alignment horizontal="center"/>
    </xf>
    <xf numFmtId="0" fontId="174" fillId="22" borderId="19" xfId="0" applyFont="1" applyFill="1" applyBorder="1" applyAlignment="1">
      <alignment horizontal="center"/>
    </xf>
    <xf numFmtId="0" fontId="174" fillId="22" borderId="29" xfId="0" applyFont="1" applyFill="1" applyBorder="1" applyAlignment="1">
      <alignment horizontal="center" wrapText="1"/>
    </xf>
    <xf numFmtId="0" fontId="174" fillId="22" borderId="29" xfId="0" applyFont="1" applyFill="1" applyBorder="1" applyAlignment="1">
      <alignment horizontal="center"/>
    </xf>
    <xf numFmtId="0" fontId="174" fillId="17" borderId="25" xfId="0" applyFont="1" applyFill="1" applyBorder="1" applyAlignment="1">
      <alignment horizontal="center"/>
    </xf>
    <xf numFmtId="0" fontId="174" fillId="15" borderId="25" xfId="0" applyFont="1" applyFill="1" applyBorder="1" applyAlignment="1">
      <alignment horizontal="center"/>
    </xf>
    <xf numFmtId="0" fontId="174" fillId="18" borderId="25" xfId="0" applyFont="1" applyFill="1" applyBorder="1" applyAlignment="1">
      <alignment horizontal="center"/>
    </xf>
    <xf numFmtId="0" fontId="174" fillId="19" borderId="25" xfId="0" applyFont="1" applyFill="1" applyBorder="1" applyAlignment="1">
      <alignment horizontal="center"/>
    </xf>
    <xf numFmtId="0" fontId="174" fillId="20" borderId="25" xfId="0" applyFont="1" applyFill="1" applyBorder="1" applyAlignment="1">
      <alignment horizontal="center"/>
    </xf>
    <xf numFmtId="0" fontId="174" fillId="21" borderId="25" xfId="0" applyFont="1" applyFill="1" applyBorder="1" applyAlignment="1">
      <alignment horizontal="center"/>
    </xf>
    <xf numFmtId="0" fontId="174" fillId="2" borderId="25" xfId="0" applyFont="1" applyFill="1" applyBorder="1" applyAlignment="1">
      <alignment horizontal="center"/>
    </xf>
    <xf numFmtId="0" fontId="174" fillId="23" borderId="25" xfId="0" applyFont="1" applyFill="1" applyBorder="1" applyAlignment="1">
      <alignment horizontal="center"/>
    </xf>
    <xf numFmtId="0" fontId="174" fillId="6" borderId="25" xfId="0" applyFont="1" applyFill="1" applyBorder="1" applyAlignment="1">
      <alignment horizontal="center"/>
    </xf>
    <xf numFmtId="0" fontId="174" fillId="2" borderId="19" xfId="0" applyFont="1" applyFill="1" applyBorder="1" applyAlignment="1">
      <alignment horizontal="center"/>
    </xf>
    <xf numFmtId="0" fontId="174" fillId="6" borderId="19" xfId="0" applyFont="1" applyFill="1" applyBorder="1" applyAlignment="1">
      <alignment horizontal="center"/>
    </xf>
    <xf numFmtId="0" fontId="237" fillId="0" borderId="19" xfId="0" applyFont="1" applyBorder="1" applyAlignment="1">
      <alignment vertical="top"/>
    </xf>
    <xf numFmtId="0" fontId="238" fillId="0" borderId="19" xfId="0" applyFont="1" applyBorder="1" applyAlignment="1">
      <alignment horizontal="left" vertical="top" wrapText="1"/>
    </xf>
    <xf numFmtId="0" fontId="41" fillId="17" borderId="19" xfId="0" applyFont="1" applyFill="1" applyBorder="1" applyAlignment="1">
      <alignment horizontal="center" vertical="top" wrapText="1"/>
    </xf>
    <xf numFmtId="0" fontId="41" fillId="15" borderId="19" xfId="0" applyFont="1" applyFill="1" applyBorder="1" applyAlignment="1">
      <alignment horizontal="center" vertical="top" wrapText="1"/>
    </xf>
    <xf numFmtId="9" fontId="41" fillId="15" borderId="19" xfId="0" applyNumberFormat="1" applyFont="1" applyFill="1" applyBorder="1" applyAlignment="1">
      <alignment horizontal="center" vertical="top" wrapText="1"/>
    </xf>
    <xf numFmtId="0" fontId="41" fillId="18" borderId="19" xfId="0" applyFont="1" applyFill="1" applyBorder="1" applyAlignment="1">
      <alignment horizontal="center" vertical="top" wrapText="1"/>
    </xf>
    <xf numFmtId="9" fontId="5" fillId="18" borderId="19" xfId="0" applyNumberFormat="1" applyFont="1" applyFill="1" applyBorder="1" applyAlignment="1">
      <alignment horizontal="center" vertical="top" wrapText="1"/>
    </xf>
    <xf numFmtId="0" fontId="41" fillId="19" borderId="19" xfId="0" applyFont="1" applyFill="1" applyBorder="1" applyAlignment="1">
      <alignment horizontal="center" vertical="top" wrapText="1"/>
    </xf>
    <xf numFmtId="0" fontId="41" fillId="20" borderId="19" xfId="0" applyFont="1" applyFill="1" applyBorder="1" applyAlignment="1">
      <alignment horizontal="center" vertical="top" wrapText="1"/>
    </xf>
    <xf numFmtId="166" fontId="41" fillId="21" borderId="19" xfId="0" applyNumberFormat="1" applyFont="1" applyFill="1" applyBorder="1" applyAlignment="1">
      <alignment horizontal="left" vertical="top" wrapText="1"/>
    </xf>
    <xf numFmtId="9" fontId="41" fillId="21" borderId="19" xfId="0" applyNumberFormat="1" applyFont="1" applyFill="1" applyBorder="1" applyAlignment="1">
      <alignment horizontal="center" vertical="top" wrapText="1"/>
    </xf>
    <xf numFmtId="0" fontId="41" fillId="2" borderId="19" xfId="0" applyFont="1" applyFill="1" applyBorder="1" applyAlignment="1">
      <alignment horizontal="center" vertical="top" wrapText="1"/>
    </xf>
    <xf numFmtId="3" fontId="41" fillId="23" borderId="19" xfId="0" applyNumberFormat="1" applyFont="1" applyFill="1" applyBorder="1" applyAlignment="1">
      <alignment horizontal="center" vertical="top" wrapText="1"/>
    </xf>
    <xf numFmtId="0" fontId="41" fillId="6" borderId="19" xfId="0" applyFont="1" applyFill="1" applyBorder="1" applyAlignment="1">
      <alignment horizontal="center" vertical="top" wrapText="1"/>
    </xf>
    <xf numFmtId="0" fontId="41" fillId="23" borderId="19" xfId="0" applyFont="1" applyFill="1" applyBorder="1" applyAlignment="1">
      <alignment horizontal="center" vertical="top" wrapText="1"/>
    </xf>
    <xf numFmtId="9" fontId="5" fillId="6" borderId="19" xfId="0" applyNumberFormat="1" applyFont="1" applyFill="1" applyBorder="1" applyAlignment="1">
      <alignment horizontal="center" vertical="top" wrapText="1"/>
    </xf>
    <xf numFmtId="0" fontId="237" fillId="0" borderId="23" xfId="0" applyFont="1" applyBorder="1" applyAlignment="1">
      <alignment vertical="top"/>
    </xf>
    <xf numFmtId="9" fontId="41" fillId="18" borderId="19" xfId="0" applyNumberFormat="1" applyFont="1" applyFill="1" applyBorder="1" applyAlignment="1">
      <alignment horizontal="center" vertical="top" wrapText="1"/>
    </xf>
    <xf numFmtId="9" fontId="41" fillId="6" borderId="19" xfId="0" applyNumberFormat="1" applyFont="1" applyFill="1" applyBorder="1" applyAlignment="1">
      <alignment horizontal="center" vertical="top" wrapText="1"/>
    </xf>
    <xf numFmtId="0" fontId="41" fillId="0" borderId="23" xfId="0" applyFont="1" applyBorder="1" applyAlignment="1">
      <alignment horizontal="left" vertical="top"/>
    </xf>
    <xf numFmtId="9" fontId="41" fillId="19" borderId="19" xfId="0" applyNumberFormat="1" applyFont="1" applyFill="1" applyBorder="1" applyAlignment="1">
      <alignment horizontal="center" vertical="top" wrapText="1"/>
    </xf>
    <xf numFmtId="9" fontId="41" fillId="20" borderId="19" xfId="0" applyNumberFormat="1" applyFont="1" applyFill="1" applyBorder="1" applyAlignment="1">
      <alignment horizontal="center" vertical="top" wrapText="1"/>
    </xf>
    <xf numFmtId="9" fontId="41" fillId="2" borderId="19" xfId="0" applyNumberFormat="1" applyFont="1" applyFill="1" applyBorder="1" applyAlignment="1">
      <alignment horizontal="center" vertical="top" wrapText="1"/>
    </xf>
    <xf numFmtId="9" fontId="5" fillId="19" borderId="19" xfId="0" applyNumberFormat="1" applyFont="1" applyFill="1" applyBorder="1" applyAlignment="1">
      <alignment horizontal="center" vertical="top" wrapText="1"/>
    </xf>
    <xf numFmtId="9" fontId="5" fillId="20" borderId="19" xfId="0" applyNumberFormat="1" applyFont="1" applyFill="1" applyBorder="1" applyAlignment="1">
      <alignment horizontal="center" vertical="top" wrapText="1"/>
    </xf>
    <xf numFmtId="9" fontId="5" fillId="2" borderId="19" xfId="0" applyNumberFormat="1" applyFont="1" applyFill="1" applyBorder="1" applyAlignment="1">
      <alignment horizontal="center" vertical="top" wrapText="1"/>
    </xf>
    <xf numFmtId="0" fontId="41" fillId="2" borderId="90" xfId="0" applyFont="1" applyFill="1" applyBorder="1" applyAlignment="1">
      <alignment horizontal="center" vertical="top" wrapText="1"/>
    </xf>
    <xf numFmtId="9" fontId="41" fillId="6" borderId="33" xfId="0" applyNumberFormat="1" applyFont="1" applyFill="1" applyBorder="1" applyAlignment="1">
      <alignment horizontal="center" vertical="top" wrapText="1"/>
    </xf>
    <xf numFmtId="0" fontId="237" fillId="0" borderId="23" xfId="0" applyFont="1" applyBorder="1" applyAlignment="1">
      <alignment vertical="top" wrapText="1"/>
    </xf>
    <xf numFmtId="0" fontId="25" fillId="0" borderId="30" xfId="0" applyFont="1" applyBorder="1" applyAlignment="1">
      <alignment vertical="top" wrapText="1"/>
    </xf>
    <xf numFmtId="0" fontId="25" fillId="11" borderId="91" xfId="0" applyFont="1" applyFill="1" applyBorder="1" applyAlignment="1">
      <alignment vertical="top" wrapText="1"/>
    </xf>
    <xf numFmtId="0" fontId="25" fillId="0" borderId="30" xfId="0" applyFont="1" applyBorder="1"/>
    <xf numFmtId="0" fontId="41" fillId="0" borderId="19" xfId="0" applyFont="1" applyBorder="1" applyAlignment="1">
      <alignment horizontal="left"/>
    </xf>
    <xf numFmtId="0" fontId="238" fillId="0" borderId="19" xfId="0" applyFont="1" applyBorder="1" applyAlignment="1">
      <alignment horizontal="left" vertical="top"/>
    </xf>
    <xf numFmtId="0" fontId="41" fillId="17" borderId="19" xfId="0" applyFont="1" applyFill="1" applyBorder="1"/>
    <xf numFmtId="0" fontId="41" fillId="17" borderId="19" xfId="0" applyFont="1" applyFill="1" applyBorder="1" applyAlignment="1">
      <alignment horizontal="center"/>
    </xf>
    <xf numFmtId="0" fontId="41" fillId="15" borderId="19" xfId="0" applyFont="1" applyFill="1" applyBorder="1"/>
    <xf numFmtId="0" fontId="41" fillId="15" borderId="19" xfId="0" applyFont="1" applyFill="1" applyBorder="1" applyAlignment="1">
      <alignment horizontal="center"/>
    </xf>
    <xf numFmtId="9" fontId="25" fillId="15" borderId="19" xfId="0" applyNumberFormat="1" applyFont="1" applyFill="1" applyBorder="1" applyAlignment="1">
      <alignment horizontal="center"/>
    </xf>
    <xf numFmtId="0" fontId="41" fillId="18" borderId="19" xfId="0" applyFont="1" applyFill="1" applyBorder="1" applyAlignment="1">
      <alignment horizontal="center"/>
    </xf>
    <xf numFmtId="9" fontId="41" fillId="18" borderId="19" xfId="0" applyNumberFormat="1" applyFont="1" applyFill="1" applyBorder="1" applyAlignment="1">
      <alignment horizontal="center"/>
    </xf>
    <xf numFmtId="0" fontId="41" fillId="19" borderId="19" xfId="0" applyFont="1" applyFill="1" applyBorder="1"/>
    <xf numFmtId="0" fontId="41" fillId="19" borderId="19" xfId="0" applyFont="1" applyFill="1" applyBorder="1" applyAlignment="1">
      <alignment horizontal="center"/>
    </xf>
    <xf numFmtId="9" fontId="25" fillId="19" borderId="19" xfId="0" applyNumberFormat="1" applyFont="1" applyFill="1" applyBorder="1" applyAlignment="1">
      <alignment horizontal="center"/>
    </xf>
    <xf numFmtId="9" fontId="25" fillId="20" borderId="19" xfId="0" applyNumberFormat="1" applyFont="1" applyFill="1" applyBorder="1" applyAlignment="1">
      <alignment horizontal="center"/>
    </xf>
    <xf numFmtId="0" fontId="41" fillId="20" borderId="19" xfId="0" applyFont="1" applyFill="1" applyBorder="1" applyAlignment="1">
      <alignment horizontal="center"/>
    </xf>
    <xf numFmtId="166" fontId="41" fillId="21" borderId="19" xfId="0" applyNumberFormat="1" applyFont="1" applyFill="1" applyBorder="1" applyAlignment="1">
      <alignment horizontal="left"/>
    </xf>
    <xf numFmtId="9" fontId="41" fillId="21" borderId="19" xfId="0" applyNumberFormat="1" applyFont="1" applyFill="1" applyBorder="1" applyAlignment="1">
      <alignment horizontal="center"/>
    </xf>
    <xf numFmtId="9" fontId="25" fillId="2" borderId="19" xfId="0" applyNumberFormat="1" applyFont="1" applyFill="1" applyBorder="1" applyAlignment="1">
      <alignment horizontal="center"/>
    </xf>
    <xf numFmtId="3" fontId="41" fillId="23" borderId="19" xfId="0" applyNumberFormat="1" applyFont="1" applyFill="1" applyBorder="1" applyAlignment="1">
      <alignment horizontal="center"/>
    </xf>
    <xf numFmtId="9" fontId="25" fillId="11" borderId="19" xfId="0" applyNumberFormat="1" applyFont="1" applyFill="1" applyBorder="1" applyAlignment="1">
      <alignment horizontal="center"/>
    </xf>
    <xf numFmtId="0" fontId="41" fillId="2" borderId="19" xfId="0" applyFont="1" applyFill="1" applyBorder="1" applyAlignment="1">
      <alignment horizontal="center"/>
    </xf>
    <xf numFmtId="0" fontId="41" fillId="23" borderId="19" xfId="0" applyFont="1" applyFill="1" applyBorder="1" applyAlignment="1">
      <alignment horizontal="center"/>
    </xf>
    <xf numFmtId="9" fontId="41" fillId="6" borderId="19" xfId="0" applyNumberFormat="1" applyFont="1" applyFill="1" applyBorder="1" applyAlignment="1">
      <alignment horizontal="center"/>
    </xf>
    <xf numFmtId="9" fontId="41" fillId="15" borderId="19" xfId="0" applyNumberFormat="1" applyFont="1" applyFill="1" applyBorder="1" applyAlignment="1">
      <alignment horizontal="center"/>
    </xf>
    <xf numFmtId="9" fontId="5" fillId="18" borderId="19" xfId="0" applyNumberFormat="1" applyFont="1" applyFill="1" applyBorder="1" applyAlignment="1">
      <alignment horizontal="center"/>
    </xf>
    <xf numFmtId="9" fontId="25" fillId="19" borderId="19" xfId="0" applyNumberFormat="1" applyFont="1" applyFill="1" applyBorder="1"/>
    <xf numFmtId="9" fontId="25" fillId="20" borderId="19" xfId="0" applyNumberFormat="1" applyFont="1" applyFill="1" applyBorder="1"/>
    <xf numFmtId="9" fontId="25" fillId="2" borderId="19" xfId="0" applyNumberFormat="1" applyFont="1" applyFill="1" applyBorder="1"/>
    <xf numFmtId="9" fontId="25" fillId="11" borderId="19" xfId="0" applyNumberFormat="1" applyFont="1" applyFill="1" applyBorder="1"/>
    <xf numFmtId="9" fontId="5" fillId="6" borderId="19" xfId="0" applyNumberFormat="1" applyFont="1" applyFill="1" applyBorder="1" applyAlignment="1">
      <alignment horizontal="center"/>
    </xf>
    <xf numFmtId="0" fontId="238" fillId="0" borderId="19" xfId="0" applyFont="1" applyBorder="1" applyAlignment="1">
      <alignment horizontal="left"/>
    </xf>
    <xf numFmtId="9" fontId="25" fillId="15" borderId="19" xfId="0" applyNumberFormat="1" applyFont="1" applyFill="1" applyBorder="1"/>
    <xf numFmtId="0" fontId="25" fillId="15" borderId="19" xfId="0" applyFont="1" applyFill="1" applyBorder="1"/>
    <xf numFmtId="9" fontId="41" fillId="19" borderId="19" xfId="0" applyNumberFormat="1" applyFont="1" applyFill="1" applyBorder="1" applyAlignment="1">
      <alignment horizontal="center"/>
    </xf>
    <xf numFmtId="9" fontId="41" fillId="20" borderId="19" xfId="0" applyNumberFormat="1" applyFont="1" applyFill="1" applyBorder="1" applyAlignment="1">
      <alignment horizontal="center"/>
    </xf>
    <xf numFmtId="9" fontId="25" fillId="21" borderId="19" xfId="0" applyNumberFormat="1" applyFont="1" applyFill="1" applyBorder="1"/>
    <xf numFmtId="9" fontId="41" fillId="2" borderId="19" xfId="0" applyNumberFormat="1" applyFont="1" applyFill="1" applyBorder="1" applyAlignment="1">
      <alignment horizontal="center"/>
    </xf>
    <xf numFmtId="9" fontId="41" fillId="11" borderId="19" xfId="0" applyNumberFormat="1" applyFont="1" applyFill="1" applyBorder="1" applyAlignment="1">
      <alignment horizontal="center"/>
    </xf>
    <xf numFmtId="0" fontId="25" fillId="11" borderId="91" xfId="0" applyFont="1" applyFill="1" applyBorder="1" applyAlignment="1">
      <alignment wrapText="1"/>
    </xf>
    <xf numFmtId="9" fontId="25" fillId="6" borderId="19" xfId="0" applyNumberFormat="1" applyFont="1" applyFill="1" applyBorder="1"/>
    <xf numFmtId="9" fontId="5" fillId="19" borderId="19" xfId="0" applyNumberFormat="1" applyFont="1" applyFill="1" applyBorder="1" applyAlignment="1">
      <alignment horizontal="center"/>
    </xf>
    <xf numFmtId="9" fontId="5" fillId="20" borderId="19" xfId="0" applyNumberFormat="1" applyFont="1" applyFill="1" applyBorder="1" applyAlignment="1">
      <alignment horizontal="center"/>
    </xf>
    <xf numFmtId="9" fontId="5" fillId="2" borderId="19" xfId="0" applyNumberFormat="1" applyFont="1" applyFill="1" applyBorder="1" applyAlignment="1">
      <alignment horizontal="center"/>
    </xf>
    <xf numFmtId="0" fontId="25" fillId="15" borderId="19" xfId="0" applyFont="1" applyFill="1" applyBorder="1" applyAlignment="1">
      <alignment horizontal="center"/>
    </xf>
    <xf numFmtId="0" fontId="174" fillId="11" borderId="27" xfId="0" applyFont="1" applyFill="1" applyBorder="1" applyAlignment="1">
      <alignment horizontal="center"/>
    </xf>
    <xf numFmtId="0" fontId="174" fillId="17" borderId="92" xfId="0" applyFont="1" applyFill="1" applyBorder="1" applyAlignment="1">
      <alignment horizontal="center"/>
    </xf>
    <xf numFmtId="0" fontId="174" fillId="15" borderId="71" xfId="0" applyFont="1" applyFill="1" applyBorder="1" applyAlignment="1">
      <alignment horizontal="center"/>
    </xf>
    <xf numFmtId="0" fontId="239" fillId="15" borderId="93" xfId="0" applyFont="1" applyFill="1" applyBorder="1" applyAlignment="1">
      <alignment horizontal="center"/>
    </xf>
    <xf numFmtId="9" fontId="174" fillId="15" borderId="93" xfId="0" applyNumberFormat="1" applyFont="1" applyFill="1" applyBorder="1" applyAlignment="1">
      <alignment horizontal="center"/>
    </xf>
    <xf numFmtId="0" fontId="174" fillId="18" borderId="93" xfId="0" applyFont="1" applyFill="1" applyBorder="1" applyAlignment="1">
      <alignment horizontal="center"/>
    </xf>
    <xf numFmtId="0" fontId="239" fillId="18" borderId="93" xfId="0" applyFont="1" applyFill="1" applyBorder="1" applyAlignment="1">
      <alignment horizontal="center"/>
    </xf>
    <xf numFmtId="9" fontId="174" fillId="18" borderId="93" xfId="0" applyNumberFormat="1" applyFont="1" applyFill="1" applyBorder="1" applyAlignment="1">
      <alignment horizontal="center"/>
    </xf>
    <xf numFmtId="0" fontId="174" fillId="19" borderId="93" xfId="0" applyFont="1" applyFill="1" applyBorder="1" applyAlignment="1">
      <alignment horizontal="center"/>
    </xf>
    <xf numFmtId="0" fontId="239" fillId="19" borderId="93" xfId="0" applyFont="1" applyFill="1" applyBorder="1" applyAlignment="1">
      <alignment horizontal="center"/>
    </xf>
    <xf numFmtId="9" fontId="174" fillId="19" borderId="93" xfId="0" applyNumberFormat="1" applyFont="1" applyFill="1" applyBorder="1" applyAlignment="1">
      <alignment horizontal="center"/>
    </xf>
    <xf numFmtId="0" fontId="174" fillId="20" borderId="93" xfId="0" applyFont="1" applyFill="1" applyBorder="1" applyAlignment="1">
      <alignment horizontal="center"/>
    </xf>
    <xf numFmtId="0" fontId="239" fillId="20" borderId="93" xfId="0" applyFont="1" applyFill="1" applyBorder="1" applyAlignment="1">
      <alignment horizontal="center"/>
    </xf>
    <xf numFmtId="9" fontId="174" fillId="20" borderId="93" xfId="0" applyNumberFormat="1" applyFont="1" applyFill="1" applyBorder="1" applyAlignment="1">
      <alignment horizontal="center"/>
    </xf>
    <xf numFmtId="166" fontId="174" fillId="21" borderId="93" xfId="0" applyNumberFormat="1" applyFont="1" applyFill="1" applyBorder="1" applyAlignment="1">
      <alignment horizontal="center"/>
    </xf>
    <xf numFmtId="166" fontId="128" fillId="21" borderId="93" xfId="0" applyNumberFormat="1" applyFont="1" applyFill="1" applyBorder="1" applyAlignment="1">
      <alignment horizontal="center"/>
    </xf>
    <xf numFmtId="9" fontId="174" fillId="21" borderId="94" xfId="0" applyNumberFormat="1" applyFont="1" applyFill="1" applyBorder="1" applyAlignment="1">
      <alignment horizontal="center"/>
    </xf>
    <xf numFmtId="0" fontId="174" fillId="2" borderId="93" xfId="0" applyFont="1" applyFill="1" applyBorder="1" applyAlignment="1">
      <alignment horizontal="center"/>
    </xf>
    <xf numFmtId="3" fontId="239" fillId="23" borderId="93" xfId="0" applyNumberFormat="1" applyFont="1" applyFill="1" applyBorder="1" applyAlignment="1">
      <alignment horizontal="center"/>
    </xf>
    <xf numFmtId="9" fontId="174" fillId="11" borderId="93" xfId="0" applyNumberFormat="1" applyFont="1" applyFill="1" applyBorder="1" applyAlignment="1">
      <alignment horizontal="center"/>
    </xf>
    <xf numFmtId="0" fontId="239" fillId="23" borderId="93" xfId="0" applyFont="1" applyFill="1" applyBorder="1" applyAlignment="1">
      <alignment horizontal="center"/>
    </xf>
    <xf numFmtId="0" fontId="25" fillId="6" borderId="95" xfId="0" applyFont="1" applyFill="1" applyBorder="1"/>
    <xf numFmtId="0" fontId="25" fillId="24" borderId="96" xfId="0" applyFont="1" applyFill="1" applyBorder="1"/>
    <xf numFmtId="0" fontId="25" fillId="0" borderId="70" xfId="0" applyFont="1" applyBorder="1"/>
    <xf numFmtId="0" fontId="25" fillId="0" borderId="83" xfId="0" applyFont="1" applyBorder="1"/>
    <xf numFmtId="0" fontId="5" fillId="3" borderId="72" xfId="0" applyFont="1" applyFill="1" applyBorder="1" applyAlignment="1">
      <alignment horizontal="center"/>
    </xf>
    <xf numFmtId="0" fontId="5" fillId="3" borderId="79" xfId="0" applyFont="1" applyFill="1" applyBorder="1" applyAlignment="1">
      <alignment horizontal="center"/>
    </xf>
    <xf numFmtId="0" fontId="5" fillId="3" borderId="53" xfId="0" applyFont="1" applyFill="1" applyBorder="1" applyAlignment="1">
      <alignment horizontal="center" wrapText="1"/>
    </xf>
    <xf numFmtId="0" fontId="5" fillId="3" borderId="54" xfId="0" applyFont="1" applyFill="1" applyBorder="1" applyAlignment="1">
      <alignment horizontal="center" wrapText="1"/>
    </xf>
    <xf numFmtId="14" fontId="25" fillId="0" borderId="0" xfId="0" applyNumberFormat="1" applyFont="1"/>
    <xf numFmtId="14" fontId="64" fillId="0" borderId="0" xfId="0" applyNumberFormat="1" applyFont="1"/>
    <xf numFmtId="0" fontId="5" fillId="0" borderId="0" xfId="0" applyFont="1" applyAlignment="1">
      <alignment vertical="center"/>
    </xf>
    <xf numFmtId="0" fontId="41" fillId="11" borderId="27" xfId="0" applyFont="1" applyFill="1" applyBorder="1"/>
    <xf numFmtId="0" fontId="5" fillId="25" borderId="59" xfId="0" applyFont="1" applyFill="1" applyBorder="1" applyAlignment="1">
      <alignment horizontal="center" vertical="center" wrapText="1"/>
    </xf>
    <xf numFmtId="0" fontId="5" fillId="25" borderId="12" xfId="0" applyFont="1" applyFill="1" applyBorder="1" applyAlignment="1">
      <alignment horizontal="center" vertical="center" wrapText="1"/>
    </xf>
    <xf numFmtId="0" fontId="5" fillId="25" borderId="104" xfId="0" applyFont="1" applyFill="1" applyBorder="1" applyAlignment="1">
      <alignment horizontal="center" vertical="center" wrapText="1"/>
    </xf>
    <xf numFmtId="0" fontId="5" fillId="25" borderId="30" xfId="0" applyFont="1" applyFill="1" applyBorder="1" applyAlignment="1">
      <alignment horizontal="center" vertical="center" wrapText="1"/>
    </xf>
    <xf numFmtId="0" fontId="5" fillId="25" borderId="105" xfId="0" applyFont="1" applyFill="1" applyBorder="1" applyAlignment="1">
      <alignment horizontal="center" wrapText="1"/>
    </xf>
    <xf numFmtId="0" fontId="41" fillId="0" borderId="106" xfId="0" applyFont="1" applyBorder="1" applyAlignment="1">
      <alignment horizontal="center" vertical="top"/>
    </xf>
    <xf numFmtId="0" fontId="237" fillId="26" borderId="19" xfId="0" applyFont="1" applyFill="1" applyBorder="1" applyAlignment="1">
      <alignment vertical="top"/>
    </xf>
    <xf numFmtId="0" fontId="241" fillId="0" borderId="20" xfId="0" applyFont="1" applyBorder="1" applyAlignment="1">
      <alignment vertical="top" wrapText="1"/>
    </xf>
    <xf numFmtId="0" fontId="237" fillId="0" borderId="19" xfId="0" applyFont="1" applyBorder="1" applyAlignment="1">
      <alignment vertical="top" wrapText="1"/>
    </xf>
    <xf numFmtId="0" fontId="237" fillId="27" borderId="81" xfId="0" applyFont="1" applyFill="1" applyBorder="1" applyAlignment="1">
      <alignment horizontal="center" vertical="top"/>
    </xf>
    <xf numFmtId="0" fontId="237" fillId="28" borderId="81" xfId="0" applyFont="1" applyFill="1" applyBorder="1" applyAlignment="1">
      <alignment horizontal="center" vertical="top"/>
    </xf>
    <xf numFmtId="0" fontId="237" fillId="9" borderId="81" xfId="0" applyFont="1" applyFill="1" applyBorder="1" applyAlignment="1">
      <alignment horizontal="center" vertical="top"/>
    </xf>
    <xf numFmtId="0" fontId="237" fillId="28" borderId="18" xfId="0" applyFont="1" applyFill="1" applyBorder="1" applyAlignment="1">
      <alignment horizontal="center" vertical="center"/>
    </xf>
    <xf numFmtId="0" fontId="237" fillId="29" borderId="18" xfId="0" applyFont="1" applyFill="1" applyBorder="1" applyAlignment="1">
      <alignment horizontal="center" vertical="center"/>
    </xf>
    <xf numFmtId="0" fontId="237" fillId="29" borderId="81" xfId="0" applyFont="1" applyFill="1" applyBorder="1" applyAlignment="1">
      <alignment horizontal="center" vertical="top"/>
    </xf>
    <xf numFmtId="0" fontId="41" fillId="28" borderId="16" xfId="0" applyFont="1" applyFill="1" applyBorder="1" applyAlignment="1">
      <alignment horizontal="center" vertical="center"/>
    </xf>
    <xf numFmtId="0" fontId="41" fillId="29" borderId="107" xfId="0" applyFont="1" applyFill="1" applyBorder="1" applyAlignment="1">
      <alignment horizontal="center" vertical="center"/>
    </xf>
    <xf numFmtId="0" fontId="242" fillId="0" borderId="19" xfId="0" applyFont="1" applyBorder="1" applyAlignment="1">
      <alignment horizontal="center" vertical="center"/>
    </xf>
    <xf numFmtId="0" fontId="242" fillId="0" borderId="0" xfId="0" applyFont="1" applyAlignment="1">
      <alignment horizontal="center" vertical="center"/>
    </xf>
    <xf numFmtId="0" fontId="41" fillId="29" borderId="16" xfId="0" applyFont="1" applyFill="1" applyBorder="1" applyAlignment="1">
      <alignment horizontal="center" vertical="center"/>
    </xf>
    <xf numFmtId="0" fontId="41" fillId="11" borderId="27" xfId="0" applyFont="1" applyFill="1" applyBorder="1" applyAlignment="1">
      <alignment horizontal="center" vertical="center"/>
    </xf>
    <xf numFmtId="0" fontId="5" fillId="0" borderId="78" xfId="0" applyFont="1" applyBorder="1" applyAlignment="1">
      <alignment horizontal="center" vertical="center"/>
    </xf>
    <xf numFmtId="0" fontId="5" fillId="0" borderId="108" xfId="0" applyFont="1" applyBorder="1" applyAlignment="1">
      <alignment horizontal="center" vertical="center"/>
    </xf>
    <xf numFmtId="0" fontId="41" fillId="28" borderId="18" xfId="0" applyFont="1" applyFill="1" applyBorder="1" applyAlignment="1">
      <alignment horizontal="center" vertical="center"/>
    </xf>
    <xf numFmtId="0" fontId="41" fillId="29" borderId="18" xfId="0" applyFont="1" applyFill="1" applyBorder="1" applyAlignment="1">
      <alignment horizontal="center" vertical="center"/>
    </xf>
    <xf numFmtId="0" fontId="238" fillId="0" borderId="19" xfId="0" applyFont="1" applyBorder="1" applyAlignment="1">
      <alignment horizontal="left" vertical="center"/>
    </xf>
    <xf numFmtId="0" fontId="41" fillId="0" borderId="109" xfId="0" applyFont="1" applyBorder="1" applyAlignment="1">
      <alignment horizontal="center" vertical="top"/>
    </xf>
    <xf numFmtId="0" fontId="237" fillId="26" borderId="23" xfId="0" applyFont="1" applyFill="1" applyBorder="1" applyAlignment="1">
      <alignment vertical="top"/>
    </xf>
    <xf numFmtId="0" fontId="243" fillId="0" borderId="24" xfId="0" applyFont="1" applyBorder="1" applyAlignment="1">
      <alignment vertical="top" wrapText="1"/>
    </xf>
    <xf numFmtId="0" fontId="244" fillId="0" borderId="19" xfId="0" applyFont="1" applyBorder="1" applyAlignment="1">
      <alignment vertical="top"/>
    </xf>
    <xf numFmtId="0" fontId="237" fillId="27" borderId="24" xfId="0" applyFont="1" applyFill="1" applyBorder="1" applyAlignment="1">
      <alignment horizontal="center" vertical="top"/>
    </xf>
    <xf numFmtId="0" fontId="237" fillId="28" borderId="24" xfId="0" applyFont="1" applyFill="1" applyBorder="1" applyAlignment="1">
      <alignment horizontal="center" vertical="top"/>
    </xf>
    <xf numFmtId="0" fontId="237" fillId="9" borderId="24" xfId="0" applyFont="1" applyFill="1" applyBorder="1" applyAlignment="1">
      <alignment horizontal="center" vertical="top"/>
    </xf>
    <xf numFmtId="0" fontId="237" fillId="28" borderId="15" xfId="0" applyFont="1" applyFill="1" applyBorder="1" applyAlignment="1">
      <alignment horizontal="center" vertical="center"/>
    </xf>
    <xf numFmtId="0" fontId="237" fillId="29" borderId="15" xfId="0" applyFont="1" applyFill="1" applyBorder="1" applyAlignment="1">
      <alignment horizontal="center" vertical="center"/>
    </xf>
    <xf numFmtId="0" fontId="237" fillId="29" borderId="24" xfId="0" applyFont="1" applyFill="1" applyBorder="1" applyAlignment="1">
      <alignment horizontal="center" vertical="top"/>
    </xf>
    <xf numFmtId="0" fontId="237" fillId="29" borderId="19" xfId="0" applyFont="1" applyFill="1" applyBorder="1" applyAlignment="1">
      <alignment horizontal="center" vertical="top"/>
    </xf>
    <xf numFmtId="0" fontId="41" fillId="28" borderId="19" xfId="0" applyFont="1" applyFill="1" applyBorder="1" applyAlignment="1">
      <alignment horizontal="center" vertical="center"/>
    </xf>
    <xf numFmtId="0" fontId="41" fillId="29" borderId="44" xfId="0" applyFont="1" applyFill="1" applyBorder="1" applyAlignment="1">
      <alignment horizontal="center" vertical="center"/>
    </xf>
    <xf numFmtId="0" fontId="41" fillId="29" borderId="19" xfId="0" applyFont="1" applyFill="1" applyBorder="1" applyAlignment="1">
      <alignment horizontal="center" vertical="center"/>
    </xf>
    <xf numFmtId="0" fontId="245" fillId="0" borderId="24" xfId="0" applyFont="1" applyBorder="1" applyAlignment="1">
      <alignment vertical="top" wrapText="1"/>
    </xf>
    <xf numFmtId="0" fontId="237" fillId="30" borderId="24" xfId="0" applyFont="1" applyFill="1" applyBorder="1" applyAlignment="1">
      <alignment horizontal="center" vertical="top"/>
    </xf>
    <xf numFmtId="0" fontId="143" fillId="31" borderId="23" xfId="0" applyFont="1" applyFill="1" applyBorder="1" applyAlignment="1">
      <alignment vertical="top"/>
    </xf>
    <xf numFmtId="0" fontId="246" fillId="0" borderId="24" xfId="0" applyFont="1" applyBorder="1" applyAlignment="1">
      <alignment vertical="top" wrapText="1"/>
    </xf>
    <xf numFmtId="0" fontId="143" fillId="28" borderId="19" xfId="0" applyFont="1" applyFill="1" applyBorder="1" applyAlignment="1">
      <alignment horizontal="center" vertical="center"/>
    </xf>
    <xf numFmtId="0" fontId="143" fillId="29" borderId="19" xfId="0" applyFont="1" applyFill="1" applyBorder="1" applyAlignment="1">
      <alignment horizontal="center" vertical="center"/>
    </xf>
    <xf numFmtId="0" fontId="41" fillId="27" borderId="24" xfId="0" applyFont="1" applyFill="1" applyBorder="1" applyAlignment="1">
      <alignment horizontal="center" vertical="top"/>
    </xf>
    <xf numFmtId="0" fontId="41" fillId="28" borderId="24" xfId="0" applyFont="1" applyFill="1" applyBorder="1" applyAlignment="1">
      <alignment horizontal="center" vertical="top"/>
    </xf>
    <xf numFmtId="0" fontId="41" fillId="9" borderId="24" xfId="0" applyFont="1" applyFill="1" applyBorder="1" applyAlignment="1">
      <alignment horizontal="center" vertical="top"/>
    </xf>
    <xf numFmtId="0" fontId="41" fillId="26" borderId="23" xfId="0" applyFont="1" applyFill="1" applyBorder="1" applyAlignment="1">
      <alignment horizontal="left" vertical="top"/>
    </xf>
    <xf numFmtId="0" fontId="140" fillId="0" borderId="19" xfId="0" applyFont="1" applyBorder="1" applyAlignment="1">
      <alignment horizontal="center" vertical="center"/>
    </xf>
    <xf numFmtId="0" fontId="247" fillId="5" borderId="18" xfId="0" applyFont="1" applyFill="1" applyBorder="1" applyAlignment="1">
      <alignment horizontal="center" vertical="center"/>
    </xf>
    <xf numFmtId="0" fontId="237" fillId="26" borderId="23" xfId="0" applyFont="1" applyFill="1" applyBorder="1" applyAlignment="1">
      <alignment horizontal="left" vertical="top"/>
    </xf>
    <xf numFmtId="0" fontId="64" fillId="0" borderId="0" xfId="0" applyFont="1" applyAlignment="1">
      <alignment horizontal="center" vertical="center"/>
    </xf>
    <xf numFmtId="0" fontId="248" fillId="0" borderId="23" xfId="0" applyFont="1" applyBorder="1" applyAlignment="1">
      <alignment vertical="top" wrapText="1"/>
    </xf>
    <xf numFmtId="0" fontId="41" fillId="27" borderId="24" xfId="0" applyFont="1" applyFill="1" applyBorder="1" applyAlignment="1">
      <alignment horizontal="center" vertical="center"/>
    </xf>
    <xf numFmtId="0" fontId="237" fillId="9" borderId="15" xfId="0" applyFont="1" applyFill="1" applyBorder="1" applyAlignment="1">
      <alignment horizontal="center" vertical="center"/>
    </xf>
    <xf numFmtId="0" fontId="237" fillId="28" borderId="29" xfId="0" applyFont="1" applyFill="1" applyBorder="1" applyAlignment="1">
      <alignment horizontal="center" vertical="center"/>
    </xf>
    <xf numFmtId="0" fontId="237" fillId="29" borderId="29" xfId="0" applyFont="1" applyFill="1" applyBorder="1" applyAlignment="1">
      <alignment horizontal="center" vertical="center"/>
    </xf>
    <xf numFmtId="0" fontId="41" fillId="0" borderId="23" xfId="0" applyFont="1" applyBorder="1" applyAlignment="1">
      <alignment vertical="top"/>
    </xf>
    <xf numFmtId="0" fontId="249" fillId="0" borderId="23" xfId="0" applyFont="1" applyBorder="1" applyAlignment="1">
      <alignment vertical="top" wrapText="1"/>
    </xf>
    <xf numFmtId="0" fontId="138" fillId="26" borderId="19" xfId="0" applyFont="1" applyFill="1" applyBorder="1" applyAlignment="1">
      <alignment horizontal="left" vertical="top"/>
    </xf>
    <xf numFmtId="0" fontId="250" fillId="0" borderId="23" xfId="0" applyFont="1" applyBorder="1" applyAlignment="1">
      <alignment vertical="center" wrapText="1"/>
    </xf>
    <xf numFmtId="0" fontId="41" fillId="0" borderId="23" xfId="0" applyFont="1" applyBorder="1" applyAlignment="1">
      <alignment vertical="center"/>
    </xf>
    <xf numFmtId="0" fontId="251" fillId="0" borderId="24" xfId="0" applyFont="1" applyBorder="1" applyAlignment="1">
      <alignment vertical="top" wrapText="1"/>
    </xf>
    <xf numFmtId="0" fontId="41" fillId="0" borderId="24" xfId="0" applyFont="1" applyBorder="1" applyAlignment="1">
      <alignment vertical="top"/>
    </xf>
    <xf numFmtId="0" fontId="41" fillId="0" borderId="24" xfId="0" applyFont="1" applyBorder="1" applyAlignment="1">
      <alignment vertical="center" wrapText="1"/>
    </xf>
    <xf numFmtId="0" fontId="237" fillId="0" borderId="23" xfId="0" applyFont="1" applyBorder="1" applyAlignment="1">
      <alignment vertical="center"/>
    </xf>
    <xf numFmtId="0" fontId="41" fillId="29" borderId="26" xfId="0" applyFont="1" applyFill="1" applyBorder="1" applyAlignment="1">
      <alignment horizontal="center" vertical="center"/>
    </xf>
    <xf numFmtId="0" fontId="237" fillId="0" borderId="19" xfId="0" applyFont="1" applyBorder="1" applyAlignment="1">
      <alignment horizontal="left" vertical="center"/>
    </xf>
    <xf numFmtId="0" fontId="237" fillId="0" borderId="24" xfId="0" applyFont="1" applyBorder="1" applyAlignment="1">
      <alignment vertical="center" wrapText="1"/>
    </xf>
    <xf numFmtId="0" fontId="41" fillId="28" borderId="15" xfId="0" applyFont="1" applyFill="1" applyBorder="1" applyAlignment="1">
      <alignment horizontal="center" vertical="center"/>
    </xf>
    <xf numFmtId="0" fontId="41" fillId="29" borderId="15" xfId="0" applyFont="1" applyFill="1" applyBorder="1" applyAlignment="1">
      <alignment horizontal="center" vertical="center"/>
    </xf>
    <xf numFmtId="0" fontId="237" fillId="0" borderId="23" xfId="0" applyFont="1" applyBorder="1" applyAlignment="1">
      <alignment horizontal="left" vertical="center"/>
    </xf>
    <xf numFmtId="0" fontId="41" fillId="0" borderId="24" xfId="0" applyFont="1" applyBorder="1" applyAlignment="1">
      <alignment wrapText="1"/>
    </xf>
    <xf numFmtId="0" fontId="41" fillId="27" borderId="15" xfId="0" applyFont="1" applyFill="1" applyBorder="1"/>
    <xf numFmtId="0" fontId="41" fillId="28" borderId="15" xfId="0" applyFont="1" applyFill="1" applyBorder="1"/>
    <xf numFmtId="0" fontId="41" fillId="29" borderId="15" xfId="0" applyFont="1" applyFill="1" applyBorder="1"/>
    <xf numFmtId="0" fontId="41" fillId="28" borderId="19" xfId="0" applyFont="1" applyFill="1" applyBorder="1" applyAlignment="1">
      <alignment horizontal="right" wrapText="1"/>
    </xf>
    <xf numFmtId="0" fontId="41" fillId="29" borderId="19" xfId="0" applyFont="1" applyFill="1" applyBorder="1" applyAlignment="1">
      <alignment horizontal="right" wrapText="1"/>
    </xf>
    <xf numFmtId="0" fontId="41" fillId="29" borderId="26" xfId="0" applyFont="1" applyFill="1" applyBorder="1" applyAlignment="1">
      <alignment horizontal="right" wrapText="1"/>
    </xf>
    <xf numFmtId="0" fontId="41" fillId="28" borderId="19" xfId="0" applyFont="1" applyFill="1" applyBorder="1" applyAlignment="1">
      <alignment wrapText="1"/>
    </xf>
    <xf numFmtId="0" fontId="41" fillId="29" borderId="19" xfId="0" applyFont="1" applyFill="1" applyBorder="1" applyAlignment="1">
      <alignment wrapText="1"/>
    </xf>
    <xf numFmtId="0" fontId="5" fillId="0" borderId="78" xfId="0" applyFont="1" applyBorder="1" applyAlignment="1">
      <alignment horizontal="right"/>
    </xf>
    <xf numFmtId="0" fontId="5" fillId="0" borderId="108" xfId="0" applyFont="1" applyBorder="1" applyAlignment="1">
      <alignment horizontal="right"/>
    </xf>
    <xf numFmtId="0" fontId="41" fillId="28" borderId="18" xfId="0" applyFont="1" applyFill="1" applyBorder="1" applyAlignment="1">
      <alignment horizontal="right" wrapText="1"/>
    </xf>
    <xf numFmtId="0" fontId="41" fillId="29" borderId="18" xfId="0" applyFont="1" applyFill="1" applyBorder="1" applyAlignment="1">
      <alignment horizontal="right" wrapText="1"/>
    </xf>
    <xf numFmtId="0" fontId="252" fillId="0" borderId="24" xfId="0" applyFont="1" applyBorder="1" applyAlignment="1">
      <alignment wrapText="1"/>
    </xf>
    <xf numFmtId="0" fontId="41" fillId="27" borderId="15" xfId="0" applyFont="1" applyFill="1" applyBorder="1" applyAlignment="1">
      <alignment horizontal="right" wrapText="1"/>
    </xf>
    <xf numFmtId="0" fontId="41" fillId="28" borderId="15" xfId="0" applyFont="1" applyFill="1" applyBorder="1" applyAlignment="1">
      <alignment horizontal="right" wrapText="1"/>
    </xf>
    <xf numFmtId="0" fontId="41" fillId="29" borderId="15" xfId="0" applyFont="1" applyFill="1" applyBorder="1" applyAlignment="1">
      <alignment horizontal="right" wrapText="1"/>
    </xf>
    <xf numFmtId="0" fontId="253" fillId="0" borderId="24" xfId="0" applyFont="1" applyBorder="1" applyAlignment="1">
      <alignment wrapText="1"/>
    </xf>
    <xf numFmtId="0" fontId="254" fillId="11" borderId="15" xfId="0" applyFont="1" applyFill="1" applyBorder="1" applyAlignment="1">
      <alignment wrapText="1"/>
    </xf>
    <xf numFmtId="0" fontId="255" fillId="6" borderId="15" xfId="0" applyFont="1" applyFill="1" applyBorder="1" applyAlignment="1">
      <alignment wrapText="1"/>
    </xf>
    <xf numFmtId="0" fontId="256" fillId="0" borderId="50" xfId="0" applyFont="1" applyBorder="1" applyAlignment="1">
      <alignment wrapText="1"/>
    </xf>
    <xf numFmtId="0" fontId="41" fillId="29" borderId="26" xfId="0" applyFont="1" applyFill="1" applyBorder="1" applyAlignment="1">
      <alignment wrapText="1"/>
    </xf>
    <xf numFmtId="0" fontId="41" fillId="0" borderId="24" xfId="0" applyFont="1" applyBorder="1" applyAlignment="1">
      <alignment horizontal="left" vertical="center"/>
    </xf>
    <xf numFmtId="0" fontId="41" fillId="0" borderId="19" xfId="0" applyFont="1" applyBorder="1" applyAlignment="1">
      <alignment horizontal="left" wrapText="1"/>
    </xf>
    <xf numFmtId="0" fontId="41" fillId="27" borderId="29" xfId="0" applyFont="1" applyFill="1" applyBorder="1" applyAlignment="1">
      <alignment wrapText="1"/>
    </xf>
    <xf numFmtId="0" fontId="41" fillId="28" borderId="16" xfId="0" applyFont="1" applyFill="1" applyBorder="1" applyAlignment="1">
      <alignment horizontal="right" wrapText="1"/>
    </xf>
    <xf numFmtId="0" fontId="41" fillId="29" borderId="16" xfId="0" applyFont="1" applyFill="1" applyBorder="1" applyAlignment="1">
      <alignment horizontal="right" wrapText="1"/>
    </xf>
    <xf numFmtId="0" fontId="41" fillId="0" borderId="106" xfId="0" applyFont="1" applyBorder="1" applyAlignment="1">
      <alignment horizontal="right" wrapText="1"/>
    </xf>
    <xf numFmtId="0" fontId="41" fillId="0" borderId="109" xfId="0" applyFont="1" applyBorder="1" applyAlignment="1">
      <alignment horizontal="right" wrapText="1"/>
    </xf>
    <xf numFmtId="0" fontId="41" fillId="0" borderId="20" xfId="0" applyFont="1" applyBorder="1" applyAlignment="1">
      <alignment wrapText="1"/>
    </xf>
    <xf numFmtId="0" fontId="41" fillId="0" borderId="24" xfId="0" applyFont="1" applyBorder="1"/>
    <xf numFmtId="0" fontId="41" fillId="0" borderId="19" xfId="0" applyFont="1" applyBorder="1" applyAlignment="1">
      <alignment wrapText="1"/>
    </xf>
    <xf numFmtId="0" fontId="41" fillId="27" borderId="19" xfId="0" applyFont="1" applyFill="1" applyBorder="1" applyAlignment="1">
      <alignment wrapText="1"/>
    </xf>
    <xf numFmtId="0" fontId="41" fillId="27" borderId="67" xfId="0" applyFont="1" applyFill="1" applyBorder="1" applyAlignment="1">
      <alignment horizontal="center"/>
    </xf>
    <xf numFmtId="0" fontId="41" fillId="28" borderId="67" xfId="0" applyFont="1" applyFill="1" applyBorder="1" applyAlignment="1">
      <alignment horizontal="center"/>
    </xf>
    <xf numFmtId="0" fontId="41" fillId="29" borderId="67" xfId="0" applyFont="1" applyFill="1" applyBorder="1" applyAlignment="1">
      <alignment horizontal="center"/>
    </xf>
    <xf numFmtId="0" fontId="5" fillId="28" borderId="67" xfId="0" applyFont="1" applyFill="1" applyBorder="1" applyAlignment="1">
      <alignment horizontal="center" wrapText="1"/>
    </xf>
    <xf numFmtId="0" fontId="41" fillId="6" borderId="112" xfId="0" applyFont="1" applyFill="1" applyBorder="1" applyAlignment="1">
      <alignment horizontal="center"/>
    </xf>
    <xf numFmtId="0" fontId="5" fillId="0" borderId="78" xfId="0" applyFont="1" applyBorder="1" applyAlignment="1">
      <alignment horizontal="center"/>
    </xf>
    <xf numFmtId="0" fontId="5" fillId="0" borderId="108" xfId="0" applyFont="1" applyBorder="1" applyAlignment="1">
      <alignment horizontal="center"/>
    </xf>
    <xf numFmtId="0" fontId="5" fillId="28" borderId="29" xfId="0" applyFont="1" applyFill="1" applyBorder="1" applyAlignment="1">
      <alignment horizontal="center" wrapText="1"/>
    </xf>
    <xf numFmtId="0" fontId="5" fillId="29" borderId="29" xfId="0" applyFont="1" applyFill="1" applyBorder="1" applyAlignment="1">
      <alignment horizontal="center" wrapText="1"/>
    </xf>
    <xf numFmtId="0" fontId="9" fillId="0" borderId="113" xfId="0" applyFont="1" applyBorder="1" applyAlignment="1">
      <alignment wrapText="1"/>
    </xf>
    <xf numFmtId="0" fontId="9" fillId="0" borderId="113" xfId="0" applyFont="1" applyBorder="1"/>
    <xf numFmtId="0" fontId="9" fillId="0" borderId="0" xfId="0" applyFont="1" applyAlignment="1">
      <alignment wrapText="1"/>
    </xf>
    <xf numFmtId="0" fontId="4" fillId="11" borderId="27" xfId="0" applyFont="1" applyFill="1" applyBorder="1"/>
    <xf numFmtId="0" fontId="9" fillId="0" borderId="114" xfId="0" applyFont="1" applyBorder="1" applyAlignment="1">
      <alignment wrapText="1"/>
    </xf>
    <xf numFmtId="0" fontId="9" fillId="0" borderId="114" xfId="0" applyFont="1" applyBorder="1"/>
    <xf numFmtId="0" fontId="9" fillId="0" borderId="114" xfId="0" applyFont="1" applyBorder="1" applyAlignment="1">
      <alignment horizontal="right" wrapText="1"/>
    </xf>
    <xf numFmtId="0" fontId="9" fillId="0" borderId="0" xfId="0" applyFont="1" applyAlignment="1">
      <alignment horizontal="right" wrapText="1"/>
    </xf>
    <xf numFmtId="0" fontId="5" fillId="0" borderId="0" xfId="0" applyFont="1" applyAlignment="1">
      <alignment horizontal="center"/>
    </xf>
    <xf numFmtId="0" fontId="174" fillId="22" borderId="54" xfId="0" applyFont="1" applyFill="1" applyBorder="1" applyAlignment="1">
      <alignment horizontal="center"/>
    </xf>
    <xf numFmtId="0" fontId="174" fillId="22" borderId="50" xfId="0" applyFont="1" applyFill="1" applyBorder="1" applyAlignment="1">
      <alignment horizontal="center"/>
    </xf>
    <xf numFmtId="0" fontId="174" fillId="22" borderId="93" xfId="0" applyFont="1" applyFill="1" applyBorder="1" applyAlignment="1">
      <alignment horizontal="center"/>
    </xf>
    <xf numFmtId="0" fontId="174" fillId="22" borderId="71" xfId="0" applyFont="1" applyFill="1" applyBorder="1" applyAlignment="1">
      <alignment horizontal="center"/>
    </xf>
    <xf numFmtId="0" fontId="174" fillId="22" borderId="115" xfId="0" applyFont="1" applyFill="1" applyBorder="1" applyAlignment="1">
      <alignment horizontal="center"/>
    </xf>
    <xf numFmtId="0" fontId="174" fillId="32" borderId="50" xfId="0" applyFont="1" applyFill="1" applyBorder="1" applyAlignment="1">
      <alignment horizontal="center"/>
    </xf>
    <xf numFmtId="0" fontId="257" fillId="0" borderId="17" xfId="0" applyFont="1" applyBorder="1" applyAlignment="1">
      <alignment horizontal="center" vertical="center"/>
    </xf>
    <xf numFmtId="0" fontId="257" fillId="0" borderId="23" xfId="0" applyFont="1" applyBorder="1" applyAlignment="1">
      <alignment horizontal="center" vertical="center"/>
    </xf>
    <xf numFmtId="0" fontId="257" fillId="0" borderId="19" xfId="0" applyFont="1" applyBorder="1" applyAlignment="1">
      <alignment horizontal="center" vertical="center"/>
    </xf>
    <xf numFmtId="0" fontId="257" fillId="0" borderId="129" xfId="0" applyFont="1" applyBorder="1" applyAlignment="1">
      <alignment horizontal="center" vertical="center"/>
    </xf>
    <xf numFmtId="0" fontId="257" fillId="29" borderId="23" xfId="0" applyFont="1" applyFill="1" applyBorder="1" applyAlignment="1">
      <alignment horizontal="center" vertical="center"/>
    </xf>
    <xf numFmtId="0" fontId="257" fillId="29" borderId="19" xfId="0" applyFont="1" applyFill="1" applyBorder="1" applyAlignment="1">
      <alignment horizontal="center" vertical="center"/>
    </xf>
    <xf numFmtId="0" fontId="257" fillId="29" borderId="129" xfId="0" applyFont="1" applyFill="1" applyBorder="1" applyAlignment="1">
      <alignment horizontal="center" vertical="center"/>
    </xf>
    <xf numFmtId="0" fontId="257" fillId="0" borderId="88" xfId="0" applyFont="1" applyBorder="1" applyAlignment="1">
      <alignment horizontal="center" vertical="center"/>
    </xf>
    <xf numFmtId="0" fontId="25" fillId="22" borderId="19" xfId="0" applyFont="1" applyFill="1" applyBorder="1"/>
    <xf numFmtId="0" fontId="174" fillId="32" borderId="20" xfId="0" applyFont="1" applyFill="1" applyBorder="1" applyAlignment="1">
      <alignment horizontal="center"/>
    </xf>
    <xf numFmtId="0" fontId="174" fillId="32" borderId="56" xfId="0" applyFont="1" applyFill="1" applyBorder="1" applyAlignment="1">
      <alignment horizontal="center"/>
    </xf>
    <xf numFmtId="0" fontId="174" fillId="11" borderId="28" xfId="0" applyFont="1" applyFill="1" applyBorder="1" applyAlignment="1">
      <alignment horizontal="center"/>
    </xf>
    <xf numFmtId="0" fontId="265" fillId="0" borderId="19" xfId="0" applyFont="1" applyBorder="1" applyAlignment="1">
      <alignment horizontal="center" vertical="center"/>
    </xf>
    <xf numFmtId="0" fontId="25" fillId="6" borderId="0" xfId="0" applyFont="1" applyFill="1"/>
    <xf numFmtId="0" fontId="41" fillId="4" borderId="24" xfId="0" applyFont="1" applyFill="1" applyBorder="1" applyAlignment="1">
      <alignment horizontal="center"/>
    </xf>
    <xf numFmtId="0" fontId="41" fillId="0" borderId="24" xfId="0" applyFont="1" applyBorder="1" applyAlignment="1">
      <alignment horizontal="center"/>
    </xf>
    <xf numFmtId="0" fontId="41" fillId="0" borderId="50" xfId="0" applyFont="1" applyBorder="1"/>
    <xf numFmtId="0" fontId="138" fillId="4" borderId="24" xfId="0" applyFont="1" applyFill="1" applyBorder="1" applyAlignment="1">
      <alignment horizontal="center"/>
    </xf>
    <xf numFmtId="0" fontId="138" fillId="4" borderId="19" xfId="0" applyFont="1" applyFill="1" applyBorder="1" applyAlignment="1">
      <alignment horizontal="center"/>
    </xf>
    <xf numFmtId="0" fontId="41" fillId="0" borderId="20" xfId="0" applyFont="1" applyBorder="1" applyAlignment="1">
      <alignment horizontal="center"/>
    </xf>
    <xf numFmtId="0" fontId="41" fillId="0" borderId="19" xfId="0" applyFont="1" applyBorder="1" applyAlignment="1">
      <alignment horizontal="center"/>
    </xf>
    <xf numFmtId="0" fontId="5" fillId="4" borderId="20" xfId="0" applyFont="1" applyFill="1" applyBorder="1" applyAlignment="1">
      <alignment horizontal="center"/>
    </xf>
    <xf numFmtId="0" fontId="266" fillId="11" borderId="19" xfId="0" applyFont="1" applyFill="1" applyBorder="1" applyAlignment="1">
      <alignment wrapText="1"/>
    </xf>
    <xf numFmtId="166" fontId="41" fillId="0" borderId="24" xfId="0" applyNumberFormat="1" applyFont="1" applyBorder="1" applyAlignment="1">
      <alignment horizontal="center"/>
    </xf>
    <xf numFmtId="0" fontId="5" fillId="4" borderId="24" xfId="0" applyFont="1" applyFill="1" applyBorder="1" applyAlignment="1">
      <alignment horizontal="center"/>
    </xf>
    <xf numFmtId="0" fontId="5" fillId="21" borderId="20" xfId="0" applyFont="1" applyFill="1" applyBorder="1" applyAlignment="1">
      <alignment horizontal="center"/>
    </xf>
    <xf numFmtId="0" fontId="5" fillId="33" borderId="20" xfId="0" applyFont="1" applyFill="1" applyBorder="1" applyAlignment="1">
      <alignment horizontal="center"/>
    </xf>
    <xf numFmtId="0" fontId="41" fillId="0" borderId="0" xfId="0" applyFont="1" applyAlignment="1">
      <alignment horizontal="center"/>
    </xf>
    <xf numFmtId="0" fontId="5" fillId="4" borderId="19" xfId="0" applyFont="1" applyFill="1" applyBorder="1" applyAlignment="1">
      <alignment horizontal="center" vertical="center" wrapText="1"/>
    </xf>
    <xf numFmtId="0" fontId="128" fillId="4" borderId="19" xfId="0" applyFont="1" applyFill="1" applyBorder="1" applyAlignment="1">
      <alignment vertical="center" wrapText="1"/>
    </xf>
    <xf numFmtId="0" fontId="266" fillId="4" borderId="19" xfId="0" applyFont="1" applyFill="1" applyBorder="1" applyAlignment="1">
      <alignment vertical="center" wrapText="1"/>
    </xf>
    <xf numFmtId="0" fontId="41" fillId="11" borderId="24" xfId="0" applyFont="1" applyFill="1" applyBorder="1" applyAlignment="1">
      <alignment horizontal="center"/>
    </xf>
    <xf numFmtId="0" fontId="25" fillId="11" borderId="0" xfId="0" applyFont="1" applyFill="1"/>
    <xf numFmtId="0" fontId="5" fillId="11" borderId="24" xfId="0" applyFont="1" applyFill="1" applyBorder="1" applyAlignment="1">
      <alignment horizontal="center"/>
    </xf>
    <xf numFmtId="0" fontId="5" fillId="11" borderId="20" xfId="0" applyFont="1" applyFill="1" applyBorder="1" applyAlignment="1">
      <alignment horizontal="center"/>
    </xf>
    <xf numFmtId="166" fontId="41" fillId="11" borderId="24" xfId="0" applyNumberFormat="1" applyFont="1" applyFill="1" applyBorder="1" applyAlignment="1">
      <alignment horizontal="center"/>
    </xf>
    <xf numFmtId="0" fontId="41" fillId="21" borderId="20" xfId="0" applyFont="1" applyFill="1" applyBorder="1" applyAlignment="1">
      <alignment horizontal="center"/>
    </xf>
    <xf numFmtId="0" fontId="41" fillId="0" borderId="0" xfId="0" applyFont="1" applyAlignment="1">
      <alignment horizontal="right" vertical="top" wrapText="1"/>
    </xf>
    <xf numFmtId="0" fontId="237" fillId="6" borderId="140" xfId="0" applyFont="1" applyFill="1" applyBorder="1" applyAlignment="1">
      <alignment horizontal="left"/>
    </xf>
    <xf numFmtId="0" fontId="267" fillId="6" borderId="141" xfId="0" applyFont="1" applyFill="1" applyBorder="1" applyAlignment="1">
      <alignment horizontal="center" vertical="center"/>
    </xf>
    <xf numFmtId="0" fontId="41" fillId="0" borderId="56" xfId="0" applyFont="1" applyBorder="1" applyAlignment="1">
      <alignment horizontal="center"/>
    </xf>
    <xf numFmtId="0" fontId="25" fillId="0" borderId="139" xfId="0" applyFont="1" applyBorder="1"/>
    <xf numFmtId="0" fontId="5" fillId="0" borderId="56" xfId="0" applyFont="1" applyBorder="1" applyAlignment="1">
      <alignment horizontal="center"/>
    </xf>
    <xf numFmtId="10" fontId="5" fillId="0" borderId="56" xfId="0" applyNumberFormat="1" applyFont="1" applyBorder="1" applyAlignment="1">
      <alignment horizontal="center" wrapText="1"/>
    </xf>
    <xf numFmtId="0" fontId="174" fillId="11" borderId="91" xfId="0" applyFont="1" applyFill="1" applyBorder="1" applyAlignment="1">
      <alignment horizontal="center"/>
    </xf>
    <xf numFmtId="0" fontId="5" fillId="4" borderId="19" xfId="0" applyFont="1" applyFill="1" applyBorder="1" applyAlignment="1">
      <alignment horizontal="center" wrapText="1"/>
    </xf>
    <xf numFmtId="0" fontId="128" fillId="4" borderId="19" xfId="0" applyFont="1" applyFill="1" applyBorder="1" applyAlignment="1">
      <alignment wrapText="1"/>
    </xf>
    <xf numFmtId="0" fontId="266" fillId="4" borderId="19" xfId="0" applyFont="1" applyFill="1" applyBorder="1" applyAlignment="1">
      <alignment wrapText="1"/>
    </xf>
    <xf numFmtId="0" fontId="41" fillId="0" borderId="19" xfId="0" applyFont="1" applyBorder="1" applyAlignment="1">
      <alignment horizontal="right" vertical="top" wrapText="1"/>
    </xf>
    <xf numFmtId="0" fontId="5" fillId="6" borderId="19" xfId="0" applyFont="1" applyFill="1" applyBorder="1" applyAlignment="1">
      <alignment horizontal="center" vertical="top"/>
    </xf>
    <xf numFmtId="10" fontId="5" fillId="6" borderId="19" xfId="0" applyNumberFormat="1" applyFont="1" applyFill="1" applyBorder="1" applyAlignment="1">
      <alignment horizontal="center" vertical="top" wrapText="1"/>
    </xf>
    <xf numFmtId="0" fontId="5" fillId="6" borderId="19" xfId="0" applyFont="1" applyFill="1" applyBorder="1" applyAlignment="1">
      <alignment horizontal="center"/>
    </xf>
    <xf numFmtId="10" fontId="5" fillId="6" borderId="19" xfId="0" applyNumberFormat="1" applyFont="1" applyFill="1" applyBorder="1" applyAlignment="1">
      <alignment horizontal="center" wrapText="1"/>
    </xf>
    <xf numFmtId="0" fontId="25" fillId="6" borderId="27" xfId="0" applyFont="1" applyFill="1" applyBorder="1"/>
    <xf numFmtId="3" fontId="25" fillId="0" borderId="0" xfId="0" applyNumberFormat="1" applyFont="1" applyAlignment="1">
      <alignment horizontal="right"/>
    </xf>
    <xf numFmtId="0" fontId="25" fillId="0" borderId="0" xfId="0" applyFont="1" applyAlignment="1">
      <alignment horizontal="right"/>
    </xf>
    <xf numFmtId="10" fontId="25" fillId="0" borderId="0" xfId="0" applyNumberFormat="1" applyFont="1" applyAlignment="1">
      <alignment horizontal="right"/>
    </xf>
    <xf numFmtId="49" fontId="25" fillId="0" borderId="0" xfId="0" applyNumberFormat="1" applyFont="1" applyAlignment="1">
      <alignment horizontal="right"/>
    </xf>
    <xf numFmtId="10" fontId="25" fillId="0" borderId="0" xfId="0" applyNumberFormat="1" applyFont="1"/>
    <xf numFmtId="166" fontId="25" fillId="0" borderId="0" xfId="0" applyNumberFormat="1" applyFont="1" applyAlignment="1">
      <alignment horizontal="right"/>
    </xf>
    <xf numFmtId="10" fontId="268" fillId="6" borderId="0" xfId="0" applyNumberFormat="1" applyFont="1" applyFill="1" applyAlignment="1">
      <alignment horizontal="right"/>
    </xf>
    <xf numFmtId="3" fontId="25" fillId="0" borderId="0" xfId="0" applyNumberFormat="1" applyFont="1"/>
    <xf numFmtId="10" fontId="25" fillId="6" borderId="0" xfId="0" applyNumberFormat="1" applyFont="1" applyFill="1"/>
    <xf numFmtId="0" fontId="5" fillId="0" borderId="0" xfId="0" applyFont="1"/>
    <xf numFmtId="0" fontId="128" fillId="0" borderId="0" xfId="0" applyFont="1"/>
    <xf numFmtId="0" fontId="266" fillId="0" borderId="0" xfId="0" applyFont="1"/>
    <xf numFmtId="0" fontId="269" fillId="0" borderId="0" xfId="0" applyFont="1" applyAlignment="1">
      <alignment horizontal="left"/>
    </xf>
    <xf numFmtId="0" fontId="4" fillId="0" borderId="0" xfId="0" applyFont="1" applyAlignment="1">
      <alignment horizontal="center" vertical="top" wrapText="1"/>
    </xf>
    <xf numFmtId="0" fontId="0" fillId="0" borderId="0" xfId="0"/>
    <xf numFmtId="0" fontId="1" fillId="0" borderId="0" xfId="0" applyFont="1" applyAlignment="1">
      <alignment horizontal="center" vertical="top" wrapText="1"/>
    </xf>
    <xf numFmtId="0" fontId="5" fillId="2" borderId="1" xfId="0" applyFont="1" applyFill="1" applyBorder="1" applyAlignment="1">
      <alignment horizontal="center" vertical="center" wrapText="1"/>
    </xf>
    <xf numFmtId="0" fontId="6" fillId="0" borderId="2" xfId="0" applyFont="1" applyBorder="1"/>
    <xf numFmtId="0" fontId="6" fillId="0" borderId="3" xfId="0" applyFont="1" applyBorder="1"/>
    <xf numFmtId="0" fontId="7" fillId="0" borderId="4" xfId="0" applyFont="1" applyBorder="1" applyAlignment="1">
      <alignment horizontal="center" vertical="center" wrapText="1"/>
    </xf>
    <xf numFmtId="0" fontId="6" fillId="0" borderId="5" xfId="0" applyFont="1" applyBorder="1"/>
    <xf numFmtId="0" fontId="8" fillId="3" borderId="6" xfId="0" applyFont="1" applyFill="1" applyBorder="1" applyAlignment="1">
      <alignment horizontal="center" vertical="top" wrapText="1"/>
    </xf>
    <xf numFmtId="0" fontId="6" fillId="0" borderId="6" xfId="0" applyFont="1" applyBorder="1"/>
    <xf numFmtId="0" fontId="10" fillId="3" borderId="8" xfId="0" applyFont="1" applyFill="1" applyBorder="1" applyAlignment="1">
      <alignment horizontal="center" vertical="top" wrapText="1"/>
    </xf>
    <xf numFmtId="0" fontId="6" fillId="0" borderId="9" xfId="0" applyFont="1" applyBorder="1"/>
    <xf numFmtId="0" fontId="6" fillId="0" borderId="10" xfId="0" applyFont="1" applyBorder="1"/>
    <xf numFmtId="0" fontId="8" fillId="0" borderId="0" xfId="0" applyFont="1" applyAlignment="1">
      <alignment horizontal="center" vertical="center"/>
    </xf>
    <xf numFmtId="0" fontId="120" fillId="3" borderId="38" xfId="0" applyFont="1" applyFill="1" applyBorder="1" applyAlignment="1">
      <alignment horizontal="center" vertical="center"/>
    </xf>
    <xf numFmtId="0" fontId="6" fillId="0" borderId="39" xfId="0" applyFont="1" applyBorder="1"/>
    <xf numFmtId="0" fontId="6" fillId="0" borderId="40" xfId="0" applyFont="1" applyBorder="1"/>
    <xf numFmtId="0" fontId="121" fillId="3" borderId="38" xfId="0" applyFont="1" applyFill="1" applyBorder="1" applyAlignment="1">
      <alignment horizontal="center" vertical="center"/>
    </xf>
    <xf numFmtId="0" fontId="120" fillId="3" borderId="8" xfId="0" applyFont="1" applyFill="1" applyBorder="1" applyAlignment="1">
      <alignment horizontal="center" vertical="center"/>
    </xf>
    <xf numFmtId="0" fontId="120" fillId="3" borderId="8" xfId="0" applyFont="1" applyFill="1" applyBorder="1" applyAlignment="1">
      <alignment horizontal="center" vertical="center" wrapText="1"/>
    </xf>
    <xf numFmtId="0" fontId="129" fillId="0" borderId="0" xfId="0" applyFont="1" applyAlignment="1">
      <alignment horizontal="center" vertical="center" wrapText="1"/>
    </xf>
    <xf numFmtId="0" fontId="120" fillId="2" borderId="1" xfId="0" applyFont="1" applyFill="1" applyBorder="1" applyAlignment="1">
      <alignment horizontal="center" vertical="center"/>
    </xf>
    <xf numFmtId="0" fontId="10" fillId="0" borderId="44" xfId="0" applyFont="1" applyBorder="1" applyAlignment="1">
      <alignment horizontal="center" vertical="center"/>
    </xf>
    <xf numFmtId="0" fontId="6" fillId="0" borderId="20" xfId="0" applyFont="1" applyBorder="1"/>
    <xf numFmtId="0" fontId="120" fillId="3" borderId="45" xfId="0" applyFont="1" applyFill="1" applyBorder="1" applyAlignment="1">
      <alignment horizontal="center" vertical="center"/>
    </xf>
    <xf numFmtId="0" fontId="6" fillId="0" borderId="7" xfId="0" applyFont="1" applyBorder="1"/>
    <xf numFmtId="0" fontId="120" fillId="0" borderId="70" xfId="0" applyFont="1" applyBorder="1" applyAlignment="1">
      <alignment horizontal="center" vertical="center"/>
    </xf>
    <xf numFmtId="0" fontId="6" fillId="0" borderId="70" xfId="0" applyFont="1" applyBorder="1"/>
    <xf numFmtId="0" fontId="5" fillId="0" borderId="70" xfId="0" applyFont="1" applyBorder="1" applyAlignment="1">
      <alignment horizontal="center" vertical="center"/>
    </xf>
    <xf numFmtId="0" fontId="120" fillId="3" borderId="45" xfId="0" applyFont="1" applyFill="1" applyBorder="1" applyAlignment="1">
      <alignment horizontal="center" vertical="center" wrapText="1"/>
    </xf>
    <xf numFmtId="0" fontId="6" fillId="0" borderId="77" xfId="0" applyFont="1" applyBorder="1"/>
    <xf numFmtId="0" fontId="10" fillId="3" borderId="8" xfId="0" applyFont="1" applyFill="1" applyBorder="1" applyAlignment="1">
      <alignment horizontal="center" vertical="top"/>
    </xf>
    <xf numFmtId="0" fontId="10" fillId="3" borderId="84" xfId="0" applyFont="1" applyFill="1" applyBorder="1" applyAlignment="1">
      <alignment horizontal="center" vertical="top" wrapText="1"/>
    </xf>
    <xf numFmtId="0" fontId="6" fillId="0" borderId="81" xfId="0" applyFont="1" applyBorder="1"/>
    <xf numFmtId="0" fontId="197" fillId="0" borderId="0" xfId="0" applyFont="1" applyAlignment="1">
      <alignment horizontal="center" vertical="center"/>
    </xf>
    <xf numFmtId="0" fontId="10" fillId="2" borderId="1" xfId="0" applyFont="1" applyFill="1" applyBorder="1" applyAlignment="1">
      <alignment horizontal="center" vertical="top"/>
    </xf>
    <xf numFmtId="0" fontId="121" fillId="0" borderId="70" xfId="0" applyFont="1" applyBorder="1" applyAlignment="1">
      <alignment horizontal="center" vertical="center"/>
    </xf>
    <xf numFmtId="0" fontId="128" fillId="17" borderId="0" xfId="0" applyFont="1" applyFill="1" applyAlignment="1">
      <alignment horizontal="center"/>
    </xf>
    <xf numFmtId="0" fontId="128" fillId="15" borderId="0" xfId="0" applyFont="1" applyFill="1" applyAlignment="1">
      <alignment horizontal="center"/>
    </xf>
    <xf numFmtId="0" fontId="128" fillId="18" borderId="0" xfId="0" applyFont="1" applyFill="1" applyAlignment="1">
      <alignment horizontal="center"/>
    </xf>
    <xf numFmtId="0" fontId="128" fillId="19" borderId="0" xfId="0" applyFont="1" applyFill="1" applyAlignment="1">
      <alignment horizontal="center"/>
    </xf>
    <xf numFmtId="0" fontId="128" fillId="20" borderId="0" xfId="0" applyFont="1" applyFill="1" applyAlignment="1">
      <alignment horizontal="center"/>
    </xf>
    <xf numFmtId="0" fontId="128" fillId="2" borderId="0" xfId="0" applyFont="1" applyFill="1" applyAlignment="1">
      <alignment horizontal="center"/>
    </xf>
    <xf numFmtId="0" fontId="5" fillId="3" borderId="97" xfId="0" applyFont="1" applyFill="1" applyBorder="1" applyAlignment="1">
      <alignment horizontal="center"/>
    </xf>
    <xf numFmtId="0" fontId="128" fillId="21" borderId="0" xfId="0" applyFont="1" applyFill="1" applyAlignment="1">
      <alignment horizontal="center"/>
    </xf>
    <xf numFmtId="0" fontId="5" fillId="25" borderId="84" xfId="0" applyFont="1" applyFill="1" applyBorder="1" applyAlignment="1">
      <alignment horizontal="center" vertical="center" wrapText="1"/>
    </xf>
    <xf numFmtId="0" fontId="5" fillId="25" borderId="101" xfId="0" applyFont="1" applyFill="1" applyBorder="1" applyAlignment="1">
      <alignment horizontal="center" wrapText="1"/>
    </xf>
    <xf numFmtId="0" fontId="6" fillId="0" borderId="100" xfId="0" applyFont="1" applyBorder="1"/>
    <xf numFmtId="0" fontId="5" fillId="25" borderId="52" xfId="0" applyFont="1" applyFill="1" applyBorder="1" applyAlignment="1">
      <alignment horizontal="center" vertical="center" wrapText="1"/>
    </xf>
    <xf numFmtId="0" fontId="6" fillId="0" borderId="103" xfId="0" applyFont="1" applyBorder="1"/>
    <xf numFmtId="0" fontId="5" fillId="0" borderId="110" xfId="0" applyFont="1" applyBorder="1" applyAlignment="1">
      <alignment horizontal="center" wrapText="1"/>
    </xf>
    <xf numFmtId="0" fontId="6" fillId="0" borderId="111" xfId="0" applyFont="1" applyBorder="1"/>
    <xf numFmtId="0" fontId="6" fillId="0" borderId="75" xfId="0" applyFont="1" applyBorder="1"/>
    <xf numFmtId="0" fontId="240" fillId="0" borderId="0" xfId="0" applyFont="1" applyAlignment="1">
      <alignment horizontal="center" vertical="center"/>
    </xf>
    <xf numFmtId="0" fontId="5" fillId="25" borderId="98" xfId="0" applyFont="1" applyFill="1" applyBorder="1" applyAlignment="1">
      <alignment horizontal="center" vertical="center" wrapText="1"/>
    </xf>
    <xf numFmtId="0" fontId="6" fillId="0" borderId="102" xfId="0" applyFont="1" applyBorder="1"/>
    <xf numFmtId="0" fontId="5" fillId="25" borderId="99" xfId="0" applyFont="1" applyFill="1" applyBorder="1" applyAlignment="1">
      <alignment horizontal="center" vertical="center"/>
    </xf>
    <xf numFmtId="0" fontId="6" fillId="0" borderId="83" xfId="0" applyFont="1" applyBorder="1"/>
    <xf numFmtId="3" fontId="41" fillId="0" borderId="50" xfId="0" applyNumberFormat="1" applyFont="1" applyBorder="1" applyAlignment="1">
      <alignment horizontal="center" vertical="center"/>
    </xf>
    <xf numFmtId="0" fontId="6" fillId="0" borderId="50" xfId="0" applyFont="1" applyBorder="1"/>
    <xf numFmtId="0" fontId="6" fillId="0" borderId="24" xfId="0" applyFont="1" applyBorder="1"/>
    <xf numFmtId="0" fontId="41" fillId="6" borderId="30" xfId="0" applyFont="1" applyFill="1" applyBorder="1" applyAlignment="1">
      <alignment horizontal="left" vertical="center"/>
    </xf>
    <xf numFmtId="0" fontId="6" fillId="0" borderId="59" xfId="0" applyFont="1" applyBorder="1"/>
    <xf numFmtId="0" fontId="6" fillId="0" borderId="23" xfId="0" applyFont="1" applyBorder="1"/>
    <xf numFmtId="0" fontId="5" fillId="6" borderId="30" xfId="0" applyFont="1" applyFill="1" applyBorder="1" applyAlignment="1">
      <alignment horizontal="center" vertical="center"/>
    </xf>
    <xf numFmtId="0" fontId="25" fillId="0" borderId="30" xfId="0" applyFont="1" applyBorder="1" applyAlignment="1">
      <alignment vertical="center"/>
    </xf>
    <xf numFmtId="0" fontId="260" fillId="6" borderId="30" xfId="0" applyFont="1" applyFill="1" applyBorder="1" applyAlignment="1">
      <alignment horizontal="left" vertical="center"/>
    </xf>
    <xf numFmtId="0" fontId="261" fillId="6" borderId="30" xfId="0" applyFont="1" applyFill="1" applyBorder="1" applyAlignment="1">
      <alignment horizontal="center" vertical="center"/>
    </xf>
    <xf numFmtId="10" fontId="262" fillId="6" borderId="30" xfId="0" applyNumberFormat="1" applyFont="1" applyFill="1" applyBorder="1"/>
    <xf numFmtId="0" fontId="260" fillId="6" borderId="30" xfId="0" applyFont="1" applyFill="1" applyBorder="1" applyAlignment="1">
      <alignment vertical="center"/>
    </xf>
    <xf numFmtId="0" fontId="6" fillId="0" borderId="128" xfId="0" applyFont="1" applyBorder="1"/>
    <xf numFmtId="0" fontId="264" fillId="6" borderId="30" xfId="0" applyFont="1" applyFill="1" applyBorder="1" applyAlignment="1">
      <alignment horizontal="center" vertical="center"/>
    </xf>
    <xf numFmtId="0" fontId="41" fillId="0" borderId="50" xfId="0" applyFont="1" applyBorder="1" applyAlignment="1">
      <alignment horizontal="center" vertical="center"/>
    </xf>
    <xf numFmtId="0" fontId="134" fillId="6" borderId="30" xfId="0" applyFont="1" applyFill="1" applyBorder="1" applyAlignment="1">
      <alignment horizontal="center" vertical="center"/>
    </xf>
    <xf numFmtId="0" fontId="6" fillId="0" borderId="123" xfId="0" applyFont="1" applyBorder="1"/>
    <xf numFmtId="0" fontId="41" fillId="0" borderId="30" xfId="0" applyFont="1" applyBorder="1" applyAlignment="1">
      <alignment horizontal="center" vertical="center"/>
    </xf>
    <xf numFmtId="0" fontId="258" fillId="0" borderId="59" xfId="0" applyFont="1" applyBorder="1" applyAlignment="1">
      <alignment horizontal="left" vertical="center" wrapText="1"/>
    </xf>
    <xf numFmtId="49" fontId="134" fillId="6" borderId="120" xfId="0" applyNumberFormat="1" applyFont="1" applyFill="1" applyBorder="1" applyAlignment="1">
      <alignment horizontal="center" vertical="center"/>
    </xf>
    <xf numFmtId="0" fontId="6" fillId="0" borderId="120" xfId="0" applyFont="1" applyBorder="1"/>
    <xf numFmtId="0" fontId="6" fillId="0" borderId="122" xfId="0" applyFont="1" applyBorder="1"/>
    <xf numFmtId="10" fontId="5" fillId="6" borderId="59" xfId="0" applyNumberFormat="1" applyFont="1" applyFill="1" applyBorder="1" applyAlignment="1">
      <alignment horizontal="center" vertical="center"/>
    </xf>
    <xf numFmtId="0" fontId="258" fillId="0" borderId="59" xfId="0" applyFont="1" applyBorder="1" applyAlignment="1">
      <alignment vertical="center" wrapText="1"/>
    </xf>
    <xf numFmtId="0" fontId="6" fillId="0" borderId="124" xfId="0" applyFont="1" applyBorder="1"/>
    <xf numFmtId="172" fontId="41" fillId="0" borderId="50" xfId="0" applyNumberFormat="1" applyFont="1" applyBorder="1" applyAlignment="1">
      <alignment horizontal="center" vertical="center"/>
    </xf>
    <xf numFmtId="10" fontId="5" fillId="6" borderId="30" xfId="0" applyNumberFormat="1" applyFont="1" applyFill="1" applyBorder="1" applyAlignment="1">
      <alignment horizontal="center" vertical="center"/>
    </xf>
    <xf numFmtId="166" fontId="5" fillId="6" borderId="30" xfId="0" applyNumberFormat="1" applyFont="1" applyFill="1" applyBorder="1" applyAlignment="1">
      <alignment horizontal="center" vertical="center"/>
    </xf>
    <xf numFmtId="0" fontId="6" fillId="0" borderId="134" xfId="0" applyFont="1" applyBorder="1"/>
    <xf numFmtId="0" fontId="41" fillId="6" borderId="30" xfId="0" applyFont="1" applyFill="1" applyBorder="1" applyAlignment="1">
      <alignment vertical="center"/>
    </xf>
    <xf numFmtId="0" fontId="41" fillId="6" borderId="59" xfId="0" applyFont="1" applyFill="1" applyBorder="1" applyAlignment="1">
      <alignment vertical="center"/>
    </xf>
    <xf numFmtId="10" fontId="263" fillId="3" borderId="126" xfId="0" applyNumberFormat="1" applyFont="1" applyFill="1" applyBorder="1" applyAlignment="1">
      <alignment horizontal="center" vertical="center"/>
    </xf>
    <xf numFmtId="0" fontId="6" fillId="0" borderId="121" xfId="0" applyFont="1" applyBorder="1"/>
    <xf numFmtId="0" fontId="6" fillId="0" borderId="130" xfId="0" applyFont="1" applyBorder="1"/>
    <xf numFmtId="10" fontId="8" fillId="6" borderId="121" xfId="0" applyNumberFormat="1" applyFont="1" applyFill="1" applyBorder="1" applyAlignment="1">
      <alignment horizontal="center" vertical="center"/>
    </xf>
    <xf numFmtId="0" fontId="6" fillId="0" borderId="125" xfId="0" applyFont="1" applyBorder="1"/>
    <xf numFmtId="10" fontId="263" fillId="6" borderId="126" xfId="0" applyNumberFormat="1" applyFont="1" applyFill="1" applyBorder="1" applyAlignment="1">
      <alignment horizontal="center" vertical="center"/>
    </xf>
    <xf numFmtId="10" fontId="8" fillId="3" borderId="121" xfId="0" applyNumberFormat="1" applyFont="1" applyFill="1" applyBorder="1" applyAlignment="1">
      <alignment horizontal="center" vertical="center"/>
    </xf>
    <xf numFmtId="0" fontId="6" fillId="0" borderId="135" xfId="0" applyFont="1" applyBorder="1"/>
    <xf numFmtId="0" fontId="41" fillId="29" borderId="30" xfId="0" applyFont="1" applyFill="1" applyBorder="1" applyAlignment="1">
      <alignment horizontal="left" vertical="center"/>
    </xf>
    <xf numFmtId="0" fontId="41" fillId="29" borderId="30" xfId="0" applyFont="1" applyFill="1" applyBorder="1" applyAlignment="1">
      <alignment vertical="center"/>
    </xf>
    <xf numFmtId="10" fontId="5" fillId="29" borderId="30" xfId="0" applyNumberFormat="1" applyFont="1" applyFill="1" applyBorder="1" applyAlignment="1">
      <alignment horizontal="center" vertical="center"/>
    </xf>
    <xf numFmtId="10" fontId="8" fillId="6" borderId="118" xfId="0" applyNumberFormat="1" applyFont="1" applyFill="1" applyBorder="1" applyAlignment="1">
      <alignment horizontal="center" vertical="center"/>
    </xf>
    <xf numFmtId="10" fontId="8" fillId="3" borderId="118" xfId="0" applyNumberFormat="1" applyFont="1" applyFill="1" applyBorder="1" applyAlignment="1">
      <alignment horizontal="center" vertical="center"/>
    </xf>
    <xf numFmtId="0" fontId="258" fillId="29" borderId="59" xfId="0" applyFont="1" applyFill="1" applyBorder="1" applyAlignment="1">
      <alignment vertical="center" wrapText="1"/>
    </xf>
    <xf numFmtId="0" fontId="41" fillId="29" borderId="59" xfId="0" applyFont="1" applyFill="1" applyBorder="1" applyAlignment="1">
      <alignment vertical="center"/>
    </xf>
    <xf numFmtId="0" fontId="41" fillId="0" borderId="59" xfId="0" applyFont="1" applyBorder="1" applyAlignment="1">
      <alignment vertical="center" wrapText="1"/>
    </xf>
    <xf numFmtId="0" fontId="26" fillId="0" borderId="59" xfId="0" applyFont="1" applyBorder="1" applyAlignment="1">
      <alignment vertical="top" wrapText="1"/>
    </xf>
    <xf numFmtId="0" fontId="259" fillId="0" borderId="30" xfId="0" applyFont="1" applyBorder="1" applyAlignment="1">
      <alignment vertical="top" wrapText="1"/>
    </xf>
    <xf numFmtId="0" fontId="41" fillId="29" borderId="50" xfId="0" applyFont="1" applyFill="1" applyBorder="1" applyAlignment="1">
      <alignment horizontal="center" vertical="center"/>
    </xf>
    <xf numFmtId="0" fontId="5" fillId="29" borderId="30" xfId="0" applyFont="1" applyFill="1" applyBorder="1" applyAlignment="1">
      <alignment horizontal="center" vertical="center"/>
    </xf>
    <xf numFmtId="0" fontId="258" fillId="29" borderId="59" xfId="0" applyFont="1" applyFill="1" applyBorder="1" applyAlignment="1">
      <alignment horizontal="left" vertical="center" wrapText="1"/>
    </xf>
    <xf numFmtId="49" fontId="134" fillId="29" borderId="120" xfId="0" applyNumberFormat="1" applyFont="1" applyFill="1" applyBorder="1" applyAlignment="1">
      <alignment horizontal="center" vertical="center"/>
    </xf>
    <xf numFmtId="0" fontId="258" fillId="0" borderId="30" xfId="0" applyFont="1" applyBorder="1" applyAlignment="1">
      <alignment horizontal="left" vertical="center" wrapText="1"/>
    </xf>
    <xf numFmtId="49" fontId="134" fillId="6" borderId="117" xfId="0" applyNumberFormat="1" applyFont="1" applyFill="1" applyBorder="1" applyAlignment="1">
      <alignment horizontal="center" vertical="center"/>
    </xf>
    <xf numFmtId="10" fontId="5" fillId="6" borderId="52" xfId="0" applyNumberFormat="1" applyFont="1" applyFill="1" applyBorder="1" applyAlignment="1">
      <alignment horizontal="center" vertical="center"/>
    </xf>
    <xf numFmtId="0" fontId="258" fillId="0" borderId="30" xfId="0" applyFont="1" applyBorder="1" applyAlignment="1">
      <alignment vertical="center" wrapText="1"/>
    </xf>
    <xf numFmtId="0" fontId="260" fillId="0" borderId="59" xfId="0" applyFont="1" applyBorder="1" applyAlignment="1">
      <alignment vertical="center" wrapText="1"/>
    </xf>
    <xf numFmtId="0" fontId="5" fillId="29" borderId="119" xfId="0" applyFont="1" applyFill="1" applyBorder="1" applyAlignment="1">
      <alignment horizontal="center" vertical="center"/>
    </xf>
    <xf numFmtId="0" fontId="6" fillId="0" borderId="119" xfId="0" applyFont="1" applyBorder="1"/>
    <xf numFmtId="0" fontId="6" fillId="0" borderId="131" xfId="0" applyFont="1" applyBorder="1"/>
    <xf numFmtId="0" fontId="5" fillId="29" borderId="59" xfId="0" applyFont="1" applyFill="1" applyBorder="1" applyAlignment="1">
      <alignment horizontal="center" vertical="center"/>
    </xf>
    <xf numFmtId="0" fontId="26" fillId="29" borderId="59" xfId="0" applyFont="1" applyFill="1" applyBorder="1" applyAlignment="1">
      <alignment vertical="top" wrapText="1"/>
    </xf>
    <xf numFmtId="0" fontId="259" fillId="29" borderId="30" xfId="0" applyFont="1" applyFill="1" applyBorder="1" applyAlignment="1">
      <alignment vertical="top" wrapText="1"/>
    </xf>
    <xf numFmtId="0" fontId="264" fillId="29" borderId="59" xfId="0" applyFont="1" applyFill="1" applyBorder="1" applyAlignment="1">
      <alignment vertical="center" wrapText="1"/>
    </xf>
    <xf numFmtId="0" fontId="5" fillId="0" borderId="116" xfId="0" applyFont="1" applyBorder="1" applyAlignment="1">
      <alignment horizontal="center" vertical="center"/>
    </xf>
    <xf numFmtId="0" fontId="6" fillId="0" borderId="127" xfId="0" applyFont="1" applyBorder="1"/>
    <xf numFmtId="0" fontId="5" fillId="0" borderId="52" xfId="0" applyFont="1" applyBorder="1" applyAlignment="1">
      <alignment horizontal="center" vertical="center"/>
    </xf>
    <xf numFmtId="0" fontId="41" fillId="0" borderId="52" xfId="0" applyFont="1" applyBorder="1" applyAlignment="1">
      <alignment vertical="center" wrapText="1"/>
    </xf>
    <xf numFmtId="165" fontId="5" fillId="0" borderId="59" xfId="0" applyNumberFormat="1" applyFont="1" applyBorder="1" applyAlignment="1">
      <alignment horizontal="center" vertical="center"/>
    </xf>
    <xf numFmtId="0" fontId="5" fillId="0" borderId="119" xfId="0" applyFont="1" applyBorder="1" applyAlignment="1">
      <alignment horizontal="center" vertical="center"/>
    </xf>
    <xf numFmtId="0" fontId="5" fillId="0" borderId="59" xfId="0" applyFont="1" applyBorder="1" applyAlignment="1">
      <alignment horizontal="center" vertical="center"/>
    </xf>
    <xf numFmtId="0" fontId="6" fillId="0" borderId="133" xfId="0" applyFont="1" applyBorder="1"/>
    <xf numFmtId="0" fontId="5" fillId="29" borderId="30" xfId="0" applyFont="1" applyFill="1" applyBorder="1" applyAlignment="1">
      <alignment vertical="center" wrapText="1"/>
    </xf>
    <xf numFmtId="0" fontId="134" fillId="29" borderId="30" xfId="0" applyFont="1" applyFill="1" applyBorder="1" applyAlignment="1">
      <alignment horizontal="center" vertical="center"/>
    </xf>
    <xf numFmtId="0" fontId="25" fillId="29" borderId="30" xfId="0" applyFont="1" applyFill="1" applyBorder="1" applyAlignment="1">
      <alignment vertical="center"/>
    </xf>
    <xf numFmtId="0" fontId="260" fillId="29" borderId="30" xfId="0" applyFont="1" applyFill="1" applyBorder="1" applyAlignment="1">
      <alignment horizontal="left" vertical="center"/>
    </xf>
    <xf numFmtId="0" fontId="264" fillId="29" borderId="30" xfId="0" applyFont="1" applyFill="1" applyBorder="1" applyAlignment="1">
      <alignment horizontal="center" vertical="center"/>
    </xf>
    <xf numFmtId="0" fontId="261" fillId="29" borderId="30" xfId="0" applyFont="1" applyFill="1" applyBorder="1" applyAlignment="1">
      <alignment horizontal="center" vertical="center"/>
    </xf>
    <xf numFmtId="0" fontId="41" fillId="29" borderId="30" xfId="0" applyFont="1" applyFill="1" applyBorder="1" applyAlignment="1">
      <alignment horizontal="center" vertical="center"/>
    </xf>
    <xf numFmtId="0" fontId="6" fillId="0" borderId="132" xfId="0" applyFont="1" applyBorder="1"/>
    <xf numFmtId="10" fontId="262" fillId="29" borderId="30" xfId="0" applyNumberFormat="1" applyFont="1" applyFill="1" applyBorder="1"/>
    <xf numFmtId="0" fontId="260" fillId="29" borderId="30" xfId="0" applyFont="1" applyFill="1" applyBorder="1" applyAlignment="1">
      <alignment vertical="center"/>
    </xf>
    <xf numFmtId="3" fontId="41" fillId="29" borderId="50" xfId="0" applyNumberFormat="1" applyFont="1" applyFill="1" applyBorder="1" applyAlignment="1">
      <alignment horizontal="center" vertical="center"/>
    </xf>
    <xf numFmtId="166" fontId="5" fillId="29" borderId="30" xfId="0" applyNumberFormat="1" applyFont="1" applyFill="1" applyBorder="1" applyAlignment="1">
      <alignment horizontal="center" vertical="center"/>
    </xf>
    <xf numFmtId="172" fontId="41" fillId="29" borderId="50" xfId="0" applyNumberFormat="1" applyFont="1" applyFill="1" applyBorder="1" applyAlignment="1">
      <alignment horizontal="center" vertical="center"/>
    </xf>
    <xf numFmtId="10" fontId="5" fillId="29" borderId="59" xfId="0" applyNumberFormat="1" applyFont="1" applyFill="1" applyBorder="1" applyAlignment="1">
      <alignment horizontal="center" vertical="center"/>
    </xf>
    <xf numFmtId="0" fontId="41" fillId="6" borderId="52" xfId="0" applyFont="1" applyFill="1" applyBorder="1" applyAlignment="1">
      <alignment vertical="center"/>
    </xf>
    <xf numFmtId="10" fontId="5" fillId="6" borderId="30" xfId="0" applyNumberFormat="1" applyFont="1" applyFill="1" applyBorder="1" applyAlignment="1">
      <alignment horizontal="center" wrapText="1"/>
    </xf>
    <xf numFmtId="0" fontId="174" fillId="4" borderId="56" xfId="0" applyFont="1" applyFill="1" applyBorder="1" applyAlignment="1">
      <alignment horizontal="center"/>
    </xf>
    <xf numFmtId="166" fontId="5" fillId="21" borderId="56" xfId="0" applyNumberFormat="1" applyFont="1" applyFill="1" applyBorder="1" applyAlignment="1">
      <alignment horizontal="center"/>
    </xf>
    <xf numFmtId="0" fontId="41" fillId="6" borderId="30" xfId="0" applyFont="1" applyFill="1" applyBorder="1" applyAlignment="1">
      <alignment horizontal="left" vertical="center" wrapText="1"/>
    </xf>
    <xf numFmtId="166" fontId="5" fillId="4" borderId="139" xfId="0" applyNumberFormat="1" applyFont="1" applyFill="1" applyBorder="1" applyAlignment="1">
      <alignment horizontal="center"/>
    </xf>
    <xf numFmtId="10" fontId="174" fillId="6" borderId="138" xfId="0" applyNumberFormat="1" applyFont="1" applyFill="1" applyBorder="1" applyAlignment="1">
      <alignment horizontal="center" vertical="center"/>
    </xf>
    <xf numFmtId="0" fontId="6" fillId="0" borderId="139" xfId="0" applyFont="1" applyBorder="1"/>
    <xf numFmtId="0" fontId="174" fillId="11" borderId="142" xfId="0" applyFont="1" applyFill="1" applyBorder="1" applyAlignment="1">
      <alignment horizontal="center"/>
    </xf>
    <xf numFmtId="0" fontId="6" fillId="0" borderId="143" xfId="0" applyFont="1" applyBorder="1"/>
    <xf numFmtId="0" fontId="25" fillId="6" borderId="60" xfId="0" applyFont="1" applyFill="1" applyBorder="1"/>
    <xf numFmtId="0" fontId="5" fillId="6" borderId="30" xfId="0" applyFont="1" applyFill="1" applyBorder="1" applyAlignment="1">
      <alignment horizontal="center"/>
    </xf>
    <xf numFmtId="0" fontId="174" fillId="4" borderId="44" xfId="0" applyFont="1" applyFill="1" applyBorder="1" applyAlignment="1">
      <alignment horizontal="center"/>
    </xf>
    <xf numFmtId="0" fontId="174" fillId="0" borderId="0" xfId="0" applyFont="1" applyAlignment="1">
      <alignment horizontal="center"/>
    </xf>
    <xf numFmtId="0" fontId="41" fillId="0" borderId="30" xfId="0" applyFont="1" applyBorder="1" applyAlignment="1">
      <alignment horizontal="right" vertical="top" wrapText="1"/>
    </xf>
    <xf numFmtId="0" fontId="41" fillId="0" borderId="30" xfId="0" applyFont="1" applyBorder="1" applyAlignment="1">
      <alignment vertical="top"/>
    </xf>
    <xf numFmtId="0" fontId="41" fillId="6" borderId="30" xfId="0" applyFont="1" applyFill="1" applyBorder="1" applyAlignment="1">
      <alignment horizontal="left" vertical="top" wrapText="1"/>
    </xf>
    <xf numFmtId="0" fontId="5" fillId="6" borderId="30" xfId="0" applyFont="1" applyFill="1" applyBorder="1" applyAlignment="1">
      <alignment horizontal="center" vertical="top"/>
    </xf>
    <xf numFmtId="10" fontId="5" fillId="6" borderId="30" xfId="0" applyNumberFormat="1" applyFont="1" applyFill="1" applyBorder="1" applyAlignment="1">
      <alignment horizontal="center" vertical="top" wrapText="1"/>
    </xf>
    <xf numFmtId="0" fontId="41" fillId="0" borderId="30" xfId="0" applyFont="1" applyBorder="1" applyAlignment="1">
      <alignment vertical="top" wrapText="1"/>
    </xf>
    <xf numFmtId="0" fontId="5" fillId="4" borderId="139" xfId="0" applyFont="1" applyFill="1" applyBorder="1" applyAlignment="1">
      <alignment horizontal="center"/>
    </xf>
    <xf numFmtId="0" fontId="174" fillId="11" borderId="136" xfId="0" applyFont="1" applyFill="1" applyBorder="1" applyAlignment="1">
      <alignment horizontal="center"/>
    </xf>
    <xf numFmtId="0" fontId="6" fillId="0" borderId="137" xfId="0" applyFont="1" applyBorder="1"/>
    <xf numFmtId="0" fontId="41" fillId="0" borderId="30" xfId="0" applyFont="1" applyBorder="1" applyAlignment="1">
      <alignment horizontal="center"/>
    </xf>
    <xf numFmtId="3" fontId="5" fillId="6" borderId="30" xfId="0" applyNumberFormat="1" applyFont="1" applyFill="1" applyBorder="1" applyAlignment="1">
      <alignment horizontal="center" vertical="top"/>
    </xf>
    <xf numFmtId="166" fontId="5" fillId="6" borderId="30" xfId="0" applyNumberFormat="1" applyFont="1" applyFill="1" applyBorder="1" applyAlignment="1">
      <alignment horizontal="center"/>
    </xf>
    <xf numFmtId="0" fontId="5" fillId="6" borderId="30" xfId="0" applyFont="1" applyFill="1" applyBorder="1" applyAlignment="1">
      <alignment wrapText="1"/>
    </xf>
    <xf numFmtId="0" fontId="258" fillId="0" borderId="30" xfId="0" applyFont="1" applyBorder="1" applyAlignment="1">
      <alignment vertical="top" wrapText="1"/>
    </xf>
    <xf numFmtId="10" fontId="174" fillId="6" borderId="144" xfId="0" applyNumberFormat="1" applyFont="1" applyFill="1" applyBorder="1" applyAlignment="1">
      <alignment horizontal="center" vertical="center"/>
    </xf>
    <xf numFmtId="0" fontId="6" fillId="0" borderId="145" xfId="0" applyFont="1" applyBorder="1"/>
    <xf numFmtId="0" fontId="6" fillId="0" borderId="142" xfId="0" applyFont="1" applyBorder="1"/>
    <xf numFmtId="0" fontId="41" fillId="0" borderId="30" xfId="0" applyFont="1" applyBorder="1" applyAlignment="1">
      <alignment wrapText="1"/>
    </xf>
    <xf numFmtId="3" fontId="41" fillId="6" borderId="30" xfId="0" applyNumberFormat="1" applyFont="1" applyFill="1" applyBorder="1" applyAlignment="1">
      <alignment horizontal="center"/>
    </xf>
    <xf numFmtId="0" fontId="41" fillId="6" borderId="30" xfId="0" applyFont="1" applyFill="1" applyBorder="1" applyAlignment="1">
      <alignment wrapText="1"/>
    </xf>
  </cellXfs>
  <cellStyles count="1">
    <cellStyle name="Normal" xfId="0" builtinId="0"/>
  </cellStyles>
  <dxfs count="48">
    <dxf>
      <fill>
        <patternFill patternType="solid">
          <fgColor rgb="FFE6B8AF"/>
          <bgColor rgb="FFE6B8AF"/>
        </patternFill>
      </fill>
    </dxf>
    <dxf>
      <fill>
        <patternFill patternType="solid">
          <fgColor rgb="FFB7E1CD"/>
          <bgColor rgb="FFB7E1CD"/>
        </patternFill>
      </fill>
    </dxf>
    <dxf>
      <fill>
        <patternFill patternType="solid">
          <fgColor rgb="FFB7E1CD"/>
          <bgColor rgb="FFB7E1CD"/>
        </patternFill>
      </fill>
    </dxf>
    <dxf>
      <font>
        <b/>
      </font>
      <fill>
        <patternFill patternType="solid">
          <fgColor rgb="FFFF0000"/>
          <bgColor rgb="FFFF0000"/>
        </patternFill>
      </fill>
    </dxf>
    <dxf>
      <fill>
        <patternFill patternType="solid">
          <fgColor rgb="FFB7E1CD"/>
          <bgColor rgb="FFB7E1CD"/>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FF0000"/>
          <bgColor rgb="FFFF0000"/>
        </patternFill>
      </fill>
    </dxf>
    <dxf>
      <font>
        <b/>
      </font>
      <fill>
        <patternFill patternType="solid">
          <fgColor rgb="FFFF0000"/>
          <bgColor rgb="FFFF0000"/>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FF0000"/>
          <bgColor rgb="FFFF0000"/>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FF0000"/>
          <bgColor rgb="FFFF0000"/>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FF0000"/>
          <bgColor rgb="FFFF0000"/>
        </patternFill>
      </fill>
    </dxf>
    <dxf>
      <fill>
        <patternFill patternType="solid">
          <fgColor rgb="FFB7E1CD"/>
          <bgColor rgb="FFB7E1CD"/>
        </patternFill>
      </fill>
    </dxf>
    <dxf>
      <font>
        <b/>
      </font>
      <fill>
        <patternFill patternType="solid">
          <fgColor rgb="FFFF0000"/>
          <bgColor rgb="FFFF0000"/>
        </patternFill>
      </fill>
    </dxf>
    <dxf>
      <font>
        <b/>
      </font>
      <fill>
        <patternFill patternType="solid">
          <fgColor rgb="FFFF0000"/>
          <bgColor rgb="FFFF0000"/>
        </patternFill>
      </fill>
    </dxf>
    <dxf>
      <font>
        <b/>
      </font>
      <fill>
        <patternFill patternType="solid">
          <fgColor rgb="FFB7E1CD"/>
          <bgColor rgb="FFB7E1CD"/>
        </patternFill>
      </fill>
    </dxf>
    <dxf>
      <font>
        <b/>
      </font>
      <fill>
        <patternFill patternType="solid">
          <fgColor rgb="FFFF0000"/>
          <bgColor rgb="FFFF0000"/>
        </patternFill>
      </fill>
    </dxf>
    <dxf>
      <font>
        <b/>
      </font>
      <fill>
        <patternFill patternType="solid">
          <fgColor rgb="FF93C47D"/>
          <bgColor rgb="FF93C47D"/>
        </patternFill>
      </fill>
    </dxf>
    <dxf>
      <font>
        <b/>
      </font>
      <fill>
        <patternFill patternType="solid">
          <fgColor rgb="FFFF0000"/>
          <bgColor rgb="FFFF0000"/>
        </patternFill>
      </fill>
    </dxf>
    <dxf>
      <font>
        <b/>
      </font>
      <fill>
        <patternFill patternType="solid">
          <fgColor rgb="FF93C47D"/>
          <bgColor rgb="FF93C47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PI-style" pivot="0" count="4" xr9:uid="{00000000-0011-0000-FFFF-FFFF00000000}">
      <tableStyleElement type="wholeTable" size="0" dxfId="47"/>
      <tableStyleElement type="headerRow" dxfId="46"/>
      <tableStyleElement type="firstRowStripe" dxfId="45"/>
      <tableStyleElement type="secondRowStripe" dxfId="44"/>
    </tableStyle>
    <tableStyle name="PI-style 2" pivot="0" count="2" xr9:uid="{00000000-0011-0000-FFFF-FFFF01000000}">
      <tableStyleElement type="firstRowStripe" dxfId="43"/>
      <tableStyleElement type="secondRowStripe" dxfId="42"/>
    </tableStyle>
    <tableStyle name="SITASI-style" pivot="0" count="3" xr9:uid="{00000000-0011-0000-FFFF-FFFF02000000}">
      <tableStyleElement type="headerRow" dxfId="41"/>
      <tableStyleElement type="firstRowStripe" dxfId="40"/>
      <tableStyleElement type="secondRowStripe" dxfId="3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FFFFFF"/>
                </a:solidFill>
                <a:latin typeface="Courier New"/>
              </a:defRPr>
            </a:pPr>
            <a:r>
              <a:rPr sz="1400" b="1" i="0">
                <a:solidFill>
                  <a:srgbClr val="FFFFFF"/>
                </a:solidFill>
                <a:latin typeface="Courier New"/>
              </a:rPr>
              <a:t>Target dan Capaian Utama</a:t>
            </a:r>
          </a:p>
        </c:rich>
      </c:tx>
      <c:overlay val="0"/>
    </c:title>
    <c:autoTitleDeleted val="0"/>
    <c:view3D>
      <c:rotX val="15"/>
      <c:rotY val="20"/>
      <c:depthPercent val="100"/>
      <c:rAngAx val="1"/>
    </c:view3D>
    <c:floor>
      <c:thickness val="0"/>
    </c:floor>
    <c:sideWall>
      <c:thickness val="0"/>
    </c:sideWall>
    <c:backWall>
      <c:thickness val="0"/>
    </c:backWall>
    <c:plotArea>
      <c:layout>
        <c:manualLayout>
          <c:xMode val="edge"/>
          <c:yMode val="edge"/>
          <c:x val="0"/>
          <c:y val="9.4713656387665199E-2"/>
          <c:w val="0.97876986397499643"/>
          <c:h val="0.71891708079532934"/>
        </c:manualLayout>
      </c:layout>
      <c:bar3DChart>
        <c:barDir val="col"/>
        <c:grouping val="clustered"/>
        <c:varyColors val="1"/>
        <c:ser>
          <c:idx val="0"/>
          <c:order val="0"/>
          <c:tx>
            <c:strRef>
              <c:f>'Data Dashboard'!$B$3</c:f>
              <c:strCache>
                <c:ptCount val="1"/>
                <c:pt idx="0">
                  <c:v>Target Capain</c:v>
                </c:pt>
              </c:strCache>
            </c:strRef>
          </c:tx>
          <c:spPr>
            <a:solidFill>
              <a:srgbClr val="FF0000"/>
            </a:solidFill>
            <a:ln w="76200" cmpd="sng">
              <a:solidFill>
                <a:srgbClr val="000000"/>
              </a:solidFill>
              <a:prstDash val="dash"/>
            </a:ln>
          </c:spPr>
          <c:invertIfNegative val="1"/>
          <c:dPt>
            <c:idx val="0"/>
            <c:invertIfNegative val="1"/>
            <c:bubble3D val="0"/>
            <c:spPr>
              <a:solidFill>
                <a:srgbClr val="D0E0E3"/>
              </a:solidFill>
              <a:ln cmpd="sng">
                <a:solidFill>
                  <a:srgbClr val="000000"/>
                </a:solidFill>
                <a:prstDash val="dash"/>
              </a:ln>
            </c:spPr>
            <c:extLst>
              <c:ext xmlns:c16="http://schemas.microsoft.com/office/drawing/2014/chart" uri="{C3380CC4-5D6E-409C-BE32-E72D297353CC}">
                <c16:uniqueId val="{00000001-0267-470A-AAC7-A136A8A09329}"/>
              </c:ext>
            </c:extLst>
          </c:dPt>
          <c:dPt>
            <c:idx val="1"/>
            <c:invertIfNegative val="1"/>
            <c:bubble3D val="0"/>
            <c:spPr>
              <a:solidFill>
                <a:srgbClr val="EAD1DC"/>
              </a:solidFill>
              <a:ln cmpd="sng">
                <a:solidFill>
                  <a:srgbClr val="000000"/>
                </a:solidFill>
              </a:ln>
            </c:spPr>
            <c:extLst>
              <c:ext xmlns:c16="http://schemas.microsoft.com/office/drawing/2014/chart" uri="{C3380CC4-5D6E-409C-BE32-E72D297353CC}">
                <c16:uniqueId val="{00000003-0267-470A-AAC7-A136A8A09329}"/>
              </c:ext>
            </c:extLst>
          </c:dPt>
          <c:dPt>
            <c:idx val="2"/>
            <c:invertIfNegative val="1"/>
            <c:bubble3D val="0"/>
            <c:spPr>
              <a:solidFill>
                <a:srgbClr val="D9EAD3"/>
              </a:solidFill>
              <a:ln cmpd="sng">
                <a:solidFill>
                  <a:srgbClr val="000000"/>
                </a:solidFill>
              </a:ln>
            </c:spPr>
            <c:extLst>
              <c:ext xmlns:c16="http://schemas.microsoft.com/office/drawing/2014/chart" uri="{C3380CC4-5D6E-409C-BE32-E72D297353CC}">
                <c16:uniqueId val="{00000005-0267-470A-AAC7-A136A8A09329}"/>
              </c:ext>
            </c:extLst>
          </c:dPt>
          <c:dPt>
            <c:idx val="3"/>
            <c:invertIfNegative val="1"/>
            <c:bubble3D val="0"/>
            <c:spPr>
              <a:solidFill>
                <a:srgbClr val="D9D2E9"/>
              </a:solidFill>
              <a:ln cmpd="sng">
                <a:solidFill>
                  <a:srgbClr val="000000"/>
                </a:solidFill>
              </a:ln>
            </c:spPr>
            <c:extLst>
              <c:ext xmlns:c16="http://schemas.microsoft.com/office/drawing/2014/chart" uri="{C3380CC4-5D6E-409C-BE32-E72D297353CC}">
                <c16:uniqueId val="{00000007-0267-470A-AAC7-A136A8A09329}"/>
              </c:ext>
            </c:extLst>
          </c:dPt>
          <c:dPt>
            <c:idx val="4"/>
            <c:invertIfNegative val="1"/>
            <c:bubble3D val="0"/>
            <c:spPr>
              <a:solidFill>
                <a:srgbClr val="C9DAF8"/>
              </a:solidFill>
              <a:ln cmpd="sng">
                <a:solidFill>
                  <a:srgbClr val="000000"/>
                </a:solidFill>
              </a:ln>
            </c:spPr>
            <c:extLst>
              <c:ext xmlns:c16="http://schemas.microsoft.com/office/drawing/2014/chart" uri="{C3380CC4-5D6E-409C-BE32-E72D297353CC}">
                <c16:uniqueId val="{00000009-0267-470A-AAC7-A136A8A09329}"/>
              </c:ext>
            </c:extLst>
          </c:dPt>
          <c:dPt>
            <c:idx val="5"/>
            <c:invertIfNegative val="1"/>
            <c:bubble3D val="0"/>
            <c:spPr>
              <a:solidFill>
                <a:srgbClr val="FCE5CD"/>
              </a:solidFill>
              <a:ln cmpd="sng">
                <a:solidFill>
                  <a:srgbClr val="000000"/>
                </a:solidFill>
              </a:ln>
            </c:spPr>
            <c:extLst>
              <c:ext xmlns:c16="http://schemas.microsoft.com/office/drawing/2014/chart" uri="{C3380CC4-5D6E-409C-BE32-E72D297353CC}">
                <c16:uniqueId val="{0000000B-0267-470A-AAC7-A136A8A09329}"/>
              </c:ext>
            </c:extLst>
          </c:dPt>
          <c:dPt>
            <c:idx val="6"/>
            <c:invertIfNegative val="1"/>
            <c:bubble3D val="0"/>
            <c:spPr>
              <a:solidFill>
                <a:srgbClr val="F4CCCC"/>
              </a:solidFill>
              <a:ln cmpd="sng">
                <a:solidFill>
                  <a:srgbClr val="000000"/>
                </a:solidFill>
              </a:ln>
            </c:spPr>
            <c:extLst>
              <c:ext xmlns:c16="http://schemas.microsoft.com/office/drawing/2014/chart" uri="{C3380CC4-5D6E-409C-BE32-E72D297353CC}">
                <c16:uniqueId val="{0000000D-0267-470A-AAC7-A136A8A09329}"/>
              </c:ext>
            </c:extLst>
          </c:dPt>
          <c:dLbls>
            <c:spPr>
              <a:noFill/>
              <a:ln>
                <a:noFill/>
              </a:ln>
              <a:effectLst/>
            </c:spPr>
            <c:txPr>
              <a:bodyPr/>
              <a:lstStyle/>
              <a:p>
                <a:pPr lvl="0">
                  <a:defRPr sz="14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Dashboard'!$A$4:$A$11</c:f>
              <c:strCache>
                <c:ptCount val="8"/>
                <c:pt idx="0">
                  <c:v>Purwarupa</c:v>
                </c:pt>
                <c:pt idx="1">
                  <c:v>Kekayaan Intelektual</c:v>
                </c:pt>
                <c:pt idx="2">
                  <c:v>Publikasi Internasional</c:v>
                </c:pt>
                <c:pt idx="3">
                  <c:v>SDM Iptek</c:v>
                </c:pt>
                <c:pt idx="4">
                  <c:v>Postdoc/VR</c:v>
                </c:pt>
                <c:pt idx="5">
                  <c:v>Kerjasama LN</c:v>
                </c:pt>
                <c:pt idx="6">
                  <c:v>Kerjasama DN</c:v>
                </c:pt>
                <c:pt idx="7">
                  <c:v>Talenta Riset</c:v>
                </c:pt>
              </c:strCache>
            </c:strRef>
          </c:cat>
          <c:val>
            <c:numRef>
              <c:f>'Data Dashboard'!$B$4:$B$11</c:f>
              <c:numCache>
                <c:formatCode>General</c:formatCode>
                <c:ptCount val="8"/>
                <c:pt idx="0" formatCode="#,##0">
                  <c:v>2</c:v>
                </c:pt>
                <c:pt idx="1">
                  <c:v>30</c:v>
                </c:pt>
                <c:pt idx="2">
                  <c:v>75</c:v>
                </c:pt>
                <c:pt idx="3">
                  <c:v>10</c:v>
                </c:pt>
                <c:pt idx="4">
                  <c:v>5</c:v>
                </c:pt>
                <c:pt idx="5">
                  <c:v>5</c:v>
                </c:pt>
                <c:pt idx="6">
                  <c:v>15</c:v>
                </c:pt>
                <c:pt idx="7">
                  <c:v>5</c:v>
                </c:pt>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solidFill>
                    <a:prstDash val="dash"/>
                  </a:ln>
                </c14:spPr>
              </c14:invertSolidFillFmt>
            </c:ext>
            <c:ext xmlns:c16="http://schemas.microsoft.com/office/drawing/2014/chart" uri="{C3380CC4-5D6E-409C-BE32-E72D297353CC}">
              <c16:uniqueId val="{0000000E-0267-470A-AAC7-A136A8A09329}"/>
            </c:ext>
          </c:extLst>
        </c:ser>
        <c:ser>
          <c:idx val="1"/>
          <c:order val="1"/>
          <c:tx>
            <c:strRef>
              <c:f>'Data Dashboard'!$C$3</c:f>
              <c:strCache>
                <c:ptCount val="1"/>
                <c:pt idx="0">
                  <c:v>Jumlah Capaian</c:v>
                </c:pt>
              </c:strCache>
            </c:strRef>
          </c:tx>
          <c:spPr>
            <a:solidFill>
              <a:srgbClr val="0000FF"/>
            </a:solidFill>
            <a:ln cmpd="sng">
              <a:solidFill>
                <a:srgbClr val="000000"/>
              </a:solidFill>
            </a:ln>
          </c:spPr>
          <c:invertIfNegative val="1"/>
          <c:dPt>
            <c:idx val="0"/>
            <c:invertIfNegative val="1"/>
            <c:bubble3D val="0"/>
            <c:spPr>
              <a:solidFill>
                <a:srgbClr val="00FFFF">
                  <a:alpha val="90196"/>
                </a:srgbClr>
              </a:solidFill>
              <a:ln cmpd="sng">
                <a:solidFill>
                  <a:srgbClr val="000000"/>
                </a:solidFill>
              </a:ln>
            </c:spPr>
            <c:extLst>
              <c:ext xmlns:c16="http://schemas.microsoft.com/office/drawing/2014/chart" uri="{C3380CC4-5D6E-409C-BE32-E72D297353CC}">
                <c16:uniqueId val="{00000010-0267-470A-AAC7-A136A8A09329}"/>
              </c:ext>
            </c:extLst>
          </c:dPt>
          <c:dPt>
            <c:idx val="1"/>
            <c:invertIfNegative val="1"/>
            <c:bubble3D val="0"/>
            <c:spPr>
              <a:solidFill>
                <a:srgbClr val="FF00FF">
                  <a:alpha val="70196"/>
                </a:srgbClr>
              </a:solidFill>
              <a:ln cmpd="sng">
                <a:solidFill>
                  <a:srgbClr val="000000"/>
                </a:solidFill>
              </a:ln>
            </c:spPr>
            <c:extLst>
              <c:ext xmlns:c16="http://schemas.microsoft.com/office/drawing/2014/chart" uri="{C3380CC4-5D6E-409C-BE32-E72D297353CC}">
                <c16:uniqueId val="{00000012-0267-470A-AAC7-A136A8A09329}"/>
              </c:ext>
            </c:extLst>
          </c:dPt>
          <c:dPt>
            <c:idx val="2"/>
            <c:invertIfNegative val="1"/>
            <c:bubble3D val="0"/>
            <c:spPr>
              <a:solidFill>
                <a:srgbClr val="00FF00">
                  <a:alpha val="90196"/>
                </a:srgbClr>
              </a:solidFill>
              <a:ln cmpd="sng">
                <a:solidFill>
                  <a:srgbClr val="000000"/>
                </a:solidFill>
              </a:ln>
            </c:spPr>
            <c:extLst>
              <c:ext xmlns:c16="http://schemas.microsoft.com/office/drawing/2014/chart" uri="{C3380CC4-5D6E-409C-BE32-E72D297353CC}">
                <c16:uniqueId val="{00000014-0267-470A-AAC7-A136A8A09329}"/>
              </c:ext>
            </c:extLst>
          </c:dPt>
          <c:dPt>
            <c:idx val="3"/>
            <c:invertIfNegative val="1"/>
            <c:bubble3D val="0"/>
            <c:spPr>
              <a:solidFill>
                <a:srgbClr val="9900FF">
                  <a:alpha val="90196"/>
                </a:srgbClr>
              </a:solidFill>
              <a:ln cmpd="sng">
                <a:solidFill>
                  <a:srgbClr val="000000"/>
                </a:solidFill>
              </a:ln>
            </c:spPr>
            <c:extLst>
              <c:ext xmlns:c16="http://schemas.microsoft.com/office/drawing/2014/chart" uri="{C3380CC4-5D6E-409C-BE32-E72D297353CC}">
                <c16:uniqueId val="{00000016-0267-470A-AAC7-A136A8A09329}"/>
              </c:ext>
            </c:extLst>
          </c:dPt>
          <c:dPt>
            <c:idx val="4"/>
            <c:invertIfNegative val="1"/>
            <c:bubble3D val="0"/>
            <c:spPr>
              <a:solidFill>
                <a:srgbClr val="4A86E8">
                  <a:alpha val="90196"/>
                </a:srgbClr>
              </a:solidFill>
              <a:ln cmpd="sng">
                <a:solidFill>
                  <a:srgbClr val="000000"/>
                </a:solidFill>
              </a:ln>
            </c:spPr>
            <c:extLst>
              <c:ext xmlns:c16="http://schemas.microsoft.com/office/drawing/2014/chart" uri="{C3380CC4-5D6E-409C-BE32-E72D297353CC}">
                <c16:uniqueId val="{00000018-0267-470A-AAC7-A136A8A09329}"/>
              </c:ext>
            </c:extLst>
          </c:dPt>
          <c:dPt>
            <c:idx val="5"/>
            <c:invertIfNegative val="1"/>
            <c:bubble3D val="0"/>
            <c:spPr>
              <a:solidFill>
                <a:srgbClr val="FF9900">
                  <a:alpha val="90196"/>
                </a:srgbClr>
              </a:solidFill>
              <a:ln cmpd="sng">
                <a:solidFill>
                  <a:srgbClr val="000000"/>
                </a:solidFill>
              </a:ln>
            </c:spPr>
            <c:extLst>
              <c:ext xmlns:c16="http://schemas.microsoft.com/office/drawing/2014/chart" uri="{C3380CC4-5D6E-409C-BE32-E72D297353CC}">
                <c16:uniqueId val="{0000001A-0267-470A-AAC7-A136A8A09329}"/>
              </c:ext>
            </c:extLst>
          </c:dPt>
          <c:dPt>
            <c:idx val="6"/>
            <c:invertIfNegative val="1"/>
            <c:bubble3D val="0"/>
            <c:spPr>
              <a:solidFill>
                <a:srgbClr val="FF0000">
                  <a:alpha val="90196"/>
                </a:srgbClr>
              </a:solidFill>
              <a:ln cmpd="sng">
                <a:solidFill>
                  <a:srgbClr val="000000"/>
                </a:solidFill>
              </a:ln>
            </c:spPr>
            <c:extLst>
              <c:ext xmlns:c16="http://schemas.microsoft.com/office/drawing/2014/chart" uri="{C3380CC4-5D6E-409C-BE32-E72D297353CC}">
                <c16:uniqueId val="{0000001C-0267-470A-AAC7-A136A8A09329}"/>
              </c:ext>
            </c:extLst>
          </c:dPt>
          <c:dLbls>
            <c:spPr>
              <a:noFill/>
              <a:ln>
                <a:noFill/>
              </a:ln>
              <a:effectLst/>
            </c:spPr>
            <c:txPr>
              <a:bodyPr/>
              <a:lstStyle/>
              <a:p>
                <a:pPr lvl="0">
                  <a:defRPr sz="14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Dashboard'!$A$4:$A$11</c:f>
              <c:strCache>
                <c:ptCount val="8"/>
                <c:pt idx="0">
                  <c:v>Purwarupa</c:v>
                </c:pt>
                <c:pt idx="1">
                  <c:v>Kekayaan Intelektual</c:v>
                </c:pt>
                <c:pt idx="2">
                  <c:v>Publikasi Internasional</c:v>
                </c:pt>
                <c:pt idx="3">
                  <c:v>SDM Iptek</c:v>
                </c:pt>
                <c:pt idx="4">
                  <c:v>Postdoc/VR</c:v>
                </c:pt>
                <c:pt idx="5">
                  <c:v>Kerjasama LN</c:v>
                </c:pt>
                <c:pt idx="6">
                  <c:v>Kerjasama DN</c:v>
                </c:pt>
                <c:pt idx="7">
                  <c:v>Talenta Riset</c:v>
                </c:pt>
              </c:strCache>
            </c:strRef>
          </c:cat>
          <c:val>
            <c:numRef>
              <c:f>'Data Dashboard'!$C$4:$C$11</c:f>
              <c:numCache>
                <c:formatCode>@</c:formatCode>
                <c:ptCount val="8"/>
                <c:pt idx="0" formatCode="General">
                  <c:v>3</c:v>
                </c:pt>
                <c:pt idx="1">
                  <c:v>37</c:v>
                </c:pt>
                <c:pt idx="2" formatCode="General">
                  <c:v>67</c:v>
                </c:pt>
                <c:pt idx="3" formatCode="General">
                  <c:v>5</c:v>
                </c:pt>
                <c:pt idx="4" formatCode="General">
                  <c:v>8</c:v>
                </c:pt>
                <c:pt idx="5" formatCode="General">
                  <c:v>7</c:v>
                </c:pt>
                <c:pt idx="6" formatCode="General">
                  <c:v>25</c:v>
                </c:pt>
                <c:pt idx="7" formatCode="General">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D-0267-470A-AAC7-A136A8A09329}"/>
            </c:ext>
          </c:extLst>
        </c:ser>
        <c:ser>
          <c:idx val="2"/>
          <c:order val="2"/>
          <c:tx>
            <c:strRef>
              <c:f>'Data Dashboard'!$C$3</c:f>
              <c:strCache>
                <c:ptCount val="1"/>
                <c:pt idx="0">
                  <c:v>Jumlah Capaian</c:v>
                </c:pt>
              </c:strCache>
            </c:strRef>
          </c:tx>
          <c:invertIfNegative val="1"/>
          <c:cat>
            <c:strRef>
              <c:f>'Data Dashboard'!$A$4:$A$11</c:f>
              <c:strCache>
                <c:ptCount val="8"/>
                <c:pt idx="0">
                  <c:v>Purwarupa</c:v>
                </c:pt>
                <c:pt idx="1">
                  <c:v>Kekayaan Intelektual</c:v>
                </c:pt>
                <c:pt idx="2">
                  <c:v>Publikasi Internasional</c:v>
                </c:pt>
                <c:pt idx="3">
                  <c:v>SDM Iptek</c:v>
                </c:pt>
                <c:pt idx="4">
                  <c:v>Postdoc/VR</c:v>
                </c:pt>
                <c:pt idx="5">
                  <c:v>Kerjasama LN</c:v>
                </c:pt>
                <c:pt idx="6">
                  <c:v>Kerjasama DN</c:v>
                </c:pt>
                <c:pt idx="7">
                  <c:v>Talenta Riset</c:v>
                </c:pt>
              </c:strCache>
            </c:strRef>
          </c:cat>
          <c:val>
            <c:numRef>
              <c:f>'Data Dashboard'!$C$4:$C$11</c:f>
              <c:numCache>
                <c:formatCode>@</c:formatCode>
                <c:ptCount val="8"/>
                <c:pt idx="0" formatCode="General">
                  <c:v>3</c:v>
                </c:pt>
                <c:pt idx="1">
                  <c:v>37</c:v>
                </c:pt>
                <c:pt idx="2" formatCode="General">
                  <c:v>67</c:v>
                </c:pt>
                <c:pt idx="3" formatCode="General">
                  <c:v>5</c:v>
                </c:pt>
                <c:pt idx="4" formatCode="General">
                  <c:v>8</c:v>
                </c:pt>
                <c:pt idx="5" formatCode="General">
                  <c:v>7</c:v>
                </c:pt>
                <c:pt idx="6" formatCode="General">
                  <c:v>25</c:v>
                </c:pt>
                <c:pt idx="7" formatCode="General">
                  <c:v>6</c:v>
                </c:pt>
              </c:numCache>
            </c:numRef>
          </c:val>
          <c:extLst>
            <c:ext xmlns:c16="http://schemas.microsoft.com/office/drawing/2014/chart" uri="{C3380CC4-5D6E-409C-BE32-E72D297353CC}">
              <c16:uniqueId val="{0000001E-0267-470A-AAC7-A136A8A09329}"/>
            </c:ext>
          </c:extLst>
        </c:ser>
        <c:dLbls>
          <c:showLegendKey val="0"/>
          <c:showVal val="0"/>
          <c:showCatName val="0"/>
          <c:showSerName val="0"/>
          <c:showPercent val="0"/>
          <c:showBubbleSize val="0"/>
        </c:dLbls>
        <c:gapWidth val="150"/>
        <c:shape val="box"/>
        <c:axId val="1281958021"/>
        <c:axId val="41477470"/>
        <c:axId val="0"/>
      </c:bar3DChart>
      <c:catAx>
        <c:axId val="1281958021"/>
        <c:scaling>
          <c:orientation val="minMax"/>
        </c:scaling>
        <c:delete val="0"/>
        <c:axPos val="b"/>
        <c:title>
          <c:tx>
            <c:rich>
              <a:bodyPr/>
              <a:lstStyle/>
              <a:p>
                <a:pPr lvl="0">
                  <a:defRPr b="1" i="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b="0" i="0">
                <a:solidFill>
                  <a:srgbClr val="00FFFF"/>
                </a:solidFill>
                <a:latin typeface="serif"/>
              </a:defRPr>
            </a:pPr>
            <a:endParaRPr lang="en-US"/>
          </a:p>
        </c:txPr>
        <c:crossAx val="41477470"/>
        <c:crosses val="autoZero"/>
        <c:auto val="1"/>
        <c:lblAlgn val="ctr"/>
        <c:lblOffset val="100"/>
        <c:noMultiLvlLbl val="1"/>
      </c:catAx>
      <c:valAx>
        <c:axId val="41477470"/>
        <c:scaling>
          <c:orientation val="minMax"/>
        </c:scaling>
        <c:delete val="0"/>
        <c:axPos val="l"/>
        <c:title>
          <c:tx>
            <c:rich>
              <a:bodyPr/>
              <a:lstStyle/>
              <a:p>
                <a:pPr lvl="0">
                  <a:defRPr b="1" i="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i="0">
                <a:solidFill>
                  <a:srgbClr val="00FFFF"/>
                </a:solidFill>
                <a:latin typeface="+mn-lt"/>
              </a:defRPr>
            </a:pPr>
            <a:endParaRPr lang="en-US"/>
          </a:p>
        </c:txPr>
        <c:crossAx val="1281958021"/>
        <c:crosses val="autoZero"/>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manualLayout>
          <c:xMode val="edge"/>
          <c:yMode val="edge"/>
          <c:x val="4.9597991988234232E-2"/>
          <c:y val="0.13017733204555151"/>
          <c:w val="0.87378910478595928"/>
          <c:h val="0.74633805077446558"/>
        </c:manualLayout>
      </c:layout>
      <c:bar3DChart>
        <c:barDir val="col"/>
        <c:grouping val="clustered"/>
        <c:varyColors val="1"/>
        <c:ser>
          <c:idx val="2"/>
          <c:order val="2"/>
          <c:invertIfNegative val="1"/>
          <c:cat>
            <c:strRef>
              <c:f>'Data Dashboard'!$A$12</c:f>
              <c:strCache>
                <c:ptCount val="1"/>
                <c:pt idx="0">
                  <c:v>Dana Eksternal</c:v>
                </c:pt>
              </c:strCache>
            </c:strRef>
          </c:cat>
          <c:val>
            <c:numRef>
              <c:f>'Data Dashboard'!$C$12</c:f>
              <c:numCache>
                <c:formatCode>[$Rp-421]#,##0</c:formatCode>
                <c:ptCount val="1"/>
                <c:pt idx="0">
                  <c:v>2715085757</c:v>
                </c:pt>
              </c:numCache>
            </c:numRef>
          </c:val>
          <c:extLst>
            <c:ext xmlns:c16="http://schemas.microsoft.com/office/drawing/2014/chart" uri="{C3380CC4-5D6E-409C-BE32-E72D297353CC}">
              <c16:uniqueId val="{00000000-AEA5-46E8-92E8-3312C176167C}"/>
            </c:ext>
          </c:extLst>
        </c:ser>
        <c:dLbls>
          <c:showLegendKey val="0"/>
          <c:showVal val="0"/>
          <c:showCatName val="0"/>
          <c:showSerName val="0"/>
          <c:showPercent val="0"/>
          <c:showBubbleSize val="0"/>
        </c:dLbls>
        <c:gapWidth val="150"/>
        <c:shape val="box"/>
        <c:axId val="733111381"/>
        <c:axId val="611618012"/>
        <c:axId val="0"/>
      </c:bar3DChart>
      <c:bar3DChart>
        <c:barDir val="col"/>
        <c:grouping val="clustered"/>
        <c:varyColors val="1"/>
        <c:ser>
          <c:idx val="0"/>
          <c:order val="0"/>
          <c:spPr>
            <a:solidFill>
              <a:srgbClr val="4F81BD"/>
            </a:solidFill>
            <a:ln cmpd="sng">
              <a:solidFill>
                <a:srgbClr val="000000"/>
              </a:solidFill>
            </a:ln>
          </c:spPr>
          <c:invertIfNegative val="1"/>
          <c:dPt>
            <c:idx val="0"/>
            <c:invertIfNegative val="1"/>
            <c:bubble3D val="0"/>
            <c:spPr>
              <a:solidFill>
                <a:srgbClr val="F4CCCC"/>
              </a:solidFill>
              <a:ln cmpd="sng">
                <a:solidFill>
                  <a:srgbClr val="000000"/>
                </a:solidFill>
              </a:ln>
            </c:spPr>
            <c:extLst>
              <c:ext xmlns:c16="http://schemas.microsoft.com/office/drawing/2014/chart" uri="{C3380CC4-5D6E-409C-BE32-E72D297353CC}">
                <c16:uniqueId val="{00000002-AEA5-46E8-92E8-3312C176167C}"/>
              </c:ext>
            </c:extLst>
          </c:dPt>
          <c:dLbls>
            <c:dLbl>
              <c:idx val="0"/>
              <c:spPr/>
              <c:txPr>
                <a:bodyPr/>
                <a:lstStyle/>
                <a:p>
                  <a:pPr lvl="0">
                    <a:defRPr sz="1000" b="1"/>
                  </a:pPr>
                  <a:endParaRPr lang="en-US"/>
                </a:p>
              </c:txPr>
              <c:showLegendKey val="0"/>
              <c:showVal val="1"/>
              <c:showCatName val="0"/>
              <c:showSerName val="0"/>
              <c:showPercent val="0"/>
              <c:showBubbleSize val="0"/>
              <c:extLst>
                <c:ext xmlns:c16="http://schemas.microsoft.com/office/drawing/2014/chart" uri="{C3380CC4-5D6E-409C-BE32-E72D297353CC}">
                  <c16:uniqueId val="{00000002-AEA5-46E8-92E8-3312C176167C}"/>
                </c:ext>
              </c:extLst>
            </c:dLbl>
            <c:spPr>
              <a:noFill/>
              <a:ln>
                <a:noFill/>
              </a:ln>
              <a:effectLst/>
            </c:spPr>
            <c:txPr>
              <a:bodyPr/>
              <a:lstStyle/>
              <a:p>
                <a:pPr lvl="0">
                  <a:defRPr sz="10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Dashboard'!$A$12</c:f>
              <c:strCache>
                <c:ptCount val="1"/>
                <c:pt idx="0">
                  <c:v>Dana Eksternal</c:v>
                </c:pt>
              </c:strCache>
            </c:strRef>
          </c:cat>
          <c:val>
            <c:numRef>
              <c:f>'Data Dashboard'!$B$12</c:f>
              <c:numCache>
                <c:formatCode>[$Rp-421]#,##0</c:formatCode>
                <c:ptCount val="1"/>
                <c:pt idx="0">
                  <c:v>2800000000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EA5-46E8-92E8-3312C176167C}"/>
            </c:ext>
          </c:extLst>
        </c:ser>
        <c:ser>
          <c:idx val="1"/>
          <c:order val="1"/>
          <c:spPr>
            <a:solidFill>
              <a:srgbClr val="C0504D"/>
            </a:solidFill>
            <a:ln w="76200" cmpd="sng">
              <a:solidFill>
                <a:srgbClr val="000000"/>
              </a:solidFill>
            </a:ln>
          </c:spPr>
          <c:invertIfNegative val="1"/>
          <c:dPt>
            <c:idx val="0"/>
            <c:invertIfNegative val="1"/>
            <c:bubble3D val="0"/>
            <c:spPr>
              <a:solidFill>
                <a:srgbClr val="FF0000">
                  <a:alpha val="90196"/>
                </a:srgbClr>
              </a:solidFill>
              <a:ln cmpd="sng">
                <a:solidFill>
                  <a:srgbClr val="000000"/>
                </a:solidFill>
              </a:ln>
            </c:spPr>
            <c:extLst>
              <c:ext xmlns:c16="http://schemas.microsoft.com/office/drawing/2014/chart" uri="{C3380CC4-5D6E-409C-BE32-E72D297353CC}">
                <c16:uniqueId val="{00000005-AEA5-46E8-92E8-3312C176167C}"/>
              </c:ext>
            </c:extLst>
          </c:dPt>
          <c:cat>
            <c:strRef>
              <c:f>'Data Dashboard'!$A$12</c:f>
              <c:strCache>
                <c:ptCount val="1"/>
                <c:pt idx="0">
                  <c:v>Dana Eksternal</c:v>
                </c:pt>
              </c:strCache>
            </c:strRef>
          </c:cat>
          <c:val>
            <c:numRef>
              <c:f>'Data Dashboard'!$C$12</c:f>
              <c:numCache>
                <c:formatCode>[$Rp-421]#,##0</c:formatCode>
                <c:ptCount val="1"/>
                <c:pt idx="0">
                  <c:v>2715085757</c:v>
                </c:pt>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solidFill>
                  </a:ln>
                </c14:spPr>
              </c14:invertSolidFillFmt>
            </c:ext>
            <c:ext xmlns:c16="http://schemas.microsoft.com/office/drawing/2014/chart" uri="{C3380CC4-5D6E-409C-BE32-E72D297353CC}">
              <c16:uniqueId val="{00000006-AEA5-46E8-92E8-3312C176167C}"/>
            </c:ext>
          </c:extLst>
        </c:ser>
        <c:dLbls>
          <c:showLegendKey val="0"/>
          <c:showVal val="0"/>
          <c:showCatName val="0"/>
          <c:showSerName val="0"/>
          <c:showPercent val="0"/>
          <c:showBubbleSize val="0"/>
        </c:dLbls>
        <c:gapWidth val="150"/>
        <c:shape val="box"/>
        <c:axId val="1506939847"/>
        <c:axId val="1902786989"/>
        <c:axId val="0"/>
      </c:bar3DChart>
      <c:catAx>
        <c:axId val="73311138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FFFF"/>
                </a:solidFill>
                <a:latin typeface="+mn-lt"/>
              </a:defRPr>
            </a:pPr>
            <a:endParaRPr lang="en-US"/>
          </a:p>
        </c:txPr>
        <c:crossAx val="611618012"/>
        <c:crosses val="autoZero"/>
        <c:auto val="1"/>
        <c:lblAlgn val="ctr"/>
        <c:lblOffset val="100"/>
        <c:noMultiLvlLbl val="1"/>
      </c:catAx>
      <c:valAx>
        <c:axId val="611618012"/>
        <c:scaling>
          <c:orientation val="minMax"/>
        </c:scaling>
        <c:delete val="0"/>
        <c:axPos val="l"/>
        <c:numFmt formatCode="[$Rp-421]#,##0" sourceLinked="1"/>
        <c:majorTickMark val="cross"/>
        <c:minorTickMark val="cross"/>
        <c:tickLblPos val="nextTo"/>
        <c:spPr>
          <a:ln>
            <a:noFill/>
          </a:ln>
        </c:spPr>
        <c:crossAx val="733111381"/>
        <c:crosses val="autoZero"/>
        <c:crossBetween val="between"/>
      </c:valAx>
      <c:catAx>
        <c:axId val="1506939847"/>
        <c:scaling>
          <c:orientation val="minMax"/>
        </c:scaling>
        <c:delete val="0"/>
        <c:axPos val="b"/>
        <c:numFmt formatCode="General" sourceLinked="1"/>
        <c:majorTickMark val="none"/>
        <c:minorTickMark val="none"/>
        <c:tickLblPos val="nextTo"/>
        <c:txPr>
          <a:bodyPr/>
          <a:lstStyle/>
          <a:p>
            <a:pPr lvl="0">
              <a:defRPr b="0">
                <a:solidFill>
                  <a:srgbClr val="00FFFF"/>
                </a:solidFill>
                <a:latin typeface="+mn-lt"/>
              </a:defRPr>
            </a:pPr>
            <a:endParaRPr lang="en-US"/>
          </a:p>
        </c:txPr>
        <c:crossAx val="1902786989"/>
        <c:crosses val="autoZero"/>
        <c:auto val="1"/>
        <c:lblAlgn val="ctr"/>
        <c:lblOffset val="100"/>
        <c:noMultiLvlLbl val="1"/>
      </c:catAx>
      <c:valAx>
        <c:axId val="1902786989"/>
        <c:scaling>
          <c:orientation val="minMax"/>
          <c:max val="3000000000"/>
        </c:scaling>
        <c:delete val="0"/>
        <c:axPos val="r"/>
        <c:title>
          <c:tx>
            <c:rich>
              <a:bodyPr/>
              <a:lstStyle/>
              <a:p>
                <a:pPr lvl="0">
                  <a:defRPr b="1">
                    <a:solidFill>
                      <a:srgbClr val="00FFFF"/>
                    </a:solidFill>
                    <a:latin typeface="+mn-lt"/>
                  </a:defRPr>
                </a:pPr>
                <a:endParaRPr/>
              </a:p>
            </c:rich>
          </c:tx>
          <c:overlay val="0"/>
        </c:title>
        <c:numFmt formatCode="[$Rp-421]#,##0" sourceLinked="1"/>
        <c:majorTickMark val="none"/>
        <c:minorTickMark val="none"/>
        <c:tickLblPos val="nextTo"/>
        <c:spPr>
          <a:ln/>
        </c:spPr>
        <c:txPr>
          <a:bodyPr/>
          <a:lstStyle/>
          <a:p>
            <a:pPr lvl="0">
              <a:defRPr b="0">
                <a:solidFill>
                  <a:srgbClr val="00FFFF"/>
                </a:solidFill>
                <a:latin typeface="+mn-lt"/>
              </a:defRPr>
            </a:pPr>
            <a:endParaRPr lang="en-US"/>
          </a:p>
        </c:txPr>
        <c:crossAx val="1506939847"/>
        <c:crosses val="max"/>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a:solidFill>
                  <a:srgbClr val="FFFFFF"/>
                </a:solidFill>
                <a:latin typeface="+mn-lt"/>
              </a:defRPr>
            </a:pPr>
            <a:r>
              <a:rPr sz="1400" b="0">
                <a:solidFill>
                  <a:srgbClr val="FFFFFF"/>
                </a:solidFill>
                <a:latin typeface="+mn-lt"/>
              </a:rPr>
              <a:t>Percentase Capaian PR</a:t>
            </a:r>
          </a:p>
        </c:rich>
      </c:tx>
      <c:layout>
        <c:manualLayout>
          <c:xMode val="edge"/>
          <c:yMode val="edge"/>
          <c:x val="4.2589973283042579E-2"/>
          <c:y val="3.2079646017699089E-2"/>
        </c:manualLayout>
      </c:layout>
      <c:overlay val="0"/>
    </c:title>
    <c:autoTitleDeleted val="0"/>
    <c:plotArea>
      <c:layout/>
      <c:doughnutChart>
        <c:varyColors val="1"/>
        <c:ser>
          <c:idx val="0"/>
          <c:order val="0"/>
          <c:dPt>
            <c:idx val="0"/>
            <c:bubble3D val="0"/>
            <c:spPr>
              <a:solidFill>
                <a:srgbClr val="00FFFF"/>
              </a:solidFill>
            </c:spPr>
            <c:extLst>
              <c:ext xmlns:c16="http://schemas.microsoft.com/office/drawing/2014/chart" uri="{C3380CC4-5D6E-409C-BE32-E72D297353CC}">
                <c16:uniqueId val="{00000001-E72E-48EC-9F08-E52F7FDBE874}"/>
              </c:ext>
            </c:extLst>
          </c:dPt>
          <c:dPt>
            <c:idx val="1"/>
            <c:bubble3D val="0"/>
            <c:spPr>
              <a:solidFill>
                <a:srgbClr val="999999"/>
              </a:solidFill>
            </c:spPr>
            <c:extLst>
              <c:ext xmlns:c16="http://schemas.microsoft.com/office/drawing/2014/chart" uri="{C3380CC4-5D6E-409C-BE32-E72D297353CC}">
                <c16:uniqueId val="{00000003-E72E-48EC-9F08-E52F7FDBE87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'Data Dashboard'!$A$14:$A$15</c:f>
              <c:strCache>
                <c:ptCount val="2"/>
                <c:pt idx="0">
                  <c:v>Capaian PR</c:v>
                </c:pt>
                <c:pt idx="1">
                  <c:v>Target PR</c:v>
                </c:pt>
              </c:strCache>
            </c:strRef>
          </c:cat>
          <c:val>
            <c:numRef>
              <c:f>'Data Dashboard'!$C$14:$C$15</c:f>
              <c:numCache>
                <c:formatCode>0.00%</c:formatCode>
                <c:ptCount val="2"/>
                <c:pt idx="0">
                  <c:v>0.92922297977513202</c:v>
                </c:pt>
                <c:pt idx="1">
                  <c:v>7.0777020224867981E-2</c:v>
                </c:pt>
              </c:numCache>
            </c:numRef>
          </c:val>
          <c:extLst>
            <c:ext xmlns:c16="http://schemas.microsoft.com/office/drawing/2014/chart" uri="{C3380CC4-5D6E-409C-BE32-E72D297353CC}">
              <c16:uniqueId val="{00000004-E72E-48EC-9F08-E52F7FDBE874}"/>
            </c:ext>
          </c:extLst>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b="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191D43"/>
              </a:solidFill>
            </c:spPr>
            <c:extLst>
              <c:ext xmlns:c16="http://schemas.microsoft.com/office/drawing/2014/chart" uri="{C3380CC4-5D6E-409C-BE32-E72D297353CC}">
                <c16:uniqueId val="{00000001-D22C-4D69-8159-C8DC8868B7BF}"/>
              </c:ext>
            </c:extLst>
          </c:dPt>
          <c:dPt>
            <c:idx val="1"/>
            <c:bubble3D val="0"/>
            <c:extLst>
              <c:ext xmlns:c16="http://schemas.microsoft.com/office/drawing/2014/chart" uri="{C3380CC4-5D6E-409C-BE32-E72D297353CC}">
                <c16:uniqueId val="{00000002-D22C-4D69-8159-C8DC8868B7BF}"/>
              </c:ext>
            </c:extLst>
          </c:dPt>
          <c:dPt>
            <c:idx val="2"/>
            <c:bubble3D val="0"/>
            <c:extLst>
              <c:ext xmlns:c16="http://schemas.microsoft.com/office/drawing/2014/chart" uri="{C3380CC4-5D6E-409C-BE32-E72D297353CC}">
                <c16:uniqueId val="{00000003-D22C-4D69-8159-C8DC8868B7BF}"/>
              </c:ext>
            </c:extLst>
          </c:dPt>
          <c:dPt>
            <c:idx val="3"/>
            <c:bubble3D val="0"/>
            <c:extLst>
              <c:ext xmlns:c16="http://schemas.microsoft.com/office/drawing/2014/chart" uri="{C3380CC4-5D6E-409C-BE32-E72D297353CC}">
                <c16:uniqueId val="{00000004-D22C-4D69-8159-C8DC8868B7BF}"/>
              </c:ext>
            </c:extLst>
          </c:dPt>
          <c:dPt>
            <c:idx val="4"/>
            <c:bubble3D val="0"/>
            <c:extLst>
              <c:ext xmlns:c16="http://schemas.microsoft.com/office/drawing/2014/chart" uri="{C3380CC4-5D6E-409C-BE32-E72D297353CC}">
                <c16:uniqueId val="{00000005-D22C-4D69-8159-C8DC8868B7BF}"/>
              </c:ext>
            </c:extLst>
          </c:dPt>
          <c:dPt>
            <c:idx val="5"/>
            <c:bubble3D val="0"/>
            <c:extLst>
              <c:ext xmlns:c16="http://schemas.microsoft.com/office/drawing/2014/chart" uri="{C3380CC4-5D6E-409C-BE32-E72D297353CC}">
                <c16:uniqueId val="{00000006-D22C-4D69-8159-C8DC8868B7BF}"/>
              </c:ext>
            </c:extLst>
          </c:dPt>
          <c:dPt>
            <c:idx val="6"/>
            <c:bubble3D val="0"/>
            <c:extLst>
              <c:ext xmlns:c16="http://schemas.microsoft.com/office/drawing/2014/chart" uri="{C3380CC4-5D6E-409C-BE32-E72D297353CC}">
                <c16:uniqueId val="{00000007-D22C-4D69-8159-C8DC8868B7BF}"/>
              </c:ext>
            </c:extLst>
          </c:dPt>
          <c:dPt>
            <c:idx val="7"/>
            <c:bubble3D val="0"/>
            <c:extLst>
              <c:ext xmlns:c16="http://schemas.microsoft.com/office/drawing/2014/chart" uri="{C3380CC4-5D6E-409C-BE32-E72D297353CC}">
                <c16:uniqueId val="{00000008-D22C-4D69-8159-C8DC8868B7BF}"/>
              </c:ext>
            </c:extLst>
          </c:dPt>
          <c:dPt>
            <c:idx val="8"/>
            <c:bubble3D val="0"/>
            <c:extLst>
              <c:ext xmlns:c16="http://schemas.microsoft.com/office/drawing/2014/chart" uri="{C3380CC4-5D6E-409C-BE32-E72D297353CC}">
                <c16:uniqueId val="{00000009-D22C-4D69-8159-C8DC8868B7BF}"/>
              </c:ext>
            </c:extLst>
          </c:dPt>
          <c:dPt>
            <c:idx val="9"/>
            <c:bubble3D val="0"/>
            <c:extLst>
              <c:ext xmlns:c16="http://schemas.microsoft.com/office/drawing/2014/chart" uri="{C3380CC4-5D6E-409C-BE32-E72D297353CC}">
                <c16:uniqueId val="{0000000A-D22C-4D69-8159-C8DC8868B7BF}"/>
              </c:ext>
            </c:extLst>
          </c:dPt>
          <c:dPt>
            <c:idx val="10"/>
            <c:bubble3D val="0"/>
            <c:extLst>
              <c:ext xmlns:c16="http://schemas.microsoft.com/office/drawing/2014/chart" uri="{C3380CC4-5D6E-409C-BE32-E72D297353CC}">
                <c16:uniqueId val="{0000000B-D22C-4D69-8159-C8DC8868B7BF}"/>
              </c:ext>
            </c:extLst>
          </c:dPt>
          <c:dPt>
            <c:idx val="11"/>
            <c:bubble3D val="0"/>
            <c:extLst>
              <c:ext xmlns:c16="http://schemas.microsoft.com/office/drawing/2014/chart" uri="{C3380CC4-5D6E-409C-BE32-E72D297353CC}">
                <c16:uniqueId val="{0000000C-D22C-4D69-8159-C8DC8868B7BF}"/>
              </c:ext>
            </c:extLst>
          </c:dPt>
          <c:dPt>
            <c:idx val="12"/>
            <c:bubble3D val="0"/>
            <c:extLst>
              <c:ext xmlns:c16="http://schemas.microsoft.com/office/drawing/2014/chart" uri="{C3380CC4-5D6E-409C-BE32-E72D297353CC}">
                <c16:uniqueId val="{0000000D-D22C-4D69-8159-C8DC8868B7BF}"/>
              </c:ext>
            </c:extLst>
          </c:dPt>
          <c:dPt>
            <c:idx val="13"/>
            <c:bubble3D val="0"/>
            <c:extLst>
              <c:ext xmlns:c16="http://schemas.microsoft.com/office/drawing/2014/chart" uri="{C3380CC4-5D6E-409C-BE32-E72D297353CC}">
                <c16:uniqueId val="{0000000E-D22C-4D69-8159-C8DC8868B7BF}"/>
              </c:ext>
            </c:extLst>
          </c:dPt>
          <c:dPt>
            <c:idx val="14"/>
            <c:bubble3D val="0"/>
            <c:extLst>
              <c:ext xmlns:c16="http://schemas.microsoft.com/office/drawing/2014/chart" uri="{C3380CC4-5D6E-409C-BE32-E72D297353CC}">
                <c16:uniqueId val="{0000000F-D22C-4D69-8159-C8DC8868B7BF}"/>
              </c:ext>
            </c:extLst>
          </c:dPt>
          <c:dPt>
            <c:idx val="15"/>
            <c:bubble3D val="0"/>
            <c:extLst>
              <c:ext xmlns:c16="http://schemas.microsoft.com/office/drawing/2014/chart" uri="{C3380CC4-5D6E-409C-BE32-E72D297353CC}">
                <c16:uniqueId val="{00000010-D22C-4D69-8159-C8DC8868B7BF}"/>
              </c:ext>
            </c:extLst>
          </c:dPt>
          <c:dPt>
            <c:idx val="16"/>
            <c:bubble3D val="0"/>
            <c:extLst>
              <c:ext xmlns:c16="http://schemas.microsoft.com/office/drawing/2014/chart" uri="{C3380CC4-5D6E-409C-BE32-E72D297353CC}">
                <c16:uniqueId val="{00000011-D22C-4D69-8159-C8DC8868B7BF}"/>
              </c:ext>
            </c:extLst>
          </c:dPt>
          <c:dPt>
            <c:idx val="17"/>
            <c:bubble3D val="0"/>
            <c:extLst>
              <c:ext xmlns:c16="http://schemas.microsoft.com/office/drawing/2014/chart" uri="{C3380CC4-5D6E-409C-BE32-E72D297353CC}">
                <c16:uniqueId val="{00000012-D22C-4D69-8159-C8DC8868B7BF}"/>
              </c:ext>
            </c:extLst>
          </c:dPt>
          <c:dPt>
            <c:idx val="18"/>
            <c:bubble3D val="0"/>
            <c:extLst>
              <c:ext xmlns:c16="http://schemas.microsoft.com/office/drawing/2014/chart" uri="{C3380CC4-5D6E-409C-BE32-E72D297353CC}">
                <c16:uniqueId val="{00000013-D22C-4D69-8159-C8DC8868B7BF}"/>
              </c:ext>
            </c:extLst>
          </c:dPt>
          <c:dPt>
            <c:idx val="19"/>
            <c:bubble3D val="0"/>
            <c:extLst>
              <c:ext xmlns:c16="http://schemas.microsoft.com/office/drawing/2014/chart" uri="{C3380CC4-5D6E-409C-BE32-E72D297353CC}">
                <c16:uniqueId val="{00000014-D22C-4D69-8159-C8DC8868B7BF}"/>
              </c:ext>
            </c:extLst>
          </c:dPt>
          <c:dPt>
            <c:idx val="20"/>
            <c:bubble3D val="0"/>
            <c:extLst>
              <c:ext xmlns:c16="http://schemas.microsoft.com/office/drawing/2014/chart" uri="{C3380CC4-5D6E-409C-BE32-E72D297353CC}">
                <c16:uniqueId val="{00000015-D22C-4D69-8159-C8DC8868B7BF}"/>
              </c:ext>
            </c:extLst>
          </c:dPt>
          <c:dPt>
            <c:idx val="21"/>
            <c:bubble3D val="0"/>
            <c:extLst>
              <c:ext xmlns:c16="http://schemas.microsoft.com/office/drawing/2014/chart" uri="{C3380CC4-5D6E-409C-BE32-E72D297353CC}">
                <c16:uniqueId val="{00000016-D22C-4D69-8159-C8DC8868B7BF}"/>
              </c:ext>
            </c:extLst>
          </c:dPt>
          <c:dPt>
            <c:idx val="22"/>
            <c:bubble3D val="0"/>
            <c:extLst>
              <c:ext xmlns:c16="http://schemas.microsoft.com/office/drawing/2014/chart" uri="{C3380CC4-5D6E-409C-BE32-E72D297353CC}">
                <c16:uniqueId val="{00000017-D22C-4D69-8159-C8DC8868B7BF}"/>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val>
            <c:numRef>
              <c:f>'Rekap Capaian PR'!$M$273:$M$295</c:f>
              <c:numCache>
                <c:formatCode>General</c:formatCode>
                <c:ptCount val="23"/>
                <c:pt idx="0" formatCode="0.00%">
                  <c:v>0.92922297977513202</c:v>
                </c:pt>
              </c:numCache>
            </c:numRef>
          </c:val>
          <c:extLst>
            <c:ext xmlns:c16="http://schemas.microsoft.com/office/drawing/2014/chart" uri="{C3380CC4-5D6E-409C-BE32-E72D297353CC}">
              <c16:uniqueId val="{00000018-D22C-4D69-8159-C8DC8868B7BF}"/>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FFFFFF"/>
                </a:solidFill>
                <a:latin typeface="+mn-lt"/>
              </a:defRPr>
            </a:pPr>
            <a:r>
              <a:rPr sz="1200" b="1" i="0">
                <a:solidFill>
                  <a:srgbClr val="FFFFFF"/>
                </a:solidFill>
                <a:latin typeface="+mn-lt"/>
              </a:rPr>
              <a:t>Capaian Lainnya</a:t>
            </a:r>
          </a:p>
        </c:rich>
      </c:tx>
      <c:layout>
        <c:manualLayout>
          <c:xMode val="edge"/>
          <c:yMode val="edge"/>
          <c:x val="7.2443181818181868E-3"/>
          <c:y val="1.1484013758720271E-3"/>
        </c:manualLayout>
      </c:layout>
      <c:overlay val="0"/>
    </c:title>
    <c:autoTitleDeleted val="0"/>
    <c:view3D>
      <c:rotX val="15"/>
      <c:rotY val="20"/>
      <c:depthPercent val="100"/>
      <c:rAngAx val="1"/>
    </c:view3D>
    <c:floor>
      <c:thickness val="0"/>
    </c:floor>
    <c:sideWall>
      <c:thickness val="0"/>
    </c:sideWall>
    <c:backWall>
      <c:thickness val="0"/>
    </c:backWall>
    <c:plotArea>
      <c:layout>
        <c:manualLayout>
          <c:xMode val="edge"/>
          <c:yMode val="edge"/>
          <c:x val="0.1494476895991021"/>
          <c:y val="0.11593558484570796"/>
          <c:w val="0.79685200196724115"/>
          <c:h val="0.6996072331608143"/>
        </c:manualLayout>
      </c:layout>
      <c:bar3DChart>
        <c:barDir val="col"/>
        <c:grouping val="clustered"/>
        <c:varyColors val="1"/>
        <c:ser>
          <c:idx val="0"/>
          <c:order val="0"/>
          <c:tx>
            <c:strRef>
              <c:f>'Data Dashboard'!$B$19</c:f>
              <c:strCache>
                <c:ptCount val="1"/>
                <c:pt idx="0">
                  <c:v>Jumlah Capaian</c:v>
                </c:pt>
              </c:strCache>
            </c:strRef>
          </c:tx>
          <c:spPr>
            <a:solidFill>
              <a:srgbClr val="FF0000"/>
            </a:solidFill>
            <a:ln w="76200" cmpd="sng">
              <a:solidFill>
                <a:srgbClr val="000000"/>
              </a:solidFill>
              <a:prstDash val="dash"/>
            </a:ln>
          </c:spPr>
          <c:invertIfNegative val="1"/>
          <c:dPt>
            <c:idx val="0"/>
            <c:invertIfNegative val="1"/>
            <c:bubble3D val="0"/>
            <c:spPr>
              <a:solidFill>
                <a:srgbClr val="45818E"/>
              </a:solidFill>
              <a:ln cmpd="sng">
                <a:solidFill>
                  <a:srgbClr val="000000"/>
                </a:solidFill>
                <a:prstDash val="dash"/>
              </a:ln>
            </c:spPr>
            <c:extLst>
              <c:ext xmlns:c16="http://schemas.microsoft.com/office/drawing/2014/chart" uri="{C3380CC4-5D6E-409C-BE32-E72D297353CC}">
                <c16:uniqueId val="{00000001-D359-4D37-AFBE-9CC15DD32DAF}"/>
              </c:ext>
            </c:extLst>
          </c:dPt>
          <c:dPt>
            <c:idx val="1"/>
            <c:invertIfNegative val="1"/>
            <c:bubble3D val="0"/>
            <c:spPr>
              <a:solidFill>
                <a:srgbClr val="A64D79"/>
              </a:solidFill>
              <a:ln cmpd="sng">
                <a:solidFill>
                  <a:srgbClr val="000000"/>
                </a:solidFill>
              </a:ln>
            </c:spPr>
            <c:extLst>
              <c:ext xmlns:c16="http://schemas.microsoft.com/office/drawing/2014/chart" uri="{C3380CC4-5D6E-409C-BE32-E72D297353CC}">
                <c16:uniqueId val="{00000003-D359-4D37-AFBE-9CC15DD32DAF}"/>
              </c:ext>
            </c:extLst>
          </c:dPt>
          <c:dPt>
            <c:idx val="2"/>
            <c:invertIfNegative val="1"/>
            <c:bubble3D val="0"/>
            <c:spPr>
              <a:solidFill>
                <a:srgbClr val="D9EAD3"/>
              </a:solidFill>
              <a:ln cmpd="sng">
                <a:solidFill>
                  <a:srgbClr val="000000"/>
                </a:solidFill>
              </a:ln>
            </c:spPr>
            <c:extLst>
              <c:ext xmlns:c16="http://schemas.microsoft.com/office/drawing/2014/chart" uri="{C3380CC4-5D6E-409C-BE32-E72D297353CC}">
                <c16:uniqueId val="{00000005-D359-4D37-AFBE-9CC15DD32DAF}"/>
              </c:ext>
            </c:extLst>
          </c:dPt>
          <c:dPt>
            <c:idx val="3"/>
            <c:invertIfNegative val="1"/>
            <c:bubble3D val="0"/>
            <c:spPr>
              <a:solidFill>
                <a:srgbClr val="D9D2E9"/>
              </a:solidFill>
              <a:ln cmpd="sng">
                <a:solidFill>
                  <a:srgbClr val="000000"/>
                </a:solidFill>
              </a:ln>
            </c:spPr>
            <c:extLst>
              <c:ext xmlns:c16="http://schemas.microsoft.com/office/drawing/2014/chart" uri="{C3380CC4-5D6E-409C-BE32-E72D297353CC}">
                <c16:uniqueId val="{00000007-D359-4D37-AFBE-9CC15DD32DAF}"/>
              </c:ext>
            </c:extLst>
          </c:dPt>
          <c:dPt>
            <c:idx val="4"/>
            <c:invertIfNegative val="1"/>
            <c:bubble3D val="0"/>
            <c:spPr>
              <a:solidFill>
                <a:srgbClr val="C9DAF8"/>
              </a:solidFill>
              <a:ln cmpd="sng">
                <a:solidFill>
                  <a:srgbClr val="000000"/>
                </a:solidFill>
              </a:ln>
            </c:spPr>
            <c:extLst>
              <c:ext xmlns:c16="http://schemas.microsoft.com/office/drawing/2014/chart" uri="{C3380CC4-5D6E-409C-BE32-E72D297353CC}">
                <c16:uniqueId val="{00000009-D359-4D37-AFBE-9CC15DD32DAF}"/>
              </c:ext>
            </c:extLst>
          </c:dPt>
          <c:dPt>
            <c:idx val="5"/>
            <c:invertIfNegative val="1"/>
            <c:bubble3D val="0"/>
            <c:spPr>
              <a:solidFill>
                <a:srgbClr val="FCE5CD"/>
              </a:solidFill>
              <a:ln cmpd="sng">
                <a:solidFill>
                  <a:srgbClr val="000000"/>
                </a:solidFill>
              </a:ln>
            </c:spPr>
            <c:extLst>
              <c:ext xmlns:c16="http://schemas.microsoft.com/office/drawing/2014/chart" uri="{C3380CC4-5D6E-409C-BE32-E72D297353CC}">
                <c16:uniqueId val="{0000000B-D359-4D37-AFBE-9CC15DD32DAF}"/>
              </c:ext>
            </c:extLst>
          </c:dPt>
          <c:dPt>
            <c:idx val="6"/>
            <c:invertIfNegative val="1"/>
            <c:bubble3D val="0"/>
            <c:spPr>
              <a:solidFill>
                <a:srgbClr val="F4CCCC"/>
              </a:solidFill>
              <a:ln cmpd="sng">
                <a:solidFill>
                  <a:srgbClr val="000000"/>
                </a:solidFill>
              </a:ln>
            </c:spPr>
            <c:extLst>
              <c:ext xmlns:c16="http://schemas.microsoft.com/office/drawing/2014/chart" uri="{C3380CC4-5D6E-409C-BE32-E72D297353CC}">
                <c16:uniqueId val="{0000000D-D359-4D37-AFBE-9CC15DD32DAF}"/>
              </c:ext>
            </c:extLst>
          </c:dPt>
          <c:dLbls>
            <c:spPr>
              <a:noFill/>
              <a:ln>
                <a:noFill/>
              </a:ln>
              <a:effectLst/>
            </c:spPr>
            <c:txPr>
              <a:bodyPr/>
              <a:lstStyle/>
              <a:p>
                <a:pPr lvl="0">
                  <a:defRPr sz="14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Dashboard'!$A$20:$A$21</c:f>
              <c:strCache>
                <c:ptCount val="2"/>
                <c:pt idx="0">
                  <c:v>Sitasi</c:v>
                </c:pt>
                <c:pt idx="1">
                  <c:v>Publikasi Nasional</c:v>
                </c:pt>
              </c:strCache>
            </c:strRef>
          </c:cat>
          <c:val>
            <c:numRef>
              <c:f>'Data Dashboard'!$B$20:$B$21</c:f>
              <c:numCache>
                <c:formatCode>General</c:formatCode>
                <c:ptCount val="2"/>
                <c:pt idx="0">
                  <c:v>1234</c:v>
                </c:pt>
                <c:pt idx="1">
                  <c:v>9</c:v>
                </c:pt>
              </c:numCache>
            </c:numRef>
          </c:val>
          <c:extLst>
            <c:ext xmlns:c14="http://schemas.microsoft.com/office/drawing/2007/8/2/chart" uri="{6F2FDCE9-48DA-4B69-8628-5D25D57E5C99}">
              <c14:invertSolidFillFmt>
                <c14:spPr xmlns:c14="http://schemas.microsoft.com/office/drawing/2007/8/2/chart">
                  <a:solidFill>
                    <a:srgbClr val="FFFFFF"/>
                  </a:solidFill>
                  <a:ln w="76200" cmpd="sng">
                    <a:solidFill>
                      <a:srgbClr val="000000"/>
                    </a:solidFill>
                    <a:prstDash val="dash"/>
                  </a:ln>
                </c14:spPr>
              </c14:invertSolidFillFmt>
            </c:ext>
            <c:ext xmlns:c16="http://schemas.microsoft.com/office/drawing/2014/chart" uri="{C3380CC4-5D6E-409C-BE32-E72D297353CC}">
              <c16:uniqueId val="{0000000E-D359-4D37-AFBE-9CC15DD32DAF}"/>
            </c:ext>
          </c:extLst>
        </c:ser>
        <c:dLbls>
          <c:showLegendKey val="0"/>
          <c:showVal val="0"/>
          <c:showCatName val="0"/>
          <c:showSerName val="0"/>
          <c:showPercent val="0"/>
          <c:showBubbleSize val="0"/>
        </c:dLbls>
        <c:gapWidth val="150"/>
        <c:shape val="box"/>
        <c:axId val="871401339"/>
        <c:axId val="340473827"/>
        <c:axId val="0"/>
      </c:bar3DChart>
      <c:catAx>
        <c:axId val="871401339"/>
        <c:scaling>
          <c:orientation val="minMax"/>
        </c:scaling>
        <c:delete val="0"/>
        <c:axPos val="b"/>
        <c:numFmt formatCode="General" sourceLinked="1"/>
        <c:majorTickMark val="none"/>
        <c:minorTickMark val="none"/>
        <c:tickLblPos val="nextTo"/>
        <c:txPr>
          <a:bodyPr rot="0"/>
          <a:lstStyle/>
          <a:p>
            <a:pPr lvl="0">
              <a:defRPr b="0" i="0">
                <a:solidFill>
                  <a:srgbClr val="00FFFF"/>
                </a:solidFill>
                <a:latin typeface="serif"/>
              </a:defRPr>
            </a:pPr>
            <a:endParaRPr lang="en-US"/>
          </a:p>
        </c:txPr>
        <c:crossAx val="340473827"/>
        <c:crosses val="autoZero"/>
        <c:auto val="1"/>
        <c:lblAlgn val="ctr"/>
        <c:lblOffset val="100"/>
        <c:noMultiLvlLbl val="1"/>
      </c:catAx>
      <c:valAx>
        <c:axId val="340473827"/>
        <c:scaling>
          <c:orientation val="minMax"/>
        </c:scaling>
        <c:delete val="0"/>
        <c:axPos val="r"/>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3600" b="0">
                <a:solidFill>
                  <a:srgbClr val="000000"/>
                </a:solidFill>
                <a:latin typeface="+mn-lt"/>
              </a:defRPr>
            </a:pPr>
            <a:endParaRPr lang="en-US"/>
          </a:p>
        </c:txPr>
        <c:crossAx val="871401339"/>
        <c:crosses val="max"/>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FFFFFF"/>
                </a:solidFill>
                <a:latin typeface="+mn-lt"/>
              </a:defRPr>
            </a:pPr>
            <a:r>
              <a:rPr sz="1200" b="0" i="0">
                <a:solidFill>
                  <a:srgbClr val="FFFFFF"/>
                </a:solidFill>
                <a:latin typeface="+mn-lt"/>
              </a:rPr>
              <a:t>Percentase Capaian PR</a:t>
            </a:r>
          </a:p>
        </c:rich>
      </c:tx>
      <c:layout>
        <c:manualLayout>
          <c:xMode val="edge"/>
          <c:yMode val="edge"/>
          <c:x val="4.2589973283042599E-2"/>
          <c:y val="3.2079646017699102E-2"/>
        </c:manualLayout>
      </c:layout>
      <c:overlay val="0"/>
    </c:title>
    <c:autoTitleDeleted val="0"/>
    <c:plotArea>
      <c:layout/>
      <c:doughnutChart>
        <c:varyColors val="1"/>
        <c:ser>
          <c:idx val="0"/>
          <c:order val="0"/>
          <c:dPt>
            <c:idx val="0"/>
            <c:bubble3D val="0"/>
            <c:spPr>
              <a:solidFill>
                <a:srgbClr val="4F81BD"/>
              </a:solidFill>
            </c:spPr>
            <c:extLst>
              <c:ext xmlns:c16="http://schemas.microsoft.com/office/drawing/2014/chart" uri="{C3380CC4-5D6E-409C-BE32-E72D297353CC}">
                <c16:uniqueId val="{00000001-1521-437F-9ED2-B0DAA9523E00}"/>
              </c:ext>
            </c:extLst>
          </c:dPt>
          <c:dPt>
            <c:idx val="1"/>
            <c:bubble3D val="0"/>
            <c:spPr>
              <a:solidFill>
                <a:srgbClr val="C0504D"/>
              </a:solidFill>
            </c:spPr>
            <c:extLst>
              <c:ext xmlns:c16="http://schemas.microsoft.com/office/drawing/2014/chart" uri="{C3380CC4-5D6E-409C-BE32-E72D297353CC}">
                <c16:uniqueId val="{00000003-1521-437F-9ED2-B0DAA9523E0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'Data Dashboard'!$A$14:$A$15</c:f>
              <c:strCache>
                <c:ptCount val="2"/>
                <c:pt idx="0">
                  <c:v>Capaian PR</c:v>
                </c:pt>
                <c:pt idx="1">
                  <c:v>Target PR</c:v>
                </c:pt>
              </c:strCache>
            </c:strRef>
          </c:cat>
          <c:val>
            <c:numRef>
              <c:f>'Data Dashboard'!$B$14:$B$15</c:f>
              <c:numCache>
                <c:formatCode>0.00%</c:formatCode>
                <c:ptCount val="2"/>
                <c:pt idx="0">
                  <c:v>0</c:v>
                </c:pt>
                <c:pt idx="1">
                  <c:v>1</c:v>
                </c:pt>
              </c:numCache>
            </c:numRef>
          </c:val>
          <c:extLst>
            <c:ext xmlns:c16="http://schemas.microsoft.com/office/drawing/2014/chart" uri="{C3380CC4-5D6E-409C-BE32-E72D297353CC}">
              <c16:uniqueId val="{00000004-1521-437F-9ED2-B0DAA9523E00}"/>
            </c:ext>
          </c:extLst>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FFFFFF"/>
                </a:solidFill>
                <a:latin typeface="+mn-lt"/>
              </a:defRPr>
            </a:pPr>
            <a:r>
              <a:rPr sz="1200" b="1" i="0">
                <a:solidFill>
                  <a:srgbClr val="FFFFFF"/>
                </a:solidFill>
                <a:latin typeface="+mn-lt"/>
              </a:rPr>
              <a:t>Capaian Lainnya</a:t>
            </a:r>
          </a:p>
        </c:rich>
      </c:tx>
      <c:layout>
        <c:manualLayout>
          <c:xMode val="edge"/>
          <c:yMode val="edge"/>
          <c:x val="7.2443181818181903E-3"/>
          <c:y val="1.14840137587203E-3"/>
        </c:manualLayout>
      </c:layout>
      <c:overlay val="0"/>
    </c:title>
    <c:autoTitleDeleted val="0"/>
    <c:plotArea>
      <c:layout>
        <c:manualLayout>
          <c:xMode val="edge"/>
          <c:yMode val="edge"/>
          <c:x val="0.14944768959910201"/>
          <c:y val="0.115935584845708"/>
          <c:w val="0.79685200196724104"/>
          <c:h val="0.69960723316081397"/>
        </c:manualLayout>
      </c:layout>
      <c:barChart>
        <c:barDir val="col"/>
        <c:grouping val="clustered"/>
        <c:varyColors val="1"/>
        <c:ser>
          <c:idx val="0"/>
          <c:order val="0"/>
          <c:tx>
            <c:strRef>
              <c:f>'Data Dashboard'!$B$19</c:f>
              <c:strCache>
                <c:ptCount val="1"/>
                <c:pt idx="0">
                  <c:v>Jumlah Capaian</c:v>
                </c:pt>
              </c:strCache>
            </c:strRef>
          </c:tx>
          <c:spPr>
            <a:solidFill>
              <a:srgbClr val="4F81BD"/>
            </a:solidFill>
            <a:ln cmpd="sng">
              <a:solidFill>
                <a:srgbClr val="000000"/>
              </a:solidFill>
            </a:ln>
          </c:spPr>
          <c:invertIfNegative val="1"/>
          <c:cat>
            <c:strRef>
              <c:f>'Data Dashboard'!$A$20:$A$21</c:f>
              <c:strCache>
                <c:ptCount val="2"/>
                <c:pt idx="0">
                  <c:v>Sitasi</c:v>
                </c:pt>
                <c:pt idx="1">
                  <c:v>Publikasi Nasional</c:v>
                </c:pt>
              </c:strCache>
            </c:strRef>
          </c:cat>
          <c:val>
            <c:numRef>
              <c:f>'Data Dashboard'!$B$20:$B$21</c:f>
              <c:numCache>
                <c:formatCode>General</c:formatCode>
                <c:ptCount val="2"/>
                <c:pt idx="0">
                  <c:v>1234</c:v>
                </c:pt>
                <c:pt idx="1">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7B-4E1A-8126-455C7B9E842E}"/>
            </c:ext>
          </c:extLst>
        </c:ser>
        <c:dLbls>
          <c:showLegendKey val="0"/>
          <c:showVal val="0"/>
          <c:showCatName val="0"/>
          <c:showSerName val="0"/>
          <c:showPercent val="0"/>
          <c:showBubbleSize val="0"/>
        </c:dLbls>
        <c:gapWidth val="150"/>
        <c:axId val="1829086933"/>
        <c:axId val="472749449"/>
      </c:barChart>
      <c:catAx>
        <c:axId val="182908693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sz="1000" b="0" i="0">
                <a:solidFill>
                  <a:srgbClr val="00FFFF"/>
                </a:solidFill>
                <a:latin typeface="serif"/>
              </a:defRPr>
            </a:pPr>
            <a:endParaRPr lang="en-US"/>
          </a:p>
        </c:txPr>
        <c:crossAx val="472749449"/>
        <c:crosses val="autoZero"/>
        <c:auto val="1"/>
        <c:lblAlgn val="ctr"/>
        <c:lblOffset val="100"/>
        <c:noMultiLvlLbl val="1"/>
      </c:catAx>
      <c:valAx>
        <c:axId val="472749449"/>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spPr>
          <a:ln/>
        </c:spPr>
        <c:txPr>
          <a:bodyPr/>
          <a:lstStyle/>
          <a:p>
            <a:pPr lvl="0">
              <a:defRPr sz="1000" b="0" i="0">
                <a:solidFill>
                  <a:srgbClr val="000000"/>
                </a:solidFill>
                <a:latin typeface="+mn-lt"/>
              </a:defRPr>
            </a:pPr>
            <a:endParaRPr lang="en-US"/>
          </a:p>
        </c:txPr>
        <c:crossAx val="1829086933"/>
        <c:crosses val="autoZero"/>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3.3763837638376301E-2"/>
          <c:y val="0.05"/>
          <c:w val="0.93247232472324704"/>
          <c:h val="0.61939890710382495"/>
        </c:manualLayout>
      </c:layout>
      <c:doughnutChart>
        <c:varyColors val="1"/>
        <c:ser>
          <c:idx val="0"/>
          <c:order val="0"/>
          <c:tx>
            <c:strRef>
              <c:f>'Data Dashboard'!$C$37</c:f>
              <c:strCache>
                <c:ptCount val="1"/>
                <c:pt idx="0">
                  <c:v>Licensi</c:v>
                </c:pt>
              </c:strCache>
            </c:strRef>
          </c:tx>
          <c:dPt>
            <c:idx val="0"/>
            <c:bubble3D val="0"/>
            <c:spPr>
              <a:solidFill>
                <a:srgbClr val="4F81BD"/>
              </a:solidFill>
            </c:spPr>
            <c:extLst>
              <c:ext xmlns:c16="http://schemas.microsoft.com/office/drawing/2014/chart" uri="{C3380CC4-5D6E-409C-BE32-E72D297353CC}">
                <c16:uniqueId val="{00000001-FCDD-4890-9EDC-A1C41561AEE5}"/>
              </c:ext>
            </c:extLst>
          </c:dPt>
          <c:dPt>
            <c:idx val="1"/>
            <c:bubble3D val="0"/>
            <c:spPr>
              <a:solidFill>
                <a:srgbClr val="C0504D"/>
              </a:solidFill>
            </c:spPr>
            <c:extLst>
              <c:ext xmlns:c16="http://schemas.microsoft.com/office/drawing/2014/chart" uri="{C3380CC4-5D6E-409C-BE32-E72D297353CC}">
                <c16:uniqueId val="{00000003-FCDD-4890-9EDC-A1C41561AEE5}"/>
              </c:ext>
            </c:extLst>
          </c:dPt>
          <c:dPt>
            <c:idx val="2"/>
            <c:bubble3D val="0"/>
            <c:spPr>
              <a:solidFill>
                <a:srgbClr val="9BBB59"/>
              </a:solidFill>
            </c:spPr>
            <c:extLst>
              <c:ext xmlns:c16="http://schemas.microsoft.com/office/drawing/2014/chart" uri="{C3380CC4-5D6E-409C-BE32-E72D297353CC}">
                <c16:uniqueId val="{00000005-FCDD-4890-9EDC-A1C41561AEE5}"/>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Dashboard'!$A$38:$A$40</c:f>
              <c:strCache>
                <c:ptCount val="3"/>
                <c:pt idx="0">
                  <c:v>HARDWARE</c:v>
                </c:pt>
                <c:pt idx="1">
                  <c:v>SOFTWARE</c:v>
                </c:pt>
                <c:pt idx="2">
                  <c:v>DESAIGN</c:v>
                </c:pt>
              </c:strCache>
            </c:strRef>
          </c:cat>
          <c:val>
            <c:numRef>
              <c:f>'Data Dashboard'!$C$38:$C$40</c:f>
              <c:numCache>
                <c:formatCode>General</c:formatCode>
                <c:ptCount val="3"/>
                <c:pt idx="0">
                  <c:v>0</c:v>
                </c:pt>
                <c:pt idx="1">
                  <c:v>0</c:v>
                </c:pt>
                <c:pt idx="2">
                  <c:v>0</c:v>
                </c:pt>
              </c:numCache>
            </c:numRef>
          </c:val>
          <c:extLst>
            <c:ext xmlns:c16="http://schemas.microsoft.com/office/drawing/2014/chart" uri="{C3380CC4-5D6E-409C-BE32-E72D297353CC}">
              <c16:uniqueId val="{00000006-FCDD-4890-9EDC-A1C41561AEE5}"/>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8.2809326939745895E-2"/>
          <c:y val="0.79942648592283605"/>
        </c:manualLayout>
      </c:layout>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1.47708897484774E-2"/>
          <c:y val="0.34097597228791698"/>
          <c:w val="0.90459693431229204"/>
          <c:h val="0.47344930243047101"/>
        </c:manualLayout>
      </c:layout>
      <c:barChart>
        <c:barDir val="col"/>
        <c:grouping val="stacked"/>
        <c:varyColors val="1"/>
        <c:ser>
          <c:idx val="0"/>
          <c:order val="0"/>
          <c:tx>
            <c:strRef>
              <c:f>'Data Dashboard'!$B$44</c:f>
              <c:strCache>
                <c:ptCount val="1"/>
                <c:pt idx="0">
                  <c:v>Terdaftar</c:v>
                </c:pt>
              </c:strCache>
            </c:strRef>
          </c:tx>
          <c:spPr>
            <a:solidFill>
              <a:srgbClr val="4F81BD"/>
            </a:solidFill>
            <a:ln cmpd="sng">
              <a:solidFill>
                <a:srgbClr val="000000"/>
              </a:solidFill>
            </a:ln>
          </c:spPr>
          <c:invertIfNegative val="1"/>
          <c:cat>
            <c:strRef>
              <c:f>'Data Dashboard'!$A$45:$A$47</c:f>
              <c:strCache>
                <c:ptCount val="3"/>
                <c:pt idx="0">
                  <c:v>PATEN</c:v>
                </c:pt>
                <c:pt idx="1">
                  <c:v>HAK CIPTA</c:v>
                </c:pt>
                <c:pt idx="2">
                  <c:v>DESAIN INDUSTRI</c:v>
                </c:pt>
              </c:strCache>
            </c:strRef>
          </c:cat>
          <c:val>
            <c:numRef>
              <c:f>'Data Dashboard'!$B$45:$B$47</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89D-4BCB-96B6-2FB118765224}"/>
            </c:ext>
          </c:extLst>
        </c:ser>
        <c:ser>
          <c:idx val="1"/>
          <c:order val="1"/>
          <c:tx>
            <c:strRef>
              <c:f>'Data Dashboard'!$C$44</c:f>
              <c:strCache>
                <c:ptCount val="1"/>
                <c:pt idx="0">
                  <c:v>Tersertifikasi</c:v>
                </c:pt>
              </c:strCache>
            </c:strRef>
          </c:tx>
          <c:spPr>
            <a:solidFill>
              <a:srgbClr val="C0504D"/>
            </a:solidFill>
            <a:ln cmpd="sng">
              <a:solidFill>
                <a:srgbClr val="000000"/>
              </a:solidFill>
            </a:ln>
          </c:spPr>
          <c:invertIfNegative val="1"/>
          <c:cat>
            <c:strRef>
              <c:f>'Data Dashboard'!$A$45:$A$47</c:f>
              <c:strCache>
                <c:ptCount val="3"/>
                <c:pt idx="0">
                  <c:v>PATEN</c:v>
                </c:pt>
                <c:pt idx="1">
                  <c:v>HAK CIPTA</c:v>
                </c:pt>
                <c:pt idx="2">
                  <c:v>DESAIN INDUSTRI</c:v>
                </c:pt>
              </c:strCache>
            </c:strRef>
          </c:cat>
          <c:val>
            <c:numRef>
              <c:f>'Data Dashboard'!$C$45:$C$47</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89D-4BCB-96B6-2FB118765224}"/>
            </c:ext>
          </c:extLst>
        </c:ser>
        <c:dLbls>
          <c:showLegendKey val="0"/>
          <c:showVal val="0"/>
          <c:showCatName val="0"/>
          <c:showSerName val="0"/>
          <c:showPercent val="0"/>
          <c:showBubbleSize val="0"/>
        </c:dLbls>
        <c:gapWidth val="150"/>
        <c:overlap val="100"/>
        <c:axId val="1346127921"/>
        <c:axId val="194020984"/>
      </c:barChart>
      <c:catAx>
        <c:axId val="134612792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i="0">
                <a:solidFill>
                  <a:srgbClr val="CCCCCC"/>
                </a:solidFill>
                <a:latin typeface="+mn-lt"/>
              </a:defRPr>
            </a:pPr>
            <a:endParaRPr lang="en-US"/>
          </a:p>
        </c:txPr>
        <c:crossAx val="194020984"/>
        <c:crosses val="autoZero"/>
        <c:auto val="1"/>
        <c:lblAlgn val="ctr"/>
        <c:lblOffset val="100"/>
        <c:noMultiLvlLbl val="1"/>
      </c:catAx>
      <c:valAx>
        <c:axId val="194020984"/>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spPr>
          <a:ln/>
        </c:spPr>
        <c:txPr>
          <a:bodyPr/>
          <a:lstStyle/>
          <a:p>
            <a:pPr lvl="0">
              <a:defRPr sz="1000" b="0" i="0">
                <a:solidFill>
                  <a:srgbClr val="000000"/>
                </a:solidFill>
                <a:latin typeface="+mn-lt"/>
              </a:defRPr>
            </a:pPr>
            <a:endParaRPr lang="en-US"/>
          </a:p>
        </c:txPr>
        <c:crossAx val="1346127921"/>
        <c:crosses val="autoZero"/>
        <c:crossBetween val="between"/>
      </c:valAx>
    </c:plotArea>
    <c:legend>
      <c:legendPos val="r"/>
      <c:layout>
        <c:manualLayout>
          <c:xMode val="edge"/>
          <c:yMode val="edge"/>
          <c:x val="0.101529847381839"/>
          <c:y val="0.14170368634095101"/>
        </c:manualLayout>
      </c:layout>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4F81BD"/>
              </a:solidFill>
            </c:spPr>
            <c:extLst>
              <c:ext xmlns:c16="http://schemas.microsoft.com/office/drawing/2014/chart" uri="{C3380CC4-5D6E-409C-BE32-E72D297353CC}">
                <c16:uniqueId val="{00000001-E592-4B74-8A0B-85E41E08E4FF}"/>
              </c:ext>
            </c:extLst>
          </c:dPt>
          <c:dPt>
            <c:idx val="1"/>
            <c:bubble3D val="0"/>
            <c:spPr>
              <a:solidFill>
                <a:srgbClr val="C0504D"/>
              </a:solidFill>
            </c:spPr>
            <c:extLst>
              <c:ext xmlns:c16="http://schemas.microsoft.com/office/drawing/2014/chart" uri="{C3380CC4-5D6E-409C-BE32-E72D297353CC}">
                <c16:uniqueId val="{00000003-E592-4B74-8A0B-85E41E08E4FF}"/>
              </c:ext>
            </c:extLst>
          </c:dPt>
          <c:dPt>
            <c:idx val="2"/>
            <c:bubble3D val="0"/>
            <c:spPr>
              <a:solidFill>
                <a:srgbClr val="9BBB59"/>
              </a:solidFill>
            </c:spPr>
            <c:extLst>
              <c:ext xmlns:c16="http://schemas.microsoft.com/office/drawing/2014/chart" uri="{C3380CC4-5D6E-409C-BE32-E72D297353CC}">
                <c16:uniqueId val="{00000005-E592-4B74-8A0B-85E41E08E4FF}"/>
              </c:ext>
            </c:extLst>
          </c:dPt>
          <c:dPt>
            <c:idx val="3"/>
            <c:bubble3D val="0"/>
            <c:spPr>
              <a:solidFill>
                <a:srgbClr val="8064A2"/>
              </a:solidFill>
            </c:spPr>
            <c:extLst>
              <c:ext xmlns:c16="http://schemas.microsoft.com/office/drawing/2014/chart" uri="{C3380CC4-5D6E-409C-BE32-E72D297353CC}">
                <c16:uniqueId val="{00000007-E592-4B74-8A0B-85E41E08E4FF}"/>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Dashboard'!$A$69:$A$72</c:f>
              <c:strCache>
                <c:ptCount val="4"/>
                <c:pt idx="0">
                  <c:v>S2</c:v>
                </c:pt>
                <c:pt idx="1">
                  <c:v>S3</c:v>
                </c:pt>
                <c:pt idx="2">
                  <c:v>Ijin Belajar</c:v>
                </c:pt>
                <c:pt idx="3">
                  <c:v>Tugas Belajar</c:v>
                </c:pt>
              </c:strCache>
            </c:strRef>
          </c:cat>
          <c:val>
            <c:numRef>
              <c:f>'Data Dashboard'!$B$69:$B$72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E592-4B74-8A0B-85E41E08E4FF}"/>
            </c:ext>
          </c:extLst>
        </c:ser>
        <c:dLbls>
          <c:showLegendKey val="0"/>
          <c:showVal val="0"/>
          <c:showCatName val="0"/>
          <c:showSerName val="0"/>
          <c:showPercent val="0"/>
          <c:showBubbleSize val="0"/>
          <c:showLeaderLines val="1"/>
        </c:dLbls>
        <c:firstSliceAng val="0"/>
        <c:holeSize val="50"/>
      </c:doughnutChart>
    </c:plotArea>
    <c:legend>
      <c:legendPos val="b"/>
      <c:layout>
        <c:manualLayout>
          <c:xMode val="edge"/>
          <c:yMode val="edge"/>
          <c:x val="2.2383077823037199E-2"/>
          <c:y val="0.79844890510948896"/>
        </c:manualLayout>
      </c:layout>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9975429975429901E-2"/>
          <c:y val="0.05"/>
          <c:w val="0.49894023267517201"/>
          <c:h val="0.78"/>
        </c:manualLayout>
      </c:layout>
      <c:pie3DChart>
        <c:varyColors val="1"/>
        <c:ser>
          <c:idx val="0"/>
          <c:order val="0"/>
          <c:dPt>
            <c:idx val="0"/>
            <c:bubble3D val="0"/>
            <c:spPr>
              <a:solidFill>
                <a:srgbClr val="4F81BD"/>
              </a:solidFill>
            </c:spPr>
            <c:extLst>
              <c:ext xmlns:c16="http://schemas.microsoft.com/office/drawing/2014/chart" uri="{C3380CC4-5D6E-409C-BE32-E72D297353CC}">
                <c16:uniqueId val="{00000001-562F-4F48-A409-C459971D34A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Dashboard'!$F$13</c:f>
              <c:strCache>
                <c:ptCount val="1"/>
                <c:pt idx="0">
                  <c:v>Luar Negeri</c:v>
                </c:pt>
              </c:strCache>
            </c:strRef>
          </c:cat>
          <c:val>
            <c:numRef>
              <c:f>'Data Dashboard'!$G$13</c:f>
              <c:numCache>
                <c:formatCode>[$Rp-421]#,##0</c:formatCode>
                <c:ptCount val="1"/>
                <c:pt idx="0">
                  <c:v>0</c:v>
                </c:pt>
              </c:numCache>
            </c:numRef>
          </c:val>
          <c:extLst>
            <c:ext xmlns:c16="http://schemas.microsoft.com/office/drawing/2014/chart" uri="{C3380CC4-5D6E-409C-BE32-E72D297353CC}">
              <c16:uniqueId val="{00000002-562F-4F48-A409-C459971D34A0}"/>
            </c:ext>
          </c:extLst>
        </c:ser>
        <c:dLbls>
          <c:showLegendKey val="0"/>
          <c:showVal val="0"/>
          <c:showCatName val="0"/>
          <c:showSerName val="0"/>
          <c:showPercent val="0"/>
          <c:showBubbleSize val="0"/>
          <c:showLeaderLines val="1"/>
        </c:dLbls>
      </c:pie3DChart>
    </c:plotArea>
    <c:legend>
      <c:legendPos val="r"/>
      <c:layout>
        <c:manualLayout>
          <c:xMode val="edge"/>
          <c:yMode val="edge"/>
          <c:x val="0.47024569810711297"/>
          <c:y val="9.0754189944134103E-2"/>
        </c:manualLayout>
      </c:layout>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32781456953642402"/>
          <c:y val="4.9862637362637401E-2"/>
          <c:w val="0.64048013245033097"/>
          <c:h val="0.765384615384615"/>
        </c:manualLayout>
      </c:layout>
      <c:doughnutChart>
        <c:varyColors val="1"/>
        <c:ser>
          <c:idx val="0"/>
          <c:order val="0"/>
          <c:dPt>
            <c:idx val="0"/>
            <c:bubble3D val="0"/>
            <c:spPr>
              <a:solidFill>
                <a:srgbClr val="4F81BD"/>
              </a:solidFill>
            </c:spPr>
            <c:extLst>
              <c:ext xmlns:c16="http://schemas.microsoft.com/office/drawing/2014/chart" uri="{C3380CC4-5D6E-409C-BE32-E72D297353CC}">
                <c16:uniqueId val="{00000001-B343-433E-B75D-25F27EBC771E}"/>
              </c:ext>
            </c:extLst>
          </c:dPt>
          <c:dPt>
            <c:idx val="1"/>
            <c:bubble3D val="0"/>
            <c:spPr>
              <a:solidFill>
                <a:srgbClr val="C0504D"/>
              </a:solidFill>
            </c:spPr>
            <c:extLst>
              <c:ext xmlns:c16="http://schemas.microsoft.com/office/drawing/2014/chart" uri="{C3380CC4-5D6E-409C-BE32-E72D297353CC}">
                <c16:uniqueId val="{00000003-B343-433E-B75D-25F27EBC771E}"/>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'Data Dashboard'!$F$14:$F$15</c:f>
              <c:strCache>
                <c:ptCount val="2"/>
                <c:pt idx="0">
                  <c:v>In Cash</c:v>
                </c:pt>
                <c:pt idx="1">
                  <c:v>In Kind</c:v>
                </c:pt>
              </c:strCache>
            </c:strRef>
          </c:cat>
          <c:val>
            <c:numRef>
              <c:f>'Data Dashboard'!$G$14:$G$15</c:f>
              <c:numCache>
                <c:formatCode>[$Rp-421]#,##0</c:formatCode>
                <c:ptCount val="2"/>
                <c:pt idx="0">
                  <c:v>0</c:v>
                </c:pt>
                <c:pt idx="1">
                  <c:v>0</c:v>
                </c:pt>
              </c:numCache>
            </c:numRef>
          </c:val>
          <c:extLst>
            <c:ext xmlns:c16="http://schemas.microsoft.com/office/drawing/2014/chart" uri="{C3380CC4-5D6E-409C-BE32-E72D297353CC}">
              <c16:uniqueId val="{00000004-B343-433E-B75D-25F27EBC771E}"/>
            </c:ext>
          </c:extLst>
        </c:ser>
        <c:dLbls>
          <c:showLegendKey val="0"/>
          <c:showVal val="0"/>
          <c:showCatName val="0"/>
          <c:showSerName val="0"/>
          <c:showPercent val="0"/>
          <c:showBubbleSize val="0"/>
          <c:showLeaderLines val="1"/>
        </c:dLbls>
        <c:firstSliceAng val="0"/>
        <c:holeSize val="25"/>
      </c:doughnutChart>
    </c:plotArea>
    <c:legend>
      <c:legendPos val="b"/>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strRef>
              <c:f>'Data Dashboard'!$B$30</c:f>
              <c:strCache>
                <c:ptCount val="1"/>
                <c:pt idx="0">
                  <c:v>Accepted</c:v>
                </c:pt>
              </c:strCache>
            </c:strRef>
          </c:tx>
          <c:spPr>
            <a:solidFill>
              <a:srgbClr val="4F81BD"/>
            </a:solidFill>
            <a:ln cmpd="sng">
              <a:solidFill>
                <a:srgbClr val="000000"/>
              </a:solidFill>
            </a:ln>
          </c:spPr>
          <c:invertIfNegative val="1"/>
          <c:cat>
            <c:numRef>
              <c:f>'Data Dashboard'!$A$31</c:f>
              <c:numCache>
                <c:formatCode>General</c:formatCode>
                <c:ptCount val="1"/>
                <c:pt idx="0">
                  <c:v>0</c:v>
                </c:pt>
              </c:numCache>
            </c:numRef>
          </c:cat>
          <c:val>
            <c:numRef>
              <c:f>'Data Dashboard'!$B$31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039-43A5-B911-FEEB13639636}"/>
            </c:ext>
          </c:extLst>
        </c:ser>
        <c:ser>
          <c:idx val="1"/>
          <c:order val="1"/>
          <c:tx>
            <c:strRef>
              <c:f>'Data Dashboard'!$C$30</c:f>
              <c:strCache>
                <c:ptCount val="1"/>
                <c:pt idx="0">
                  <c:v>Published</c:v>
                </c:pt>
              </c:strCache>
            </c:strRef>
          </c:tx>
          <c:spPr>
            <a:solidFill>
              <a:srgbClr val="C0504D"/>
            </a:solidFill>
            <a:ln cmpd="sng">
              <a:solidFill>
                <a:srgbClr val="000000"/>
              </a:solidFill>
            </a:ln>
          </c:spPr>
          <c:invertIfNegative val="1"/>
          <c:cat>
            <c:numRef>
              <c:f>'Data Dashboard'!$A$31</c:f>
              <c:numCache>
                <c:formatCode>General</c:formatCode>
                <c:ptCount val="1"/>
                <c:pt idx="0">
                  <c:v>0</c:v>
                </c:pt>
              </c:numCache>
            </c:numRef>
          </c:cat>
          <c:val>
            <c:numRef>
              <c:f>'Data Dashboard'!$C$31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039-43A5-B911-FEEB13639636}"/>
            </c:ext>
          </c:extLst>
        </c:ser>
        <c:dLbls>
          <c:showLegendKey val="0"/>
          <c:showVal val="0"/>
          <c:showCatName val="0"/>
          <c:showSerName val="0"/>
          <c:showPercent val="0"/>
          <c:showBubbleSize val="0"/>
        </c:dLbls>
        <c:gapWidth val="150"/>
        <c:overlap val="100"/>
        <c:axId val="414083121"/>
        <c:axId val="1246606713"/>
      </c:barChart>
      <c:catAx>
        <c:axId val="41408312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i="0">
                <a:solidFill>
                  <a:srgbClr val="FFFFFF"/>
                </a:solidFill>
                <a:latin typeface="+mn-lt"/>
              </a:defRPr>
            </a:pPr>
            <a:endParaRPr lang="en-US"/>
          </a:p>
        </c:txPr>
        <c:crossAx val="1246606713"/>
        <c:crosses val="autoZero"/>
        <c:auto val="1"/>
        <c:lblAlgn val="ctr"/>
        <c:lblOffset val="100"/>
        <c:noMultiLvlLbl val="1"/>
      </c:catAx>
      <c:valAx>
        <c:axId val="124660671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spPr>
          <a:ln/>
        </c:spPr>
        <c:txPr>
          <a:bodyPr/>
          <a:lstStyle/>
          <a:p>
            <a:pPr lvl="0">
              <a:defRPr sz="1000" b="0" i="0">
                <a:solidFill>
                  <a:srgbClr val="000000"/>
                </a:solidFill>
                <a:latin typeface="+mn-lt"/>
              </a:defRPr>
            </a:pPr>
            <a:endParaRPr lang="en-US"/>
          </a:p>
        </c:txPr>
        <c:crossAx val="414083121"/>
        <c:crosses val="max"/>
        <c:crossBetween val="between"/>
      </c:valAx>
    </c:plotArea>
    <c:legend>
      <c:legendPos val="t"/>
      <c:layout>
        <c:manualLayout>
          <c:xMode val="edge"/>
          <c:yMode val="edge"/>
          <c:x val="0.30583708389945602"/>
          <c:y val="4.9468085106383002E-2"/>
        </c:manualLayout>
      </c:layout>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spPr>
            <a:solidFill>
              <a:srgbClr val="4F81BD"/>
            </a:solidFill>
            <a:ln cmpd="sng">
              <a:solidFill>
                <a:srgbClr val="000000"/>
              </a:solidFill>
            </a:ln>
          </c:spPr>
          <c:invertIfNegative val="1"/>
          <c:cat>
            <c:numRef>
              <c:f>'Data Dashboard'!$A$32</c:f>
              <c:numCache>
                <c:formatCode>General</c:formatCode>
                <c:ptCount val="1"/>
                <c:pt idx="0">
                  <c:v>0</c:v>
                </c:pt>
              </c:numCache>
            </c:numRef>
          </c:cat>
          <c:val>
            <c:numRef>
              <c:f>'Data Dashboard'!$B$32</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DE2-42A0-8ADE-BA7BCE5BA202}"/>
            </c:ext>
          </c:extLst>
        </c:ser>
        <c:ser>
          <c:idx val="1"/>
          <c:order val="1"/>
          <c:spPr>
            <a:solidFill>
              <a:srgbClr val="C0504D"/>
            </a:solidFill>
            <a:ln cmpd="sng">
              <a:solidFill>
                <a:srgbClr val="000000"/>
              </a:solidFill>
            </a:ln>
          </c:spPr>
          <c:invertIfNegative val="1"/>
          <c:cat>
            <c:numRef>
              <c:f>'Data Dashboard'!$A$32</c:f>
              <c:numCache>
                <c:formatCode>General</c:formatCode>
                <c:ptCount val="1"/>
                <c:pt idx="0">
                  <c:v>0</c:v>
                </c:pt>
              </c:numCache>
            </c:numRef>
          </c:cat>
          <c:val>
            <c:numRef>
              <c:f>'Data Dashboard'!$C$32</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DE2-42A0-8ADE-BA7BCE5BA202}"/>
            </c:ext>
          </c:extLst>
        </c:ser>
        <c:ser>
          <c:idx val="2"/>
          <c:order val="2"/>
          <c:invertIfNegative val="1"/>
          <c:cat>
            <c:numRef>
              <c:f>'Data Dashboard'!$A$32</c:f>
              <c:numCache>
                <c:formatCode>General</c:formatCode>
                <c:ptCount val="1"/>
                <c:pt idx="0">
                  <c:v>0</c:v>
                </c:pt>
              </c:numCache>
            </c:numRef>
          </c:cat>
          <c:val>
            <c:numRef>
              <c:f>'Data Dashboard'!$A$32</c:f>
              <c:numCache>
                <c:formatCode>General</c:formatCode>
                <c:ptCount val="1"/>
                <c:pt idx="0">
                  <c:v>0</c:v>
                </c:pt>
              </c:numCache>
            </c:numRef>
          </c:val>
          <c:extLst>
            <c:ext xmlns:c16="http://schemas.microsoft.com/office/drawing/2014/chart" uri="{C3380CC4-5D6E-409C-BE32-E72D297353CC}">
              <c16:uniqueId val="{00000002-FDE2-42A0-8ADE-BA7BCE5BA202}"/>
            </c:ext>
          </c:extLst>
        </c:ser>
        <c:dLbls>
          <c:showLegendKey val="0"/>
          <c:showVal val="0"/>
          <c:showCatName val="0"/>
          <c:showSerName val="0"/>
          <c:showPercent val="0"/>
          <c:showBubbleSize val="0"/>
        </c:dLbls>
        <c:gapWidth val="150"/>
        <c:overlap val="100"/>
        <c:axId val="1765101841"/>
        <c:axId val="103862471"/>
      </c:barChart>
      <c:catAx>
        <c:axId val="176510184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i="0">
                <a:solidFill>
                  <a:srgbClr val="FFFFFF"/>
                </a:solidFill>
                <a:latin typeface="+mn-lt"/>
              </a:defRPr>
            </a:pPr>
            <a:endParaRPr lang="en-US"/>
          </a:p>
        </c:txPr>
        <c:crossAx val="103862471"/>
        <c:crosses val="autoZero"/>
        <c:auto val="1"/>
        <c:lblAlgn val="ctr"/>
        <c:lblOffset val="100"/>
        <c:noMultiLvlLbl val="1"/>
      </c:catAx>
      <c:valAx>
        <c:axId val="10386247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spPr>
          <a:ln/>
        </c:spPr>
        <c:txPr>
          <a:bodyPr/>
          <a:lstStyle/>
          <a:p>
            <a:pPr lvl="0">
              <a:defRPr sz="1000" b="0" i="0">
                <a:solidFill>
                  <a:srgbClr val="000000"/>
                </a:solidFill>
                <a:latin typeface="+mn-lt"/>
              </a:defRPr>
            </a:pPr>
            <a:endParaRPr lang="en-US"/>
          </a:p>
        </c:txPr>
        <c:crossAx val="1765101841"/>
        <c:crosses val="max"/>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spPr>
            <a:solidFill>
              <a:srgbClr val="4F81BD"/>
            </a:solidFill>
            <a:ln cmpd="sng">
              <a:solidFill>
                <a:srgbClr val="000000"/>
              </a:solidFill>
            </a:ln>
          </c:spPr>
          <c:invertIfNegative val="1"/>
          <c:cat>
            <c:numRef>
              <c:f>'Data Dashboard'!$A$33</c:f>
              <c:numCache>
                <c:formatCode>General</c:formatCode>
                <c:ptCount val="1"/>
                <c:pt idx="0">
                  <c:v>0</c:v>
                </c:pt>
              </c:numCache>
            </c:numRef>
          </c:cat>
          <c:val>
            <c:numRef>
              <c:f>'Data Dashboard'!$B$33</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43A-4042-A90A-EDFB0E489F4B}"/>
            </c:ext>
          </c:extLst>
        </c:ser>
        <c:ser>
          <c:idx val="1"/>
          <c:order val="1"/>
          <c:spPr>
            <a:solidFill>
              <a:srgbClr val="C0504D"/>
            </a:solidFill>
            <a:ln cmpd="sng">
              <a:solidFill>
                <a:srgbClr val="000000"/>
              </a:solidFill>
            </a:ln>
          </c:spPr>
          <c:invertIfNegative val="1"/>
          <c:cat>
            <c:numRef>
              <c:f>'Data Dashboard'!$A$33</c:f>
              <c:numCache>
                <c:formatCode>General</c:formatCode>
                <c:ptCount val="1"/>
                <c:pt idx="0">
                  <c:v>0</c:v>
                </c:pt>
              </c:numCache>
            </c:numRef>
          </c:cat>
          <c:val>
            <c:numRef>
              <c:f>'Data Dashboard'!$C$33</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43A-4042-A90A-EDFB0E489F4B}"/>
            </c:ext>
          </c:extLst>
        </c:ser>
        <c:dLbls>
          <c:showLegendKey val="0"/>
          <c:showVal val="0"/>
          <c:showCatName val="0"/>
          <c:showSerName val="0"/>
          <c:showPercent val="0"/>
          <c:showBubbleSize val="0"/>
        </c:dLbls>
        <c:gapWidth val="150"/>
        <c:overlap val="100"/>
        <c:axId val="355921927"/>
        <c:axId val="955386548"/>
      </c:barChart>
      <c:catAx>
        <c:axId val="355921927"/>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i="0">
                <a:solidFill>
                  <a:srgbClr val="FFFFFF"/>
                </a:solidFill>
                <a:latin typeface="+mn-lt"/>
              </a:defRPr>
            </a:pPr>
            <a:endParaRPr lang="en-US"/>
          </a:p>
        </c:txPr>
        <c:crossAx val="955386548"/>
        <c:crosses val="autoZero"/>
        <c:auto val="1"/>
        <c:lblAlgn val="ctr"/>
        <c:lblOffset val="100"/>
        <c:noMultiLvlLbl val="1"/>
      </c:catAx>
      <c:valAx>
        <c:axId val="9553865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spPr>
          <a:ln/>
        </c:spPr>
        <c:txPr>
          <a:bodyPr/>
          <a:lstStyle/>
          <a:p>
            <a:pPr lvl="0">
              <a:defRPr sz="1000" b="0" i="0">
                <a:solidFill>
                  <a:srgbClr val="000000"/>
                </a:solidFill>
                <a:latin typeface="+mn-lt"/>
              </a:defRPr>
            </a:pPr>
            <a:endParaRPr lang="en-US"/>
          </a:p>
        </c:txPr>
        <c:crossAx val="355921927"/>
        <c:crosses val="max"/>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spPr>
            <a:solidFill>
              <a:srgbClr val="4F81BD"/>
            </a:solidFill>
            <a:ln cmpd="sng">
              <a:solidFill>
                <a:srgbClr val="000000"/>
              </a:solidFill>
            </a:ln>
          </c:spPr>
          <c:invertIfNegative val="1"/>
          <c:cat>
            <c:numRef>
              <c:f>'Data Dashboard'!$A$34</c:f>
              <c:numCache>
                <c:formatCode>General</c:formatCode>
                <c:ptCount val="1"/>
                <c:pt idx="0">
                  <c:v>0</c:v>
                </c:pt>
              </c:numCache>
            </c:numRef>
          </c:cat>
          <c:val>
            <c:numRef>
              <c:f>'Data Dashboard'!$B$34</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782-4DDC-8C19-46764A2C718D}"/>
            </c:ext>
          </c:extLst>
        </c:ser>
        <c:ser>
          <c:idx val="1"/>
          <c:order val="1"/>
          <c:spPr>
            <a:solidFill>
              <a:srgbClr val="C0504D"/>
            </a:solidFill>
            <a:ln cmpd="sng">
              <a:solidFill>
                <a:srgbClr val="000000"/>
              </a:solidFill>
            </a:ln>
          </c:spPr>
          <c:invertIfNegative val="1"/>
          <c:cat>
            <c:numRef>
              <c:f>'Data Dashboard'!$A$34</c:f>
              <c:numCache>
                <c:formatCode>General</c:formatCode>
                <c:ptCount val="1"/>
                <c:pt idx="0">
                  <c:v>0</c:v>
                </c:pt>
              </c:numCache>
            </c:numRef>
          </c:cat>
          <c:val>
            <c:numRef>
              <c:f>'Data Dashboard'!$C$34</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782-4DDC-8C19-46764A2C718D}"/>
            </c:ext>
          </c:extLst>
        </c:ser>
        <c:dLbls>
          <c:showLegendKey val="0"/>
          <c:showVal val="0"/>
          <c:showCatName val="0"/>
          <c:showSerName val="0"/>
          <c:showPercent val="0"/>
          <c:showBubbleSize val="0"/>
        </c:dLbls>
        <c:gapWidth val="150"/>
        <c:overlap val="100"/>
        <c:axId val="878476607"/>
        <c:axId val="1255868112"/>
      </c:barChart>
      <c:catAx>
        <c:axId val="878476607"/>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i="0">
                <a:solidFill>
                  <a:srgbClr val="FFFFFF"/>
                </a:solidFill>
                <a:latin typeface="+mn-lt"/>
              </a:defRPr>
            </a:pPr>
            <a:endParaRPr lang="en-US"/>
          </a:p>
        </c:txPr>
        <c:crossAx val="1255868112"/>
        <c:crosses val="autoZero"/>
        <c:auto val="1"/>
        <c:lblAlgn val="ctr"/>
        <c:lblOffset val="100"/>
        <c:noMultiLvlLbl val="1"/>
      </c:catAx>
      <c:valAx>
        <c:axId val="12558681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spPr>
          <a:ln/>
        </c:spPr>
        <c:txPr>
          <a:bodyPr/>
          <a:lstStyle/>
          <a:p>
            <a:pPr lvl="0">
              <a:defRPr sz="1000" b="0" i="0">
                <a:solidFill>
                  <a:srgbClr val="000000"/>
                </a:solidFill>
                <a:latin typeface="+mn-lt"/>
              </a:defRPr>
            </a:pPr>
            <a:endParaRPr lang="en-US"/>
          </a:p>
        </c:txPr>
        <c:crossAx val="878476607"/>
        <c:crosses val="max"/>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invertIfNegative val="1"/>
          <c:cat>
            <c:strRef>
              <c:f>'Data Dashboard'!$A$57:$A$63</c:f>
              <c:strCache>
                <c:ptCount val="7"/>
                <c:pt idx="0">
                  <c:v>PNBP</c:v>
                </c:pt>
                <c:pt idx="1">
                  <c:v>HIBAH</c:v>
                </c:pt>
                <c:pt idx="2">
                  <c:v>MITRA/UNIVERSITAS</c:v>
                </c:pt>
                <c:pt idx="3">
                  <c:v>POSTDOC</c:v>
                </c:pt>
                <c:pt idx="4">
                  <c:v>VISITING RESEARCH</c:v>
                </c:pt>
                <c:pt idx="5">
                  <c:v>RIIM</c:v>
                </c:pt>
                <c:pt idx="6">
                  <c:v>LISENSI</c:v>
                </c:pt>
              </c:strCache>
            </c:strRef>
          </c:cat>
          <c:val>
            <c:numRef>
              <c:f>'Data Dashboard'!$B$57:$B$63</c:f>
              <c:numCache>
                <c:formatCode>[$Rp-421]#,##0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5B66-4A09-B654-CDDE7162801D}"/>
            </c:ext>
          </c:extLst>
        </c:ser>
        <c:dLbls>
          <c:showLegendKey val="0"/>
          <c:showVal val="0"/>
          <c:showCatName val="0"/>
          <c:showSerName val="0"/>
          <c:showPercent val="0"/>
          <c:showBubbleSize val="0"/>
        </c:dLbls>
        <c:gapWidth val="150"/>
        <c:axId val="2030801732"/>
        <c:axId val="49399317"/>
      </c:barChart>
      <c:catAx>
        <c:axId val="203080173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1000" b="1" i="0">
                <a:solidFill>
                  <a:srgbClr val="C0C0C0"/>
                </a:solidFill>
                <a:latin typeface="+mn-lt"/>
              </a:defRPr>
            </a:pPr>
            <a:endParaRPr lang="en-US"/>
          </a:p>
        </c:txPr>
        <c:crossAx val="49399317"/>
        <c:crosses val="autoZero"/>
        <c:auto val="1"/>
        <c:lblAlgn val="ctr"/>
        <c:lblOffset val="100"/>
        <c:noMultiLvlLbl val="1"/>
      </c:catAx>
      <c:valAx>
        <c:axId val="49399317"/>
        <c:scaling>
          <c:orientation val="minMax"/>
        </c:scaling>
        <c:delete val="0"/>
        <c:axPos val="l"/>
        <c:numFmt formatCode="[$Rp-421]#,##0" sourceLinked="1"/>
        <c:majorTickMark val="cross"/>
        <c:minorTickMark val="cross"/>
        <c:tickLblPos val="nextTo"/>
        <c:spPr>
          <a:ln>
            <a:noFill/>
          </a:ln>
        </c:spPr>
        <c:crossAx val="2030801732"/>
        <c:crosses val="autoZero"/>
        <c:crossBetween val="between"/>
      </c:valAx>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C56A-46CE-8732-960E67AA614B}"/>
              </c:ext>
            </c:extLst>
          </c:dPt>
          <c:dPt>
            <c:idx val="1"/>
            <c:bubble3D val="0"/>
            <c:spPr>
              <a:solidFill>
                <a:srgbClr val="C0504D"/>
              </a:solidFill>
            </c:spPr>
            <c:extLst>
              <c:ext xmlns:c16="http://schemas.microsoft.com/office/drawing/2014/chart" uri="{C3380CC4-5D6E-409C-BE32-E72D297353CC}">
                <c16:uniqueId val="{00000003-C56A-46CE-8732-960E67AA614B}"/>
              </c:ext>
            </c:extLst>
          </c:dPt>
          <c:dPt>
            <c:idx val="2"/>
            <c:bubble3D val="0"/>
            <c:extLst>
              <c:ext xmlns:c16="http://schemas.microsoft.com/office/drawing/2014/chart" uri="{C3380CC4-5D6E-409C-BE32-E72D297353CC}">
                <c16:uniqueId val="{00000004-C56A-46CE-8732-960E67AA614B}"/>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Dashboard'!$C$13:$C$15</c:f>
              <c:strCache>
                <c:ptCount val="3"/>
                <c:pt idx="0">
                  <c:v>Real PR</c:v>
                </c:pt>
                <c:pt idx="1">
                  <c:v>92,92%</c:v>
                </c:pt>
                <c:pt idx="2">
                  <c:v>7,08%</c:v>
                </c:pt>
              </c:strCache>
            </c:strRef>
          </c:cat>
          <c:val>
            <c:numRef>
              <c:f>'Data Dashboard'!$C$13:$C$15</c:f>
              <c:numCache>
                <c:formatCode>0.00%</c:formatCode>
                <c:ptCount val="3"/>
                <c:pt idx="0" formatCode="General">
                  <c:v>0</c:v>
                </c:pt>
                <c:pt idx="1">
                  <c:v>0.92922297977513202</c:v>
                </c:pt>
                <c:pt idx="2">
                  <c:v>7.0777020224867981E-2</c:v>
                </c:pt>
              </c:numCache>
            </c:numRef>
          </c:val>
          <c:extLst>
            <c:ext xmlns:c16="http://schemas.microsoft.com/office/drawing/2014/chart" uri="{C3380CC4-5D6E-409C-BE32-E72D297353CC}">
              <c16:uniqueId val="{00000005-C56A-46CE-8732-960E67AA614B}"/>
            </c:ext>
          </c:extLst>
        </c:ser>
        <c:dLbls>
          <c:showLegendKey val="0"/>
          <c:showVal val="0"/>
          <c:showCatName val="0"/>
          <c:showSerName val="0"/>
          <c:showPercent val="0"/>
          <c:showBubbleSize val="0"/>
          <c:showLeaderLines val="1"/>
        </c:dLbls>
      </c:pie3DChart>
    </c:plotArea>
    <c:legend>
      <c:legendPos val="r"/>
      <c:overlay val="0"/>
      <c:txPr>
        <a:bodyPr/>
        <a:lstStyle/>
        <a:p>
          <a:pPr lvl="0">
            <a:defRPr sz="1000" b="0" i="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FFFFFF"/>
                </a:solidFill>
                <a:latin typeface="Courier New"/>
              </a:defRPr>
            </a:pPr>
            <a:r>
              <a:rPr sz="1600" b="1" i="0">
                <a:solidFill>
                  <a:srgbClr val="FFFFFF"/>
                </a:solidFill>
                <a:latin typeface="Courier New"/>
              </a:rPr>
              <a:t>Target dan Capaian Utama</a:t>
            </a:r>
          </a:p>
        </c:rich>
      </c:tx>
      <c:overlay val="0"/>
    </c:title>
    <c:autoTitleDeleted val="0"/>
    <c:view3D>
      <c:rotX val="15"/>
      <c:rotY val="20"/>
      <c:depthPercent val="100"/>
      <c:rAngAx val="1"/>
    </c:view3D>
    <c:floor>
      <c:thickness val="0"/>
    </c:floor>
    <c:sideWall>
      <c:thickness val="0"/>
    </c:sideWall>
    <c:backWall>
      <c:thickness val="0"/>
    </c:backWall>
    <c:plotArea>
      <c:layout>
        <c:manualLayout>
          <c:xMode val="edge"/>
          <c:yMode val="edge"/>
          <c:x val="9.8214285714285695E-3"/>
          <c:y val="0.15896358543417399"/>
          <c:w val="0.96892857142857103"/>
          <c:h val="0.65826330532212896"/>
        </c:manualLayout>
      </c:layout>
      <c:bar3DChart>
        <c:barDir val="col"/>
        <c:grouping val="clustered"/>
        <c:varyColors val="1"/>
        <c:ser>
          <c:idx val="0"/>
          <c:order val="0"/>
          <c:tx>
            <c:strRef>
              <c:f>'Data Dashboard'!$B$3</c:f>
              <c:strCache>
                <c:ptCount val="1"/>
                <c:pt idx="0">
                  <c:v>Target Capain</c:v>
                </c:pt>
              </c:strCache>
            </c:strRef>
          </c:tx>
          <c:spPr>
            <a:solidFill>
              <a:srgbClr val="4F81BD"/>
            </a:solidFill>
            <a:ln cmpd="sng">
              <a:solidFill>
                <a:srgbClr val="000000"/>
              </a:solidFill>
            </a:ln>
          </c:spPr>
          <c:invertIfNegative val="1"/>
          <c:dPt>
            <c:idx val="0"/>
            <c:invertIfNegative val="1"/>
            <c:bubble3D val="0"/>
            <c:spPr>
              <a:solidFill>
                <a:srgbClr val="FF0000"/>
              </a:solidFill>
              <a:ln cmpd="sng">
                <a:solidFill>
                  <a:srgbClr val="000000"/>
                </a:solidFill>
              </a:ln>
            </c:spPr>
            <c:extLst>
              <c:ext xmlns:c16="http://schemas.microsoft.com/office/drawing/2014/chart" uri="{C3380CC4-5D6E-409C-BE32-E72D297353CC}">
                <c16:uniqueId val="{00000001-FD14-4D75-991F-42AB1510F48D}"/>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cat>
            <c:strRef>
              <c:f>'Data Dashboard'!$A$4:$A$11</c:f>
              <c:strCache>
                <c:ptCount val="8"/>
                <c:pt idx="0">
                  <c:v>Purwarupa</c:v>
                </c:pt>
                <c:pt idx="1">
                  <c:v>Kekayaan Intelektual</c:v>
                </c:pt>
                <c:pt idx="2">
                  <c:v>Publikasi Internasional</c:v>
                </c:pt>
                <c:pt idx="3">
                  <c:v>SDM Iptek</c:v>
                </c:pt>
                <c:pt idx="4">
                  <c:v>Postdoc/VR</c:v>
                </c:pt>
                <c:pt idx="5">
                  <c:v>Kerjasama LN</c:v>
                </c:pt>
                <c:pt idx="6">
                  <c:v>Kerjasama DN</c:v>
                </c:pt>
                <c:pt idx="7">
                  <c:v>Talenta Riset</c:v>
                </c:pt>
              </c:strCache>
            </c:strRef>
          </c:cat>
          <c:val>
            <c:numRef>
              <c:f>'Data Dashboard'!$B$4:$B$11</c:f>
              <c:numCache>
                <c:formatCode>General</c:formatCode>
                <c:ptCount val="8"/>
                <c:pt idx="0" formatCode="#,##0">
                  <c:v>2</c:v>
                </c:pt>
                <c:pt idx="1">
                  <c:v>30</c:v>
                </c:pt>
                <c:pt idx="2">
                  <c:v>75</c:v>
                </c:pt>
                <c:pt idx="3">
                  <c:v>10</c:v>
                </c:pt>
                <c:pt idx="4">
                  <c:v>5</c:v>
                </c:pt>
                <c:pt idx="5">
                  <c:v>5</c:v>
                </c:pt>
                <c:pt idx="6">
                  <c:v>15</c:v>
                </c:pt>
                <c:pt idx="7">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D14-4D75-991F-42AB1510F48D}"/>
            </c:ext>
          </c:extLst>
        </c:ser>
        <c:ser>
          <c:idx val="1"/>
          <c:order val="1"/>
          <c:tx>
            <c:strRef>
              <c:f>'Data Dashboard'!$C$3</c:f>
              <c:strCache>
                <c:ptCount val="1"/>
                <c:pt idx="0">
                  <c:v>Jumlah Capaian</c:v>
                </c:pt>
              </c:strCache>
            </c:strRef>
          </c:tx>
          <c:spPr>
            <a:solidFill>
              <a:srgbClr val="C0504D"/>
            </a:solidFill>
            <a:ln cmpd="sng">
              <a:solidFill>
                <a:srgbClr val="000000"/>
              </a:solidFill>
            </a:ln>
          </c:spPr>
          <c:invertIfNegative val="1"/>
          <c:dPt>
            <c:idx val="0"/>
            <c:invertIfNegative val="1"/>
            <c:bubble3D val="0"/>
            <c:spPr>
              <a:solidFill>
                <a:srgbClr val="FFD966"/>
              </a:solidFill>
              <a:ln cmpd="sng">
                <a:solidFill>
                  <a:srgbClr val="000000"/>
                </a:solidFill>
              </a:ln>
            </c:spPr>
            <c:extLst>
              <c:ext xmlns:c16="http://schemas.microsoft.com/office/drawing/2014/chart" uri="{C3380CC4-5D6E-409C-BE32-E72D297353CC}">
                <c16:uniqueId val="{00000004-FD14-4D75-991F-42AB1510F48D}"/>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cat>
            <c:strRef>
              <c:f>'Data Dashboard'!$A$4:$A$11</c:f>
              <c:strCache>
                <c:ptCount val="8"/>
                <c:pt idx="0">
                  <c:v>Purwarupa</c:v>
                </c:pt>
                <c:pt idx="1">
                  <c:v>Kekayaan Intelektual</c:v>
                </c:pt>
                <c:pt idx="2">
                  <c:v>Publikasi Internasional</c:v>
                </c:pt>
                <c:pt idx="3">
                  <c:v>SDM Iptek</c:v>
                </c:pt>
                <c:pt idx="4">
                  <c:v>Postdoc/VR</c:v>
                </c:pt>
                <c:pt idx="5">
                  <c:v>Kerjasama LN</c:v>
                </c:pt>
                <c:pt idx="6">
                  <c:v>Kerjasama DN</c:v>
                </c:pt>
                <c:pt idx="7">
                  <c:v>Talenta Riset</c:v>
                </c:pt>
              </c:strCache>
            </c:strRef>
          </c:cat>
          <c:val>
            <c:numRef>
              <c:f>'Data Dashboard'!$C$4:$C$11</c:f>
              <c:numCache>
                <c:formatCode>@</c:formatCode>
                <c:ptCount val="8"/>
                <c:pt idx="0" formatCode="General">
                  <c:v>3</c:v>
                </c:pt>
                <c:pt idx="1">
                  <c:v>37</c:v>
                </c:pt>
                <c:pt idx="2" formatCode="General">
                  <c:v>67</c:v>
                </c:pt>
                <c:pt idx="3" formatCode="General">
                  <c:v>5</c:v>
                </c:pt>
                <c:pt idx="4" formatCode="General">
                  <c:v>8</c:v>
                </c:pt>
                <c:pt idx="5" formatCode="General">
                  <c:v>7</c:v>
                </c:pt>
                <c:pt idx="6" formatCode="General">
                  <c:v>25</c:v>
                </c:pt>
                <c:pt idx="7" formatCode="General">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FD14-4D75-991F-42AB1510F48D}"/>
            </c:ext>
          </c:extLst>
        </c:ser>
        <c:dLbls>
          <c:showLegendKey val="0"/>
          <c:showVal val="0"/>
          <c:showCatName val="0"/>
          <c:showSerName val="0"/>
          <c:showPercent val="0"/>
          <c:showBubbleSize val="0"/>
        </c:dLbls>
        <c:gapWidth val="150"/>
        <c:shape val="box"/>
        <c:axId val="327018449"/>
        <c:axId val="1688014494"/>
        <c:axId val="0"/>
      </c:bar3DChart>
      <c:catAx>
        <c:axId val="32701844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sz="1000" b="0" i="0">
                <a:solidFill>
                  <a:srgbClr val="00FFFF"/>
                </a:solidFill>
                <a:latin typeface="serif"/>
              </a:defRPr>
            </a:pPr>
            <a:endParaRPr lang="en-US"/>
          </a:p>
        </c:txPr>
        <c:crossAx val="1688014494"/>
        <c:crosses val="autoZero"/>
        <c:auto val="1"/>
        <c:lblAlgn val="ctr"/>
        <c:lblOffset val="100"/>
        <c:noMultiLvlLbl val="1"/>
      </c:catAx>
      <c:valAx>
        <c:axId val="1688014494"/>
        <c:scaling>
          <c:orientation val="minMax"/>
        </c:scaling>
        <c:delete val="0"/>
        <c:axPos val="l"/>
        <c:title>
          <c:tx>
            <c:rich>
              <a:bodyPr/>
              <a:lstStyle/>
              <a:p>
                <a:pPr lvl="0">
                  <a:defRPr b="0">
                    <a:solidFill>
                      <a:srgbClr val="000000"/>
                    </a:solidFill>
                    <a:latin typeface="+mn-lt"/>
                  </a:defRPr>
                </a:pPr>
                <a:endParaRPr/>
              </a:p>
            </c:rich>
          </c:tx>
          <c:overlay val="0"/>
        </c:title>
        <c:numFmt formatCode="#,##0" sourceLinked="1"/>
        <c:majorTickMark val="out"/>
        <c:minorTickMark val="none"/>
        <c:tickLblPos val="nextTo"/>
        <c:spPr>
          <a:ln/>
        </c:spPr>
        <c:txPr>
          <a:bodyPr/>
          <a:lstStyle/>
          <a:p>
            <a:pPr lvl="0">
              <a:defRPr sz="1000" b="0" i="0">
                <a:solidFill>
                  <a:srgbClr val="000000"/>
                </a:solidFill>
                <a:latin typeface="+mn-lt"/>
              </a:defRPr>
            </a:pPr>
            <a:endParaRPr lang="en-US"/>
          </a:p>
        </c:txPr>
        <c:crossAx val="327018449"/>
        <c:crosses val="autoZero"/>
        <c:crossBetween val="between"/>
      </c:valAx>
    </c:plotArea>
    <c:plotVisOnly val="1"/>
    <c:dispBlanksAs val="zero"/>
    <c:showDLblsOverMax val="1"/>
  </c:chart>
  <c:spPr>
    <a:solidFill>
      <a:srgbClr val="20124D"/>
    </a:solidFill>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FFFFFF"/>
                </a:solidFill>
                <a:latin typeface="+mn-lt"/>
              </a:defRPr>
            </a:pPr>
            <a:r>
              <a:rPr sz="1200" b="0" i="0">
                <a:solidFill>
                  <a:srgbClr val="FFFFFF"/>
                </a:solidFill>
                <a:latin typeface="+mn-lt"/>
              </a:rPr>
              <a:t>Percentase Capaian PR</a:t>
            </a:r>
          </a:p>
        </c:rich>
      </c:tx>
      <c:layout>
        <c:manualLayout>
          <c:xMode val="edge"/>
          <c:yMode val="edge"/>
          <c:x val="4.2589973283042599E-2"/>
          <c:y val="3.2079646017699102E-2"/>
        </c:manualLayout>
      </c:layout>
      <c:overlay val="0"/>
    </c:title>
    <c:autoTitleDeleted val="0"/>
    <c:plotArea>
      <c:layout/>
      <c:doughnutChart>
        <c:varyColors val="1"/>
        <c:ser>
          <c:idx val="0"/>
          <c:order val="0"/>
          <c:dPt>
            <c:idx val="0"/>
            <c:bubble3D val="0"/>
            <c:spPr>
              <a:solidFill>
                <a:srgbClr val="4F81BD"/>
              </a:solidFill>
            </c:spPr>
            <c:extLst>
              <c:ext xmlns:c16="http://schemas.microsoft.com/office/drawing/2014/chart" uri="{C3380CC4-5D6E-409C-BE32-E72D297353CC}">
                <c16:uniqueId val="{00000001-243A-4955-A299-499250236E37}"/>
              </c:ext>
            </c:extLst>
          </c:dPt>
          <c:dPt>
            <c:idx val="1"/>
            <c:bubble3D val="0"/>
            <c:spPr>
              <a:solidFill>
                <a:srgbClr val="C0504D"/>
              </a:solidFill>
            </c:spPr>
            <c:extLst>
              <c:ext xmlns:c16="http://schemas.microsoft.com/office/drawing/2014/chart" uri="{C3380CC4-5D6E-409C-BE32-E72D297353CC}">
                <c16:uniqueId val="{00000003-243A-4955-A299-499250236E37}"/>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'Data Dashboard'!$A$14:$A$15</c:f>
              <c:strCache>
                <c:ptCount val="2"/>
                <c:pt idx="0">
                  <c:v>Capaian PR</c:v>
                </c:pt>
                <c:pt idx="1">
                  <c:v>Target PR</c:v>
                </c:pt>
              </c:strCache>
            </c:strRef>
          </c:cat>
          <c:val>
            <c:numRef>
              <c:f>'Data Dashboard'!$B$14:$B$15</c:f>
              <c:numCache>
                <c:formatCode>0.00%</c:formatCode>
                <c:ptCount val="2"/>
                <c:pt idx="0">
                  <c:v>0</c:v>
                </c:pt>
                <c:pt idx="1">
                  <c:v>1</c:v>
                </c:pt>
              </c:numCache>
            </c:numRef>
          </c:val>
          <c:extLst>
            <c:ext xmlns:c16="http://schemas.microsoft.com/office/drawing/2014/chart" uri="{C3380CC4-5D6E-409C-BE32-E72D297353CC}">
              <c16:uniqueId val="{00000004-243A-4955-A299-499250236E37}"/>
            </c:ext>
          </c:extLst>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sz="1000" b="0" i="0">
              <a:solidFill>
                <a:srgbClr val="FFFFFF"/>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D639-458C-8BDD-4CEE43320B3C}"/>
              </c:ext>
            </c:extLst>
          </c:dPt>
          <c:dPt>
            <c:idx val="1"/>
            <c:bubble3D val="0"/>
            <c:spPr>
              <a:solidFill>
                <a:srgbClr val="C0504D"/>
              </a:solidFill>
            </c:spPr>
            <c:extLst>
              <c:ext xmlns:c16="http://schemas.microsoft.com/office/drawing/2014/chart" uri="{C3380CC4-5D6E-409C-BE32-E72D297353CC}">
                <c16:uniqueId val="{00000003-D639-458C-8BDD-4CEE43320B3C}"/>
              </c:ext>
            </c:extLst>
          </c:dPt>
          <c:dPt>
            <c:idx val="2"/>
            <c:bubble3D val="0"/>
            <c:extLst>
              <c:ext xmlns:c16="http://schemas.microsoft.com/office/drawing/2014/chart" uri="{C3380CC4-5D6E-409C-BE32-E72D297353CC}">
                <c16:uniqueId val="{00000004-D639-458C-8BDD-4CEE43320B3C}"/>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Dashboard'!$C$13:$C$15</c:f>
              <c:strCache>
                <c:ptCount val="3"/>
                <c:pt idx="0">
                  <c:v>Real PR</c:v>
                </c:pt>
                <c:pt idx="1">
                  <c:v>92,92%</c:v>
                </c:pt>
                <c:pt idx="2">
                  <c:v>7,08%</c:v>
                </c:pt>
              </c:strCache>
            </c:strRef>
          </c:cat>
          <c:val>
            <c:numRef>
              <c:f>'Data Dashboard'!$C$13:$C$15</c:f>
              <c:numCache>
                <c:formatCode>0.00%</c:formatCode>
                <c:ptCount val="3"/>
                <c:pt idx="0" formatCode="General">
                  <c:v>0</c:v>
                </c:pt>
                <c:pt idx="1">
                  <c:v>0.92922297977513202</c:v>
                </c:pt>
                <c:pt idx="2">
                  <c:v>7.0777020224867981E-2</c:v>
                </c:pt>
              </c:numCache>
            </c:numRef>
          </c:val>
          <c:extLst>
            <c:ext xmlns:c16="http://schemas.microsoft.com/office/drawing/2014/chart" uri="{C3380CC4-5D6E-409C-BE32-E72D297353CC}">
              <c16:uniqueId val="{00000005-D639-458C-8BDD-4CEE43320B3C}"/>
            </c:ext>
          </c:extLst>
        </c:ser>
        <c:dLbls>
          <c:showLegendKey val="0"/>
          <c:showVal val="0"/>
          <c:showCatName val="0"/>
          <c:showSerName val="0"/>
          <c:showPercent val="0"/>
          <c:showBubbleSize val="0"/>
          <c:showLeaderLines val="1"/>
        </c:dLbls>
      </c:pie3DChart>
    </c:plotArea>
    <c:legend>
      <c:legendPos val="r"/>
      <c:overlay val="0"/>
      <c:txPr>
        <a:bodyPr/>
        <a:lstStyle/>
        <a:p>
          <a:pPr lvl="0">
            <a:defRPr sz="1000" b="0" i="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8.png"/><Relationship Id="rId18" Type="http://schemas.openxmlformats.org/officeDocument/2006/relationships/image" Target="../media/image13.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5.xml"/><Relationship Id="rId17" Type="http://schemas.openxmlformats.org/officeDocument/2006/relationships/image" Target="../media/image12.png"/><Relationship Id="rId2" Type="http://schemas.openxmlformats.org/officeDocument/2006/relationships/image" Target="../media/image1.png"/><Relationship Id="rId16" Type="http://schemas.openxmlformats.org/officeDocument/2006/relationships/image" Target="../media/image11.jp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image" Target="../media/image10.png"/><Relationship Id="rId10" Type="http://schemas.openxmlformats.org/officeDocument/2006/relationships/chart" Target="../charts/chart3.xml"/><Relationship Id="rId19" Type="http://schemas.openxmlformats.org/officeDocument/2006/relationships/image" Target="../media/image14.png"/><Relationship Id="rId4" Type="http://schemas.openxmlformats.org/officeDocument/2006/relationships/image" Target="../media/image3.png"/><Relationship Id="rId9" Type="http://schemas.openxmlformats.org/officeDocument/2006/relationships/chart" Target="../charts/chart2.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18" Type="http://schemas.openxmlformats.org/officeDocument/2006/relationships/image" Target="../media/image16.png"/><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20" Type="http://schemas.openxmlformats.org/officeDocument/2006/relationships/image" Target="../media/image18.png"/><Relationship Id="rId1" Type="http://schemas.openxmlformats.org/officeDocument/2006/relationships/image" Target="../media/image15.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19" Type="http://schemas.openxmlformats.org/officeDocument/2006/relationships/image" Target="../media/image17.png"/><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oneCellAnchor>
    <xdr:from>
      <xdr:col>2</xdr:col>
      <xdr:colOff>381000</xdr:colOff>
      <xdr:row>5</xdr:row>
      <xdr:rowOff>47625</xdr:rowOff>
    </xdr:from>
    <xdr:ext cx="6581775" cy="2876550"/>
    <xdr:graphicFrame macro="">
      <xdr:nvGraphicFramePr>
        <xdr:cNvPr id="2" name="Chart 1" titl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123825</xdr:colOff>
      <xdr:row>40</xdr:row>
      <xdr:rowOff>180975</xdr:rowOff>
    </xdr:from>
    <xdr:ext cx="2286000" cy="1866900"/>
    <xdr:pic>
      <xdr:nvPicPr>
        <xdr:cNvPr id="322874019" name="Chart2" title="Chart">
          <a:extLst>
            <a:ext uri="{FF2B5EF4-FFF2-40B4-BE49-F238E27FC236}">
              <a16:creationId xmlns:a16="http://schemas.microsoft.com/office/drawing/2014/main" id="{00000000-0008-0000-0B00-0000A3AA3E13}"/>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781050</xdr:colOff>
      <xdr:row>24</xdr:row>
      <xdr:rowOff>142875</xdr:rowOff>
    </xdr:from>
    <xdr:ext cx="3028950" cy="2990850"/>
    <xdr:pic>
      <xdr:nvPicPr>
        <xdr:cNvPr id="575213354" name="Chart3" title="Chart">
          <a:extLst>
            <a:ext uri="{FF2B5EF4-FFF2-40B4-BE49-F238E27FC236}">
              <a16:creationId xmlns:a16="http://schemas.microsoft.com/office/drawing/2014/main" id="{00000000-0008-0000-0B00-00002A0F492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933450</xdr:colOff>
      <xdr:row>25</xdr:row>
      <xdr:rowOff>47625</xdr:rowOff>
    </xdr:from>
    <xdr:ext cx="3238500" cy="2990850"/>
    <xdr:pic>
      <xdr:nvPicPr>
        <xdr:cNvPr id="199038880" name="Chart4" title="Chart">
          <a:extLst>
            <a:ext uri="{FF2B5EF4-FFF2-40B4-BE49-F238E27FC236}">
              <a16:creationId xmlns:a16="http://schemas.microsoft.com/office/drawing/2014/main" id="{00000000-0008-0000-0B00-0000A017DD0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10</xdr:col>
      <xdr:colOff>295275</xdr:colOff>
      <xdr:row>33</xdr:row>
      <xdr:rowOff>38100</xdr:rowOff>
    </xdr:from>
    <xdr:ext cx="3400425" cy="476250"/>
    <xdr:pic>
      <xdr:nvPicPr>
        <xdr:cNvPr id="1283075741" name="Chart5" title="Chart">
          <a:extLst>
            <a:ext uri="{FF2B5EF4-FFF2-40B4-BE49-F238E27FC236}">
              <a16:creationId xmlns:a16="http://schemas.microsoft.com/office/drawing/2014/main" id="{00000000-0008-0000-0B00-00009D2E7A4C}"/>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295275</xdr:colOff>
      <xdr:row>31</xdr:row>
      <xdr:rowOff>114300</xdr:rowOff>
    </xdr:from>
    <xdr:ext cx="2152650" cy="476250"/>
    <xdr:pic>
      <xdr:nvPicPr>
        <xdr:cNvPr id="2060417682" name="Chart6" title="Chart">
          <a:extLst>
            <a:ext uri="{FF2B5EF4-FFF2-40B4-BE49-F238E27FC236}">
              <a16:creationId xmlns:a16="http://schemas.microsoft.com/office/drawing/2014/main" id="{00000000-0008-0000-0B00-0000927ACF7A}"/>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10</xdr:col>
      <xdr:colOff>295275</xdr:colOff>
      <xdr:row>29</xdr:row>
      <xdr:rowOff>28575</xdr:rowOff>
    </xdr:from>
    <xdr:ext cx="2914650" cy="476250"/>
    <xdr:pic>
      <xdr:nvPicPr>
        <xdr:cNvPr id="10142565" name="Chart7" title="Chart">
          <a:extLst>
            <a:ext uri="{FF2B5EF4-FFF2-40B4-BE49-F238E27FC236}">
              <a16:creationId xmlns:a16="http://schemas.microsoft.com/office/drawing/2014/main" id="{00000000-0008-0000-0B00-000065C39A00}"/>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10</xdr:col>
      <xdr:colOff>295275</xdr:colOff>
      <xdr:row>26</xdr:row>
      <xdr:rowOff>28575</xdr:rowOff>
    </xdr:from>
    <xdr:ext cx="2914650" cy="590550"/>
    <xdr:pic>
      <xdr:nvPicPr>
        <xdr:cNvPr id="237950337" name="Chart8" title="Chart">
          <a:extLst>
            <a:ext uri="{FF2B5EF4-FFF2-40B4-BE49-F238E27FC236}">
              <a16:creationId xmlns:a16="http://schemas.microsoft.com/office/drawing/2014/main" id="{00000000-0008-0000-0B00-000081D52E0E}"/>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8</xdr:col>
      <xdr:colOff>742950</xdr:colOff>
      <xdr:row>5</xdr:row>
      <xdr:rowOff>38100</xdr:rowOff>
    </xdr:from>
    <xdr:ext cx="1571625" cy="2676525"/>
    <xdr:graphicFrame macro="">
      <xdr:nvGraphicFramePr>
        <xdr:cNvPr id="9" name="Chart 9" title="Chart">
          <a:extLst>
            <a:ext uri="{FF2B5EF4-FFF2-40B4-BE49-F238E27FC236}">
              <a16:creationId xmlns:a16="http://schemas.microsoft.com/office/drawing/2014/main" id="{00000000-0008-0000-0B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10</xdr:col>
      <xdr:colOff>19050</xdr:colOff>
      <xdr:row>7</xdr:row>
      <xdr:rowOff>142875</xdr:rowOff>
    </xdr:from>
    <xdr:ext cx="2447925" cy="2143125"/>
    <xdr:graphicFrame macro="">
      <xdr:nvGraphicFramePr>
        <xdr:cNvPr id="10" name="Chart 10" title="Chart">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9</xdr:col>
      <xdr:colOff>952500</xdr:colOff>
      <xdr:row>10</xdr:row>
      <xdr:rowOff>104775</xdr:rowOff>
    </xdr:from>
    <xdr:ext cx="2495550" cy="1066800"/>
    <xdr:graphicFrame macro="">
      <xdr:nvGraphicFramePr>
        <xdr:cNvPr id="11" name="Chart 11" title="Chart">
          <a:extLst>
            <a:ext uri="{FF2B5EF4-FFF2-40B4-BE49-F238E27FC236}">
              <a16:creationId xmlns:a16="http://schemas.microsoft.com/office/drawing/2014/main" id="{00000000-0008-0000-0B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11</xdr:col>
      <xdr:colOff>962025</xdr:colOff>
      <xdr:row>7</xdr:row>
      <xdr:rowOff>28575</xdr:rowOff>
    </xdr:from>
    <xdr:ext cx="1943100" cy="2438400"/>
    <xdr:graphicFrame macro="">
      <xdr:nvGraphicFramePr>
        <xdr:cNvPr id="12" name="Chart 12" title="Chart">
          <a:extLst>
            <a:ext uri="{FF2B5EF4-FFF2-40B4-BE49-F238E27FC236}">
              <a16:creationId xmlns:a16="http://schemas.microsoft.com/office/drawing/2014/main" id="{00000000-0008-0000-0B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381000</xdr:colOff>
      <xdr:row>39</xdr:row>
      <xdr:rowOff>104775</xdr:rowOff>
    </xdr:from>
    <xdr:ext cx="3952875" cy="2266950"/>
    <xdr:pic>
      <xdr:nvPicPr>
        <xdr:cNvPr id="2102824287" name="Chart13" title="Chart">
          <a:extLst>
            <a:ext uri="{FF2B5EF4-FFF2-40B4-BE49-F238E27FC236}">
              <a16:creationId xmlns:a16="http://schemas.microsoft.com/office/drawing/2014/main" id="{00000000-0008-0000-0B00-00005F8D567D}"/>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7</xdr:col>
      <xdr:colOff>523875</xdr:colOff>
      <xdr:row>45</xdr:row>
      <xdr:rowOff>19050</xdr:rowOff>
    </xdr:from>
    <xdr:ext cx="1914525" cy="1152525"/>
    <xdr:pic>
      <xdr:nvPicPr>
        <xdr:cNvPr id="1398601432" name="Chart14" title="Chart">
          <a:extLst>
            <a:ext uri="{FF2B5EF4-FFF2-40B4-BE49-F238E27FC236}">
              <a16:creationId xmlns:a16="http://schemas.microsoft.com/office/drawing/2014/main" id="{00000000-0008-0000-0B00-0000D8F65C53}"/>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40</xdr:row>
      <xdr:rowOff>57150</xdr:rowOff>
    </xdr:from>
    <xdr:ext cx="6686550" cy="1962150"/>
    <xdr:pic>
      <xdr:nvPicPr>
        <xdr:cNvPr id="1991710473" name="Chart15" title="Chart">
          <a:extLst>
            <a:ext uri="{FF2B5EF4-FFF2-40B4-BE49-F238E27FC236}">
              <a16:creationId xmlns:a16="http://schemas.microsoft.com/office/drawing/2014/main" id="{00000000-0008-0000-0B00-00000917B77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9</xdr:col>
      <xdr:colOff>600075</xdr:colOff>
      <xdr:row>37</xdr:row>
      <xdr:rowOff>161925</xdr:rowOff>
    </xdr:from>
    <xdr:ext cx="6562725" cy="2657475"/>
    <xdr:grpSp>
      <xdr:nvGrpSpPr>
        <xdr:cNvPr id="3" name="Shape 2" title="Drawing">
          <a:extLst>
            <a:ext uri="{FF2B5EF4-FFF2-40B4-BE49-F238E27FC236}">
              <a16:creationId xmlns:a16="http://schemas.microsoft.com/office/drawing/2014/main" id="{00000000-0008-0000-0B00-000003000000}"/>
            </a:ext>
          </a:extLst>
        </xdr:cNvPr>
        <xdr:cNvGrpSpPr/>
      </xdr:nvGrpSpPr>
      <xdr:grpSpPr>
        <a:xfrm>
          <a:off x="8943975" y="7191375"/>
          <a:ext cx="6562725" cy="2657475"/>
          <a:chOff x="3736275" y="2637000"/>
          <a:chExt cx="6543850" cy="2640300"/>
        </a:xfrm>
      </xdr:grpSpPr>
      <xdr:sp macro="" textlink="">
        <xdr:nvSpPr>
          <xdr:cNvPr id="4" name="Shape 3">
            <a:extLst>
              <a:ext uri="{FF2B5EF4-FFF2-40B4-BE49-F238E27FC236}">
                <a16:creationId xmlns:a16="http://schemas.microsoft.com/office/drawing/2014/main" id="{00000000-0008-0000-0B00-000004000000}"/>
              </a:ext>
            </a:extLst>
          </xdr:cNvPr>
          <xdr:cNvSpPr/>
        </xdr:nvSpPr>
        <xdr:spPr>
          <a:xfrm>
            <a:off x="3736275" y="2637000"/>
            <a:ext cx="3219600" cy="26403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SDM IPTEK</a:t>
            </a:r>
            <a:endParaRPr sz="1300" b="1">
              <a:solidFill>
                <a:srgbClr val="FFFFFF"/>
              </a:solidFill>
              <a:latin typeface="Courier New"/>
              <a:ea typeface="Courier New"/>
              <a:cs typeface="Courier New"/>
              <a:sym typeface="Courier New"/>
            </a:endParaRPr>
          </a:p>
        </xdr:txBody>
      </xdr:sp>
      <xdr:sp macro="" textlink="">
        <xdr:nvSpPr>
          <xdr:cNvPr id="5" name="Shape 4">
            <a:extLst>
              <a:ext uri="{FF2B5EF4-FFF2-40B4-BE49-F238E27FC236}">
                <a16:creationId xmlns:a16="http://schemas.microsoft.com/office/drawing/2014/main" id="{00000000-0008-0000-0B00-000005000000}"/>
              </a:ext>
            </a:extLst>
          </xdr:cNvPr>
          <xdr:cNvSpPr/>
        </xdr:nvSpPr>
        <xdr:spPr>
          <a:xfrm>
            <a:off x="7060525" y="2637000"/>
            <a:ext cx="3219600" cy="26403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POSTDOC</a:t>
            </a:r>
            <a:endParaRPr sz="1300" b="1">
              <a:solidFill>
                <a:srgbClr val="FFFFFF"/>
              </a:solidFill>
              <a:latin typeface="Courier New"/>
              <a:ea typeface="Courier New"/>
              <a:cs typeface="Courier New"/>
              <a:sym typeface="Courier New"/>
            </a:endParaRPr>
          </a:p>
        </xdr:txBody>
      </xdr:sp>
    </xdr:grpSp>
    <xdr:clientData fLocksWithSheet="0"/>
  </xdr:oneCellAnchor>
  <xdr:oneCellAnchor>
    <xdr:from>
      <xdr:col>0</xdr:col>
      <xdr:colOff>0</xdr:colOff>
      <xdr:row>0</xdr:row>
      <xdr:rowOff>0</xdr:rowOff>
    </xdr:from>
    <xdr:ext cx="10696575" cy="7134225"/>
    <xdr:grpSp>
      <xdr:nvGrpSpPr>
        <xdr:cNvPr id="6" name="Shape 2" title="Drawing">
          <a:extLst>
            <a:ext uri="{FF2B5EF4-FFF2-40B4-BE49-F238E27FC236}">
              <a16:creationId xmlns:a16="http://schemas.microsoft.com/office/drawing/2014/main" id="{00000000-0008-0000-0B00-000006000000}"/>
            </a:ext>
          </a:extLst>
        </xdr:cNvPr>
        <xdr:cNvGrpSpPr/>
      </xdr:nvGrpSpPr>
      <xdr:grpSpPr>
        <a:xfrm>
          <a:off x="0" y="0"/>
          <a:ext cx="10696575" cy="7134225"/>
          <a:chOff x="-115200" y="0"/>
          <a:chExt cx="15585152" cy="7125298"/>
        </a:xfrm>
      </xdr:grpSpPr>
      <xdr:pic>
        <xdr:nvPicPr>
          <xdr:cNvPr id="7" name="Shape 5">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16">
            <a:alphaModFix/>
          </a:blip>
          <a:stretch>
            <a:fillRect/>
          </a:stretch>
        </xdr:blipFill>
        <xdr:spPr>
          <a:xfrm>
            <a:off x="0" y="0"/>
            <a:ext cx="15469952" cy="790500"/>
          </a:xfrm>
          <a:prstGeom prst="rect">
            <a:avLst/>
          </a:prstGeom>
          <a:noFill/>
          <a:ln>
            <a:noFill/>
          </a:ln>
        </xdr:spPr>
      </xdr:pic>
      <xdr:sp macro="" textlink="">
        <xdr:nvSpPr>
          <xdr:cNvPr id="8" name="Shape 6">
            <a:extLst>
              <a:ext uri="{FF2B5EF4-FFF2-40B4-BE49-F238E27FC236}">
                <a16:creationId xmlns:a16="http://schemas.microsoft.com/office/drawing/2014/main" id="{00000000-0008-0000-0B00-000008000000}"/>
              </a:ext>
            </a:extLst>
          </xdr:cNvPr>
          <xdr:cNvSpPr/>
        </xdr:nvSpPr>
        <xdr:spPr>
          <a:xfrm>
            <a:off x="0" y="886400"/>
            <a:ext cx="2221500" cy="62388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3" name="Shape 7">
            <a:extLst>
              <a:ext uri="{FF2B5EF4-FFF2-40B4-BE49-F238E27FC236}">
                <a16:creationId xmlns:a16="http://schemas.microsoft.com/office/drawing/2014/main" id="{00000000-0008-0000-0B00-00000D000000}"/>
              </a:ext>
            </a:extLst>
          </xdr:cNvPr>
          <xdr:cNvSpPr/>
        </xdr:nvSpPr>
        <xdr:spPr>
          <a:xfrm>
            <a:off x="2341675" y="886400"/>
            <a:ext cx="7411800" cy="29463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4" name="Shape 8">
            <a:extLst>
              <a:ext uri="{FF2B5EF4-FFF2-40B4-BE49-F238E27FC236}">
                <a16:creationId xmlns:a16="http://schemas.microsoft.com/office/drawing/2014/main" id="{00000000-0008-0000-0B00-00000E000000}"/>
              </a:ext>
            </a:extLst>
          </xdr:cNvPr>
          <xdr:cNvSpPr txBox="1"/>
        </xdr:nvSpPr>
        <xdr:spPr>
          <a:xfrm>
            <a:off x="0" y="1522550"/>
            <a:ext cx="2221500" cy="868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900">
                <a:solidFill>
                  <a:srgbClr val="FFFFFF"/>
                </a:solidFill>
                <a:latin typeface="Times New Roman"/>
                <a:ea typeface="Times New Roman"/>
                <a:cs typeface="Times New Roman"/>
                <a:sym typeface="Times New Roman"/>
              </a:rPr>
              <a:t>ORGANISASI RISET ELEKTRONIKA DAN INFORMATIKA - BADAN RISET DAN INOVASI NASIONAL</a:t>
            </a:r>
            <a:endParaRPr sz="900" b="1">
              <a:solidFill>
                <a:srgbClr val="FFFFFF"/>
              </a:solidFill>
              <a:latin typeface="Times New Roman"/>
              <a:ea typeface="Times New Roman"/>
              <a:cs typeface="Times New Roman"/>
              <a:sym typeface="Times New Roman"/>
            </a:endParaRPr>
          </a:p>
        </xdr:txBody>
      </xdr:sp>
      <xdr:sp macro="" textlink="">
        <xdr:nvSpPr>
          <xdr:cNvPr id="15" name="Shape 9">
            <a:extLst>
              <a:ext uri="{FF2B5EF4-FFF2-40B4-BE49-F238E27FC236}">
                <a16:creationId xmlns:a16="http://schemas.microsoft.com/office/drawing/2014/main" id="{00000000-0008-0000-0B00-00000F000000}"/>
              </a:ext>
            </a:extLst>
          </xdr:cNvPr>
          <xdr:cNvSpPr/>
        </xdr:nvSpPr>
        <xdr:spPr>
          <a:xfrm>
            <a:off x="2341675" y="4389500"/>
            <a:ext cx="2451900" cy="27357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6" name="Shape 10">
            <a:extLst>
              <a:ext uri="{FF2B5EF4-FFF2-40B4-BE49-F238E27FC236}">
                <a16:creationId xmlns:a16="http://schemas.microsoft.com/office/drawing/2014/main" id="{00000000-0008-0000-0B00-000010000000}"/>
              </a:ext>
            </a:extLst>
          </xdr:cNvPr>
          <xdr:cNvSpPr/>
        </xdr:nvSpPr>
        <xdr:spPr>
          <a:xfrm>
            <a:off x="4867553" y="4389500"/>
            <a:ext cx="2373600" cy="27357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7" name="Shape 11">
            <a:extLst>
              <a:ext uri="{FF2B5EF4-FFF2-40B4-BE49-F238E27FC236}">
                <a16:creationId xmlns:a16="http://schemas.microsoft.com/office/drawing/2014/main" id="{00000000-0008-0000-0B00-000011000000}"/>
              </a:ext>
            </a:extLst>
          </xdr:cNvPr>
          <xdr:cNvSpPr/>
        </xdr:nvSpPr>
        <xdr:spPr>
          <a:xfrm>
            <a:off x="7355197" y="4389500"/>
            <a:ext cx="2398200" cy="27357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8" name="Shape 12">
            <a:extLst>
              <a:ext uri="{FF2B5EF4-FFF2-40B4-BE49-F238E27FC236}">
                <a16:creationId xmlns:a16="http://schemas.microsoft.com/office/drawing/2014/main" id="{00000000-0008-0000-0B00-000012000000}"/>
              </a:ext>
            </a:extLst>
          </xdr:cNvPr>
          <xdr:cNvSpPr txBox="1"/>
        </xdr:nvSpPr>
        <xdr:spPr>
          <a:xfrm>
            <a:off x="2341675" y="4379550"/>
            <a:ext cx="2451900" cy="3849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300" b="1">
                <a:solidFill>
                  <a:srgbClr val="FFFFFF"/>
                </a:solidFill>
                <a:latin typeface="Courier New"/>
                <a:ea typeface="Courier New"/>
                <a:cs typeface="Courier New"/>
                <a:sym typeface="Courier New"/>
              </a:rPr>
              <a:t>PURWARUPA</a:t>
            </a:r>
            <a:endParaRPr sz="1300" b="1">
              <a:solidFill>
                <a:srgbClr val="FFFFFF"/>
              </a:solidFill>
              <a:latin typeface="Courier New"/>
              <a:ea typeface="Courier New"/>
              <a:cs typeface="Courier New"/>
              <a:sym typeface="Courier New"/>
            </a:endParaRPr>
          </a:p>
        </xdr:txBody>
      </xdr:sp>
      <xdr:sp macro="" textlink="">
        <xdr:nvSpPr>
          <xdr:cNvPr id="19" name="Shape 13">
            <a:extLst>
              <a:ext uri="{FF2B5EF4-FFF2-40B4-BE49-F238E27FC236}">
                <a16:creationId xmlns:a16="http://schemas.microsoft.com/office/drawing/2014/main" id="{00000000-0008-0000-0B00-000013000000}"/>
              </a:ext>
            </a:extLst>
          </xdr:cNvPr>
          <xdr:cNvSpPr txBox="1"/>
        </xdr:nvSpPr>
        <xdr:spPr>
          <a:xfrm>
            <a:off x="4840525" y="4387350"/>
            <a:ext cx="2373600" cy="3849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300" b="1">
                <a:solidFill>
                  <a:srgbClr val="FFFFFF"/>
                </a:solidFill>
                <a:latin typeface="Courier New"/>
                <a:ea typeface="Courier New"/>
                <a:cs typeface="Courier New"/>
                <a:sym typeface="Courier New"/>
              </a:rPr>
              <a:t>KEKAYAAN INTELKTUAL</a:t>
            </a:r>
            <a:endParaRPr sz="1300" b="1">
              <a:solidFill>
                <a:srgbClr val="FFFFFF"/>
              </a:solidFill>
              <a:latin typeface="Courier New"/>
              <a:ea typeface="Courier New"/>
              <a:cs typeface="Courier New"/>
              <a:sym typeface="Courier New"/>
            </a:endParaRPr>
          </a:p>
        </xdr:txBody>
      </xdr:sp>
      <xdr:sp macro="" textlink="">
        <xdr:nvSpPr>
          <xdr:cNvPr id="20" name="Shape 14">
            <a:extLst>
              <a:ext uri="{FF2B5EF4-FFF2-40B4-BE49-F238E27FC236}">
                <a16:creationId xmlns:a16="http://schemas.microsoft.com/office/drawing/2014/main" id="{00000000-0008-0000-0B00-000014000000}"/>
              </a:ext>
            </a:extLst>
          </xdr:cNvPr>
          <xdr:cNvSpPr txBox="1"/>
        </xdr:nvSpPr>
        <xdr:spPr>
          <a:xfrm>
            <a:off x="7302950" y="4387350"/>
            <a:ext cx="2373600" cy="3849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300" b="1">
                <a:solidFill>
                  <a:srgbClr val="FFFFFF"/>
                </a:solidFill>
                <a:latin typeface="Courier New"/>
                <a:ea typeface="Courier New"/>
                <a:cs typeface="Courier New"/>
                <a:sym typeface="Courier New"/>
              </a:rPr>
              <a:t>KERJASAMA</a:t>
            </a:r>
            <a:endParaRPr sz="1300" b="1">
              <a:solidFill>
                <a:srgbClr val="FFFFFF"/>
              </a:solidFill>
              <a:latin typeface="Courier New"/>
              <a:ea typeface="Courier New"/>
              <a:cs typeface="Courier New"/>
              <a:sym typeface="Courier New"/>
            </a:endParaRPr>
          </a:p>
        </xdr:txBody>
      </xdr:sp>
      <xdr:sp macro="" textlink="">
        <xdr:nvSpPr>
          <xdr:cNvPr id="21" name="Shape 15">
            <a:extLst>
              <a:ext uri="{FF2B5EF4-FFF2-40B4-BE49-F238E27FC236}">
                <a16:creationId xmlns:a16="http://schemas.microsoft.com/office/drawing/2014/main" id="{00000000-0008-0000-0B00-000015000000}"/>
              </a:ext>
            </a:extLst>
          </xdr:cNvPr>
          <xdr:cNvSpPr/>
        </xdr:nvSpPr>
        <xdr:spPr>
          <a:xfrm>
            <a:off x="2334075" y="3905300"/>
            <a:ext cx="7411800" cy="400200"/>
          </a:xfrm>
          <a:prstGeom prst="rect">
            <a:avLst/>
          </a:prstGeom>
          <a:gradFill>
            <a:gsLst>
              <a:gs pos="0">
                <a:srgbClr val="1076D2"/>
              </a:gs>
              <a:gs pos="100000">
                <a:srgbClr val="093053"/>
              </a:gs>
            </a:gsLst>
            <a:lin ang="5400012" scaled="0"/>
          </a:gra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2" name="Shape 16">
            <a:extLst>
              <a:ext uri="{FF2B5EF4-FFF2-40B4-BE49-F238E27FC236}">
                <a16:creationId xmlns:a16="http://schemas.microsoft.com/office/drawing/2014/main" id="{00000000-0008-0000-0B00-000016000000}"/>
              </a:ext>
            </a:extLst>
          </xdr:cNvPr>
          <xdr:cNvSpPr txBox="1"/>
        </xdr:nvSpPr>
        <xdr:spPr>
          <a:xfrm>
            <a:off x="4998825" y="3925375"/>
            <a:ext cx="3375600" cy="3693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300" b="1">
                <a:solidFill>
                  <a:srgbClr val="FFFFFF"/>
                </a:solidFill>
                <a:latin typeface="Comic Sans MS"/>
                <a:ea typeface="Comic Sans MS"/>
                <a:cs typeface="Comic Sans MS"/>
                <a:sym typeface="Comic Sans MS"/>
              </a:rPr>
              <a:t>RINCIAN CAPAIAN UTAMA</a:t>
            </a:r>
            <a:endParaRPr sz="1300" b="1">
              <a:solidFill>
                <a:srgbClr val="FFFFFF"/>
              </a:solidFill>
              <a:latin typeface="Comic Sans MS"/>
              <a:ea typeface="Comic Sans MS"/>
              <a:cs typeface="Comic Sans MS"/>
              <a:sym typeface="Comic Sans MS"/>
            </a:endParaRPr>
          </a:p>
        </xdr:txBody>
      </xdr:sp>
      <xdr:sp macro="" textlink="">
        <xdr:nvSpPr>
          <xdr:cNvPr id="23" name="Shape 17">
            <a:extLst>
              <a:ext uri="{FF2B5EF4-FFF2-40B4-BE49-F238E27FC236}">
                <a16:creationId xmlns:a16="http://schemas.microsoft.com/office/drawing/2014/main" id="{00000000-0008-0000-0B00-000017000000}"/>
              </a:ext>
            </a:extLst>
          </xdr:cNvPr>
          <xdr:cNvSpPr txBox="1"/>
        </xdr:nvSpPr>
        <xdr:spPr>
          <a:xfrm>
            <a:off x="3020625" y="136625"/>
            <a:ext cx="5864100" cy="400200"/>
          </a:xfrm>
          <a:prstGeom prst="rect">
            <a:avLst/>
          </a:prstGeom>
          <a:noFill/>
          <a:ln>
            <a:noFill/>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b="1">
                <a:solidFill>
                  <a:srgbClr val="FFFFFF"/>
                </a:solidFill>
              </a:rPr>
              <a:t>DASHBOARD  CAPAIAN  KINERJA  PUSAT RISET </a:t>
            </a:r>
            <a:endParaRPr sz="1400" b="1">
              <a:solidFill>
                <a:srgbClr val="FFFFFF"/>
              </a:solidFill>
            </a:endParaRPr>
          </a:p>
          <a:p>
            <a:pPr marL="0" lvl="0" indent="0" algn="ctr" rtl="0">
              <a:spcBef>
                <a:spcPts val="0"/>
              </a:spcBef>
              <a:spcAft>
                <a:spcPts val="0"/>
              </a:spcAft>
              <a:buNone/>
            </a:pPr>
            <a:r>
              <a:rPr lang="en-US" sz="1400" b="1">
                <a:solidFill>
                  <a:srgbClr val="FFFFFF"/>
                </a:solidFill>
              </a:rPr>
              <a:t>SAINS DATA DAN INFORMASI</a:t>
            </a:r>
            <a:endParaRPr sz="1400" b="1">
              <a:solidFill>
                <a:srgbClr val="FFFFFF"/>
              </a:solidFill>
            </a:endParaRPr>
          </a:p>
        </xdr:txBody>
      </xdr:sp>
      <xdr:sp macro="" textlink="">
        <xdr:nvSpPr>
          <xdr:cNvPr id="24" name="Shape 18">
            <a:extLst>
              <a:ext uri="{FF2B5EF4-FFF2-40B4-BE49-F238E27FC236}">
                <a16:creationId xmlns:a16="http://schemas.microsoft.com/office/drawing/2014/main" id="{00000000-0008-0000-0B00-000018000000}"/>
              </a:ext>
            </a:extLst>
          </xdr:cNvPr>
          <xdr:cNvSpPr txBox="1"/>
        </xdr:nvSpPr>
        <xdr:spPr>
          <a:xfrm>
            <a:off x="-115200" y="2675850"/>
            <a:ext cx="2451900" cy="4002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050" b="1">
                <a:solidFill>
                  <a:srgbClr val="00FFFF"/>
                </a:solidFill>
              </a:rPr>
              <a:t>Dr. Esa Prakasa, M.T.</a:t>
            </a:r>
            <a:endParaRPr sz="900" b="1">
              <a:solidFill>
                <a:srgbClr val="00FFFF"/>
              </a:solidFill>
              <a:latin typeface="Trebuchet MS"/>
              <a:ea typeface="Trebuchet MS"/>
              <a:cs typeface="Trebuchet MS"/>
              <a:sym typeface="Trebuchet MS"/>
            </a:endParaRPr>
          </a:p>
        </xdr:txBody>
      </xdr:sp>
      <xdr:sp macro="" textlink="">
        <xdr:nvSpPr>
          <xdr:cNvPr id="25" name="Shape 19">
            <a:extLst>
              <a:ext uri="{FF2B5EF4-FFF2-40B4-BE49-F238E27FC236}">
                <a16:creationId xmlns:a16="http://schemas.microsoft.com/office/drawing/2014/main" id="{00000000-0008-0000-0B00-000019000000}"/>
              </a:ext>
            </a:extLst>
          </xdr:cNvPr>
          <xdr:cNvSpPr txBox="1"/>
        </xdr:nvSpPr>
        <xdr:spPr>
          <a:xfrm>
            <a:off x="0" y="2933900"/>
            <a:ext cx="2221500" cy="790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900" b="1">
                <a:solidFill>
                  <a:srgbClr val="FFFFFF"/>
                </a:solidFill>
                <a:latin typeface="Trebuchet MS"/>
                <a:ea typeface="Trebuchet MS"/>
                <a:cs typeface="Trebuchet MS"/>
                <a:sym typeface="Trebuchet MS"/>
              </a:rPr>
              <a:t>Kepala Pusat Riset Sains Data dan Informasi</a:t>
            </a:r>
            <a:endParaRPr sz="900" b="1">
              <a:solidFill>
                <a:srgbClr val="FFFFFF"/>
              </a:solidFill>
              <a:latin typeface="Trebuchet MS"/>
              <a:ea typeface="Trebuchet MS"/>
              <a:cs typeface="Trebuchet MS"/>
              <a:sym typeface="Trebuchet MS"/>
            </a:endParaRPr>
          </a:p>
          <a:p>
            <a:pPr marL="0" lvl="0" indent="0" algn="ctr" rtl="0">
              <a:spcBef>
                <a:spcPts val="0"/>
              </a:spcBef>
              <a:spcAft>
                <a:spcPts val="0"/>
              </a:spcAft>
              <a:buNone/>
            </a:pPr>
            <a:endParaRPr sz="900" b="1">
              <a:solidFill>
                <a:srgbClr val="FFFFFF"/>
              </a:solidFill>
              <a:latin typeface="Trebuchet MS"/>
              <a:ea typeface="Trebuchet MS"/>
              <a:cs typeface="Trebuchet MS"/>
              <a:sym typeface="Trebuchet MS"/>
            </a:endParaRPr>
          </a:p>
          <a:p>
            <a:pPr marL="0" lvl="0" indent="0" algn="ctr" rtl="0">
              <a:spcBef>
                <a:spcPts val="0"/>
              </a:spcBef>
              <a:spcAft>
                <a:spcPts val="0"/>
              </a:spcAft>
              <a:buNone/>
            </a:pPr>
            <a:r>
              <a:rPr lang="en-US" sz="900" b="1">
                <a:solidFill>
                  <a:srgbClr val="FFFFFF"/>
                </a:solidFill>
                <a:latin typeface="Trebuchet MS"/>
                <a:ea typeface="Trebuchet MS"/>
                <a:cs typeface="Trebuchet MS"/>
                <a:sym typeface="Trebuchet MS"/>
              </a:rPr>
              <a:t>Organisasi Riset Elektronika dan Informatika</a:t>
            </a:r>
            <a:endParaRPr sz="900" b="1">
              <a:solidFill>
                <a:srgbClr val="FFFFFF"/>
              </a:solidFill>
              <a:latin typeface="Trebuchet MS"/>
              <a:ea typeface="Trebuchet MS"/>
              <a:cs typeface="Trebuchet MS"/>
              <a:sym typeface="Trebuchet MS"/>
            </a:endParaRPr>
          </a:p>
        </xdr:txBody>
      </xdr:sp>
      <xdr:pic>
        <xdr:nvPicPr>
          <xdr:cNvPr id="26" name="Shape 20">
            <a:extLst>
              <a:ext uri="{FF2B5EF4-FFF2-40B4-BE49-F238E27FC236}">
                <a16:creationId xmlns:a16="http://schemas.microsoft.com/office/drawing/2014/main" id="{00000000-0008-0000-0B00-00001A000000}"/>
              </a:ext>
            </a:extLst>
          </xdr:cNvPr>
          <xdr:cNvPicPr preferRelativeResize="0"/>
        </xdr:nvPicPr>
        <xdr:blipFill rotWithShape="1">
          <a:blip xmlns:r="http://schemas.openxmlformats.org/officeDocument/2006/relationships" r:embed="rId17">
            <a:alphaModFix/>
          </a:blip>
          <a:srcRect l="7360" r="7351"/>
          <a:stretch/>
        </xdr:blipFill>
        <xdr:spPr>
          <a:xfrm>
            <a:off x="67050" y="3616200"/>
            <a:ext cx="2244600" cy="3509098"/>
          </a:xfrm>
          <a:prstGeom prst="rect">
            <a:avLst/>
          </a:prstGeom>
          <a:noFill/>
          <a:ln>
            <a:noFill/>
          </a:ln>
        </xdr:spPr>
      </xdr:pic>
      <xdr:sp macro="" textlink="">
        <xdr:nvSpPr>
          <xdr:cNvPr id="27" name="Shape 21">
            <a:extLst>
              <a:ext uri="{FF2B5EF4-FFF2-40B4-BE49-F238E27FC236}">
                <a16:creationId xmlns:a16="http://schemas.microsoft.com/office/drawing/2014/main" id="{00000000-0008-0000-0B00-00001B000000}"/>
              </a:ext>
            </a:extLst>
          </xdr:cNvPr>
          <xdr:cNvSpPr txBox="1"/>
        </xdr:nvSpPr>
        <xdr:spPr>
          <a:xfrm>
            <a:off x="0" y="6523050"/>
            <a:ext cx="2244600" cy="5643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endParaRPr sz="900" b="1">
              <a:solidFill>
                <a:srgbClr val="00FFFF"/>
              </a:solidFill>
              <a:latin typeface="Trebuchet MS"/>
              <a:ea typeface="Trebuchet MS"/>
              <a:cs typeface="Trebuchet MS"/>
              <a:sym typeface="Trebuchet MS"/>
            </a:endParaRPr>
          </a:p>
        </xdr:txBody>
      </xdr:sp>
      <xdr:pic>
        <xdr:nvPicPr>
          <xdr:cNvPr id="28" name="Shape 22">
            <a:extLst>
              <a:ext uri="{FF2B5EF4-FFF2-40B4-BE49-F238E27FC236}">
                <a16:creationId xmlns:a16="http://schemas.microsoft.com/office/drawing/2014/main" id="{00000000-0008-0000-0B00-00001C000000}"/>
              </a:ext>
            </a:extLst>
          </xdr:cNvPr>
          <xdr:cNvPicPr preferRelativeResize="0"/>
        </xdr:nvPicPr>
        <xdr:blipFill rotWithShape="1">
          <a:blip xmlns:r="http://schemas.openxmlformats.org/officeDocument/2006/relationships" r:embed="rId18">
            <a:alphaModFix/>
          </a:blip>
          <a:srcRect b="28612"/>
          <a:stretch/>
        </xdr:blipFill>
        <xdr:spPr>
          <a:xfrm>
            <a:off x="749975" y="962588"/>
            <a:ext cx="721553" cy="564329"/>
          </a:xfrm>
          <a:prstGeom prst="rect">
            <a:avLst/>
          </a:prstGeom>
          <a:noFill/>
          <a:ln>
            <a:noFill/>
          </a:ln>
        </xdr:spPr>
      </xdr:pic>
      <xdr:pic>
        <xdr:nvPicPr>
          <xdr:cNvPr id="29" name="Shape 23">
            <a:extLst>
              <a:ext uri="{FF2B5EF4-FFF2-40B4-BE49-F238E27FC236}">
                <a16:creationId xmlns:a16="http://schemas.microsoft.com/office/drawing/2014/main" id="{00000000-0008-0000-0B00-00001D000000}"/>
              </a:ext>
            </a:extLst>
          </xdr:cNvPr>
          <xdr:cNvPicPr preferRelativeResize="0"/>
        </xdr:nvPicPr>
        <xdr:blipFill>
          <a:blip xmlns:r="http://schemas.openxmlformats.org/officeDocument/2006/relationships" r:embed="rId19">
            <a:alphaModFix/>
          </a:blip>
          <a:stretch>
            <a:fillRect/>
          </a:stretch>
        </xdr:blipFill>
        <xdr:spPr>
          <a:xfrm>
            <a:off x="653112" y="2199450"/>
            <a:ext cx="915276" cy="400200"/>
          </a:xfrm>
          <a:prstGeom prst="rect">
            <a:avLst/>
          </a:prstGeom>
          <a:noFill/>
          <a:ln>
            <a:noFill/>
          </a:ln>
        </xdr:spPr>
      </xdr:pic>
    </xdr:grpSp>
    <xdr:clientData fLocksWithSheet="0"/>
  </xdr:oneCellAnchor>
  <xdr:oneCellAnchor>
    <xdr:from>
      <xdr:col>0</xdr:col>
      <xdr:colOff>0</xdr:colOff>
      <xdr:row>37</xdr:row>
      <xdr:rowOff>152400</xdr:rowOff>
    </xdr:from>
    <xdr:ext cx="9163050" cy="2657475"/>
    <xdr:grpSp>
      <xdr:nvGrpSpPr>
        <xdr:cNvPr id="30" name="Shape 2" title="Drawing">
          <a:extLst>
            <a:ext uri="{FF2B5EF4-FFF2-40B4-BE49-F238E27FC236}">
              <a16:creationId xmlns:a16="http://schemas.microsoft.com/office/drawing/2014/main" id="{00000000-0008-0000-0B00-00001E000000}"/>
            </a:ext>
          </a:extLst>
        </xdr:cNvPr>
        <xdr:cNvGrpSpPr/>
      </xdr:nvGrpSpPr>
      <xdr:grpSpPr>
        <a:xfrm>
          <a:off x="0" y="7181850"/>
          <a:ext cx="9163050" cy="2657475"/>
          <a:chOff x="774000" y="2641838"/>
          <a:chExt cx="9144000" cy="2635703"/>
        </a:xfrm>
      </xdr:grpSpPr>
      <xdr:grpSp>
        <xdr:nvGrpSpPr>
          <xdr:cNvPr id="31" name="Shape 24">
            <a:extLst>
              <a:ext uri="{FF2B5EF4-FFF2-40B4-BE49-F238E27FC236}">
                <a16:creationId xmlns:a16="http://schemas.microsoft.com/office/drawing/2014/main" id="{00000000-0008-0000-0B00-00001F000000}"/>
              </a:ext>
            </a:extLst>
          </xdr:cNvPr>
          <xdr:cNvGrpSpPr/>
        </xdr:nvGrpSpPr>
        <xdr:grpSpPr>
          <a:xfrm>
            <a:off x="774000" y="2641838"/>
            <a:ext cx="9144000" cy="2635703"/>
            <a:chOff x="774000" y="2641763"/>
            <a:chExt cx="9144000" cy="2276475"/>
          </a:xfrm>
        </xdr:grpSpPr>
        <xdr:sp macro="" textlink="">
          <xdr:nvSpPr>
            <xdr:cNvPr id="32" name="Shape 25">
              <a:extLst>
                <a:ext uri="{FF2B5EF4-FFF2-40B4-BE49-F238E27FC236}">
                  <a16:creationId xmlns:a16="http://schemas.microsoft.com/office/drawing/2014/main" id="{00000000-0008-0000-0B00-000020000000}"/>
                </a:ext>
              </a:extLst>
            </xdr:cNvPr>
            <xdr:cNvSpPr/>
          </xdr:nvSpPr>
          <xdr:spPr>
            <a:xfrm>
              <a:off x="774000" y="2641763"/>
              <a:ext cx="9144000" cy="2276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3" name="Shape 26">
              <a:extLst>
                <a:ext uri="{FF2B5EF4-FFF2-40B4-BE49-F238E27FC236}">
                  <a16:creationId xmlns:a16="http://schemas.microsoft.com/office/drawing/2014/main" id="{00000000-0008-0000-0B00-000021000000}"/>
                </a:ext>
              </a:extLst>
            </xdr:cNvPr>
            <xdr:cNvGrpSpPr/>
          </xdr:nvGrpSpPr>
          <xdr:grpSpPr>
            <a:xfrm>
              <a:off x="774000" y="2641763"/>
              <a:ext cx="9144000" cy="2276475"/>
              <a:chOff x="774000" y="2641763"/>
              <a:chExt cx="9144000" cy="2276475"/>
            </a:xfrm>
          </xdr:grpSpPr>
          <xdr:sp macro="" textlink="">
            <xdr:nvSpPr>
              <xdr:cNvPr id="34" name="Shape 27">
                <a:extLst>
                  <a:ext uri="{FF2B5EF4-FFF2-40B4-BE49-F238E27FC236}">
                    <a16:creationId xmlns:a16="http://schemas.microsoft.com/office/drawing/2014/main" id="{00000000-0008-0000-0B00-000022000000}"/>
                  </a:ext>
                </a:extLst>
              </xdr:cNvPr>
              <xdr:cNvSpPr/>
            </xdr:nvSpPr>
            <xdr:spPr>
              <a:xfrm>
                <a:off x="774000" y="2641763"/>
                <a:ext cx="9144000" cy="2276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 name="Shape 28" title="Drawing">
                <a:extLst>
                  <a:ext uri="{FF2B5EF4-FFF2-40B4-BE49-F238E27FC236}">
                    <a16:creationId xmlns:a16="http://schemas.microsoft.com/office/drawing/2014/main" id="{00000000-0008-0000-0B00-000023000000}"/>
                  </a:ext>
                </a:extLst>
              </xdr:cNvPr>
              <xdr:cNvGrpSpPr/>
            </xdr:nvGrpSpPr>
            <xdr:grpSpPr>
              <a:xfrm>
                <a:off x="774000" y="2641763"/>
                <a:ext cx="9144000" cy="2276475"/>
                <a:chOff x="24" y="32400"/>
                <a:chExt cx="9143952" cy="2259300"/>
              </a:xfrm>
            </xdr:grpSpPr>
            <xdr:sp macro="" textlink="">
              <xdr:nvSpPr>
                <xdr:cNvPr id="36" name="Shape 29">
                  <a:extLst>
                    <a:ext uri="{FF2B5EF4-FFF2-40B4-BE49-F238E27FC236}">
                      <a16:creationId xmlns:a16="http://schemas.microsoft.com/office/drawing/2014/main" id="{00000000-0008-0000-0B00-000024000000}"/>
                    </a:ext>
                  </a:extLst>
                </xdr:cNvPr>
                <xdr:cNvSpPr/>
              </xdr:nvSpPr>
              <xdr:spPr>
                <a:xfrm>
                  <a:off x="24" y="32400"/>
                  <a:ext cx="9143950" cy="2259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37" name="Shape 30">
                  <a:extLst>
                    <a:ext uri="{FF2B5EF4-FFF2-40B4-BE49-F238E27FC236}">
                      <a16:creationId xmlns:a16="http://schemas.microsoft.com/office/drawing/2014/main" id="{00000000-0008-0000-0B00-000025000000}"/>
                    </a:ext>
                  </a:extLst>
                </xdr:cNvPr>
                <xdr:cNvSpPr/>
              </xdr:nvSpPr>
              <xdr:spPr>
                <a:xfrm>
                  <a:off x="24" y="32400"/>
                  <a:ext cx="6126300" cy="22593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PEROLEHAN SUMBER DANA EKSTERNAL</a:t>
                  </a:r>
                  <a:endParaRPr sz="1300" b="1">
                    <a:solidFill>
                      <a:srgbClr val="FFFFFF"/>
                    </a:solidFill>
                    <a:latin typeface="Courier New"/>
                    <a:ea typeface="Courier New"/>
                    <a:cs typeface="Courier New"/>
                    <a:sym typeface="Courier New"/>
                  </a:endParaRPr>
                </a:p>
                <a:p>
                  <a:pPr marL="0" lvl="0" indent="0" algn="ctr" rtl="0">
                    <a:spcBef>
                      <a:spcPts val="0"/>
                    </a:spcBef>
                    <a:spcAft>
                      <a:spcPts val="0"/>
                    </a:spcAft>
                    <a:buSzPts val="1300"/>
                    <a:buFont typeface="Arial"/>
                    <a:buNone/>
                  </a:pPr>
                  <a:endParaRPr sz="1300" b="1">
                    <a:solidFill>
                      <a:srgbClr val="FFFFFF"/>
                    </a:solidFill>
                    <a:latin typeface="Courier New"/>
                    <a:ea typeface="Courier New"/>
                    <a:cs typeface="Courier New"/>
                    <a:sym typeface="Courier New"/>
                  </a:endParaRPr>
                </a:p>
              </xdr:txBody>
            </xdr:sp>
            <xdr:sp macro="" textlink="">
              <xdr:nvSpPr>
                <xdr:cNvPr id="38" name="Shape 31">
                  <a:extLst>
                    <a:ext uri="{FF2B5EF4-FFF2-40B4-BE49-F238E27FC236}">
                      <a16:creationId xmlns:a16="http://schemas.microsoft.com/office/drawing/2014/main" id="{00000000-0008-0000-0B00-000026000000}"/>
                    </a:ext>
                  </a:extLst>
                </xdr:cNvPr>
                <xdr:cNvSpPr/>
              </xdr:nvSpPr>
              <xdr:spPr>
                <a:xfrm>
                  <a:off x="6196176" y="32400"/>
                  <a:ext cx="2947800" cy="2259300"/>
                </a:xfrm>
                <a:prstGeom prst="rect">
                  <a:avLst/>
                </a:prstGeom>
                <a:gradFill>
                  <a:gsLst>
                    <a:gs pos="0">
                      <a:srgbClr val="1076D2"/>
                    </a:gs>
                    <a:gs pos="100000">
                      <a:srgbClr val="093053"/>
                    </a:gs>
                  </a:gsLst>
                  <a:path path="circle">
                    <a:fillToRect l="50000" t="50000" r="50000" b="50000"/>
                  </a:path>
                  <a:tileRect/>
                </a:gra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JENIS DAN OUTPUT </a:t>
                  </a:r>
                  <a:endParaRPr sz="1300" b="1">
                    <a:solidFill>
                      <a:srgbClr val="FFFFFF"/>
                    </a:solidFill>
                    <a:latin typeface="Courier New"/>
                    <a:ea typeface="Courier New"/>
                    <a:cs typeface="Courier New"/>
                    <a:sym typeface="Courier New"/>
                  </a:endParaRPr>
                </a:p>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SUMBER DANA EKSTERNAL</a:t>
                  </a:r>
                  <a:endParaRPr sz="1300" b="1">
                    <a:solidFill>
                      <a:srgbClr val="FFFFFF"/>
                    </a:solidFill>
                    <a:latin typeface="Courier New"/>
                    <a:ea typeface="Courier New"/>
                    <a:cs typeface="Courier New"/>
                    <a:sym typeface="Courier New"/>
                  </a:endParaRPr>
                </a:p>
              </xdr:txBody>
            </xdr:sp>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xdr:col>
      <xdr:colOff>323850</xdr:colOff>
      <xdr:row>4</xdr:row>
      <xdr:rowOff>180975</xdr:rowOff>
    </xdr:from>
    <xdr:ext cx="1571625" cy="2009775"/>
    <xdr:pic>
      <xdr:nvPicPr>
        <xdr:cNvPr id="841818879" name="Chart16" title="Chart">
          <a:extLst>
            <a:ext uri="{FF2B5EF4-FFF2-40B4-BE49-F238E27FC236}">
              <a16:creationId xmlns:a16="http://schemas.microsoft.com/office/drawing/2014/main" id="{00000000-0008-0000-0E00-0000FF222D3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0</xdr:colOff>
      <xdr:row>23</xdr:row>
      <xdr:rowOff>161925</xdr:rowOff>
    </xdr:from>
    <xdr:ext cx="2038350" cy="1743075"/>
    <xdr:graphicFrame macro="">
      <xdr:nvGraphicFramePr>
        <xdr:cNvPr id="17" name="Chart 17" title="Chart">
          <a:extLst>
            <a:ext uri="{FF2B5EF4-FFF2-40B4-BE49-F238E27FC236}">
              <a16:creationId xmlns:a16="http://schemas.microsoft.com/office/drawing/2014/main" id="{00000000-0008-0000-0E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19</xdr:col>
      <xdr:colOff>371475</xdr:colOff>
      <xdr:row>6</xdr:row>
      <xdr:rowOff>66675</xdr:rowOff>
    </xdr:from>
    <xdr:ext cx="1666875" cy="1800225"/>
    <xdr:graphicFrame macro="">
      <xdr:nvGraphicFramePr>
        <xdr:cNvPr id="18" name="Chart 18" title="Chart">
          <a:extLst>
            <a:ext uri="{FF2B5EF4-FFF2-40B4-BE49-F238E27FC236}">
              <a16:creationId xmlns:a16="http://schemas.microsoft.com/office/drawing/2014/main" id="{00000000-0008-0000-0E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466725</xdr:colOff>
      <xdr:row>19</xdr:row>
      <xdr:rowOff>19050</xdr:rowOff>
    </xdr:from>
    <xdr:ext cx="1885950" cy="1733550"/>
    <xdr:graphicFrame macro="">
      <xdr:nvGraphicFramePr>
        <xdr:cNvPr id="19" name="Chart 19" title="Chart">
          <a:extLst>
            <a:ext uri="{FF2B5EF4-FFF2-40B4-BE49-F238E27FC236}">
              <a16:creationId xmlns:a16="http://schemas.microsoft.com/office/drawing/2014/main" id="{00000000-0008-0000-0E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14</xdr:col>
      <xdr:colOff>333375</xdr:colOff>
      <xdr:row>18</xdr:row>
      <xdr:rowOff>104775</xdr:rowOff>
    </xdr:from>
    <xdr:ext cx="2333625" cy="1943100"/>
    <xdr:graphicFrame macro="">
      <xdr:nvGraphicFramePr>
        <xdr:cNvPr id="20" name="Chart 20" title="Chart">
          <a:extLst>
            <a:ext uri="{FF2B5EF4-FFF2-40B4-BE49-F238E27FC236}">
              <a16:creationId xmlns:a16="http://schemas.microsoft.com/office/drawing/2014/main" id="{00000000-0008-0000-0E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19</xdr:col>
      <xdr:colOff>9525</xdr:colOff>
      <xdr:row>19</xdr:row>
      <xdr:rowOff>19050</xdr:rowOff>
    </xdr:from>
    <xdr:ext cx="2105025" cy="1733550"/>
    <xdr:graphicFrame macro="">
      <xdr:nvGraphicFramePr>
        <xdr:cNvPr id="21" name="Chart 21" title="Chart">
          <a:extLst>
            <a:ext uri="{FF2B5EF4-FFF2-40B4-BE49-F238E27FC236}">
              <a16:creationId xmlns:a16="http://schemas.microsoft.com/office/drawing/2014/main" id="{00000000-0008-0000-0E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11</xdr:col>
      <xdr:colOff>190500</xdr:colOff>
      <xdr:row>30</xdr:row>
      <xdr:rowOff>152400</xdr:rowOff>
    </xdr:from>
    <xdr:ext cx="3952875" cy="2266950"/>
    <xdr:graphicFrame macro="">
      <xdr:nvGraphicFramePr>
        <xdr:cNvPr id="22" name="Chart 22" title="Chart">
          <a:extLst>
            <a:ext uri="{FF2B5EF4-FFF2-40B4-BE49-F238E27FC236}">
              <a16:creationId xmlns:a16="http://schemas.microsoft.com/office/drawing/2014/main" id="{00000000-0008-0000-0E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13</xdr:col>
      <xdr:colOff>381000</xdr:colOff>
      <xdr:row>34</xdr:row>
      <xdr:rowOff>47625</xdr:rowOff>
    </xdr:from>
    <xdr:ext cx="1914525" cy="1152525"/>
    <xdr:graphicFrame macro="">
      <xdr:nvGraphicFramePr>
        <xdr:cNvPr id="23" name="Chart 23" title="Chart">
          <a:extLst>
            <a:ext uri="{FF2B5EF4-FFF2-40B4-BE49-F238E27FC236}">
              <a16:creationId xmlns:a16="http://schemas.microsoft.com/office/drawing/2014/main" id="{00000000-0008-0000-0E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4</xdr:col>
      <xdr:colOff>123825</xdr:colOff>
      <xdr:row>19</xdr:row>
      <xdr:rowOff>19050</xdr:rowOff>
    </xdr:from>
    <xdr:ext cx="2914650" cy="581025"/>
    <xdr:graphicFrame macro="">
      <xdr:nvGraphicFramePr>
        <xdr:cNvPr id="24" name="Chart 24" title="Chart">
          <a:extLst>
            <a:ext uri="{FF2B5EF4-FFF2-40B4-BE49-F238E27FC236}">
              <a16:creationId xmlns:a16="http://schemas.microsoft.com/office/drawing/2014/main" id="{00000000-0008-0000-0E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4</xdr:col>
      <xdr:colOff>123825</xdr:colOff>
      <xdr:row>21</xdr:row>
      <xdr:rowOff>85725</xdr:rowOff>
    </xdr:from>
    <xdr:ext cx="2914650" cy="476250"/>
    <xdr:graphicFrame macro="">
      <xdr:nvGraphicFramePr>
        <xdr:cNvPr id="25" name="Chart 25" title="Chart">
          <a:extLst>
            <a:ext uri="{FF2B5EF4-FFF2-40B4-BE49-F238E27FC236}">
              <a16:creationId xmlns:a16="http://schemas.microsoft.com/office/drawing/2014/main" id="{00000000-0008-0000-0E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4</xdr:col>
      <xdr:colOff>123825</xdr:colOff>
      <xdr:row>23</xdr:row>
      <xdr:rowOff>104775</xdr:rowOff>
    </xdr:from>
    <xdr:ext cx="2152650" cy="476250"/>
    <xdr:graphicFrame macro="">
      <xdr:nvGraphicFramePr>
        <xdr:cNvPr id="26" name="Chart 26" title="Chart">
          <a:extLst>
            <a:ext uri="{FF2B5EF4-FFF2-40B4-BE49-F238E27FC236}">
              <a16:creationId xmlns:a16="http://schemas.microsoft.com/office/drawing/2014/main" id="{00000000-0008-0000-0E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4</xdr:col>
      <xdr:colOff>114300</xdr:colOff>
      <xdr:row>25</xdr:row>
      <xdr:rowOff>152400</xdr:rowOff>
    </xdr:from>
    <xdr:ext cx="3400425" cy="476250"/>
    <xdr:graphicFrame macro="">
      <xdr:nvGraphicFramePr>
        <xdr:cNvPr id="27" name="Chart 27" title="Chart">
          <a:extLst>
            <a:ext uri="{FF2B5EF4-FFF2-40B4-BE49-F238E27FC236}">
              <a16:creationId xmlns:a16="http://schemas.microsoft.com/office/drawing/2014/main" id="{00000000-0008-0000-0E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0</xdr:col>
      <xdr:colOff>0</xdr:colOff>
      <xdr:row>30</xdr:row>
      <xdr:rowOff>104775</xdr:rowOff>
    </xdr:from>
    <xdr:ext cx="6686550" cy="1962150"/>
    <xdr:graphicFrame macro="">
      <xdr:nvGraphicFramePr>
        <xdr:cNvPr id="28" name="Chart 28" title="Chart">
          <a:extLst>
            <a:ext uri="{FF2B5EF4-FFF2-40B4-BE49-F238E27FC236}">
              <a16:creationId xmlns:a16="http://schemas.microsoft.com/office/drawing/2014/main" id="{00000000-0008-0000-0E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17</xdr:col>
      <xdr:colOff>457200</xdr:colOff>
      <xdr:row>10</xdr:row>
      <xdr:rowOff>133350</xdr:rowOff>
    </xdr:from>
    <xdr:ext cx="1457325" cy="771525"/>
    <xdr:graphicFrame macro="">
      <xdr:nvGraphicFramePr>
        <xdr:cNvPr id="29" name="Chart 29" title="Chart">
          <a:extLst>
            <a:ext uri="{FF2B5EF4-FFF2-40B4-BE49-F238E27FC236}">
              <a16:creationId xmlns:a16="http://schemas.microsoft.com/office/drawing/2014/main" id="{00000000-0008-0000-0E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4</xdr:col>
      <xdr:colOff>200025</xdr:colOff>
      <xdr:row>44</xdr:row>
      <xdr:rowOff>95250</xdr:rowOff>
    </xdr:from>
    <xdr:ext cx="5514975" cy="2266950"/>
    <xdr:graphicFrame macro="">
      <xdr:nvGraphicFramePr>
        <xdr:cNvPr id="30" name="Chart 30" title="Chart">
          <a:extLst>
            <a:ext uri="{FF2B5EF4-FFF2-40B4-BE49-F238E27FC236}">
              <a16:creationId xmlns:a16="http://schemas.microsoft.com/office/drawing/2014/main" id="{00000000-0008-0000-0E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14</xdr:col>
      <xdr:colOff>333375</xdr:colOff>
      <xdr:row>44</xdr:row>
      <xdr:rowOff>190500</xdr:rowOff>
    </xdr:from>
    <xdr:ext cx="1571625" cy="2009775"/>
    <xdr:pic>
      <xdr:nvPicPr>
        <xdr:cNvPr id="1315640225" name="Chart31" title="Chart">
          <a:extLst>
            <a:ext uri="{FF2B5EF4-FFF2-40B4-BE49-F238E27FC236}">
              <a16:creationId xmlns:a16="http://schemas.microsoft.com/office/drawing/2014/main" id="{00000000-0008-0000-0E00-0000A1136B4E}"/>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381000</xdr:colOff>
      <xdr:row>45</xdr:row>
      <xdr:rowOff>190500</xdr:rowOff>
    </xdr:from>
    <xdr:ext cx="2038350" cy="1743075"/>
    <xdr:graphicFrame macro="">
      <xdr:nvGraphicFramePr>
        <xdr:cNvPr id="32" name="Chart 32" title="Chart">
          <a:extLst>
            <a:ext uri="{FF2B5EF4-FFF2-40B4-BE49-F238E27FC236}">
              <a16:creationId xmlns:a16="http://schemas.microsoft.com/office/drawing/2014/main" id="{00000000-0008-0000-0E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16</xdr:col>
      <xdr:colOff>247650</xdr:colOff>
      <xdr:row>49</xdr:row>
      <xdr:rowOff>19050</xdr:rowOff>
    </xdr:from>
    <xdr:ext cx="1457325" cy="771525"/>
    <xdr:graphicFrame macro="">
      <xdr:nvGraphicFramePr>
        <xdr:cNvPr id="33" name="Chart 33" title="Chart">
          <a:extLst>
            <a:ext uri="{FF2B5EF4-FFF2-40B4-BE49-F238E27FC236}">
              <a16:creationId xmlns:a16="http://schemas.microsoft.com/office/drawing/2014/main" id="{00000000-0008-0000-0E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0</xdr:col>
      <xdr:colOff>152400</xdr:colOff>
      <xdr:row>41</xdr:row>
      <xdr:rowOff>-200025</xdr:rowOff>
    </xdr:from>
    <xdr:ext cx="9163050" cy="5514975"/>
    <xdr:grpSp>
      <xdr:nvGrpSpPr>
        <xdr:cNvPr id="2" name="Shape 2" title="Drawing">
          <a:extLst>
            <a:ext uri="{FF2B5EF4-FFF2-40B4-BE49-F238E27FC236}">
              <a16:creationId xmlns:a16="http://schemas.microsoft.com/office/drawing/2014/main" id="{00000000-0008-0000-0E00-000002000000}"/>
            </a:ext>
          </a:extLst>
        </xdr:cNvPr>
        <xdr:cNvGrpSpPr/>
      </xdr:nvGrpSpPr>
      <xdr:grpSpPr>
        <a:xfrm>
          <a:off x="152400" y="7616825"/>
          <a:ext cx="9163050" cy="5514975"/>
          <a:chOff x="774000" y="1051088"/>
          <a:chExt cx="9144000" cy="5457825"/>
        </a:xfrm>
      </xdr:grpSpPr>
      <xdr:grpSp>
        <xdr:nvGrpSpPr>
          <xdr:cNvPr id="3" name="Shape 32" title="Drawing">
            <a:extLst>
              <a:ext uri="{FF2B5EF4-FFF2-40B4-BE49-F238E27FC236}">
                <a16:creationId xmlns:a16="http://schemas.microsoft.com/office/drawing/2014/main" id="{00000000-0008-0000-0E00-000003000000}"/>
              </a:ext>
            </a:extLst>
          </xdr:cNvPr>
          <xdr:cNvGrpSpPr/>
        </xdr:nvGrpSpPr>
        <xdr:grpSpPr>
          <a:xfrm>
            <a:off x="774000" y="1051088"/>
            <a:ext cx="9144000" cy="5457825"/>
            <a:chOff x="-87650" y="0"/>
            <a:chExt cx="9964650" cy="5603800"/>
          </a:xfrm>
        </xdr:grpSpPr>
        <xdr:sp macro="" textlink="">
          <xdr:nvSpPr>
            <xdr:cNvPr id="4" name="Shape 25">
              <a:extLst>
                <a:ext uri="{FF2B5EF4-FFF2-40B4-BE49-F238E27FC236}">
                  <a16:creationId xmlns:a16="http://schemas.microsoft.com/office/drawing/2014/main" id="{00000000-0008-0000-0E00-000004000000}"/>
                </a:ext>
              </a:extLst>
            </xdr:cNvPr>
            <xdr:cNvSpPr/>
          </xdr:nvSpPr>
          <xdr:spPr>
            <a:xfrm>
              <a:off x="-87650" y="0"/>
              <a:ext cx="9964650" cy="5603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3">
              <a:extLst>
                <a:ext uri="{FF2B5EF4-FFF2-40B4-BE49-F238E27FC236}">
                  <a16:creationId xmlns:a16="http://schemas.microsoft.com/office/drawing/2014/main" id="{00000000-0008-0000-0E00-000005000000}"/>
                </a:ext>
              </a:extLst>
            </xdr:cNvPr>
            <xdr:cNvSpPr/>
          </xdr:nvSpPr>
          <xdr:spPr>
            <a:xfrm>
              <a:off x="-66200" y="835900"/>
              <a:ext cx="2221500" cy="47679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34" name="Shape 34">
              <a:extLst>
                <a:ext uri="{FF2B5EF4-FFF2-40B4-BE49-F238E27FC236}">
                  <a16:creationId xmlns:a16="http://schemas.microsoft.com/office/drawing/2014/main" id="{00000000-0008-0000-0E00-000022000000}"/>
                </a:ext>
              </a:extLst>
            </xdr:cNvPr>
            <xdr:cNvSpPr/>
          </xdr:nvSpPr>
          <xdr:spPr>
            <a:xfrm>
              <a:off x="2231500" y="3292700"/>
              <a:ext cx="3471900" cy="22893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PUBLIKASI INTERNASIONAL</a:t>
              </a:r>
              <a:endParaRPr sz="1300" b="1">
                <a:solidFill>
                  <a:srgbClr val="FFFFFF"/>
                </a:solidFill>
                <a:latin typeface="Courier New"/>
                <a:ea typeface="Courier New"/>
                <a:cs typeface="Courier New"/>
                <a:sym typeface="Courier New"/>
              </a:endParaRPr>
            </a:p>
          </xdr:txBody>
        </xdr:sp>
        <xdr:sp macro="" textlink="">
          <xdr:nvSpPr>
            <xdr:cNvPr id="35" name="Shape 35">
              <a:extLst>
                <a:ext uri="{FF2B5EF4-FFF2-40B4-BE49-F238E27FC236}">
                  <a16:creationId xmlns:a16="http://schemas.microsoft.com/office/drawing/2014/main" id="{00000000-0008-0000-0E00-000023000000}"/>
                </a:ext>
              </a:extLst>
            </xdr:cNvPr>
            <xdr:cNvSpPr txBox="1"/>
          </xdr:nvSpPr>
          <xdr:spPr>
            <a:xfrm>
              <a:off x="-76200" y="1446350"/>
              <a:ext cx="2221500" cy="500400"/>
            </a:xfrm>
            <a:prstGeom prst="rect">
              <a:avLst/>
            </a:prstGeom>
            <a:noFill/>
            <a:ln w="9525" cap="flat" cmpd="sng">
              <a:solidFill>
                <a:srgbClr val="191D43"/>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ORGANISASI RISET ELEKTRONIKAN DAN INFORMATIKA</a:t>
              </a:r>
              <a:endParaRPr sz="900">
                <a:solidFill>
                  <a:srgbClr val="00FFFF"/>
                </a:solidFill>
                <a:latin typeface="Times New Roman"/>
                <a:ea typeface="Times New Roman"/>
                <a:cs typeface="Times New Roman"/>
                <a:sym typeface="Times New Roman"/>
              </a:endParaRPr>
            </a:p>
            <a:p>
              <a:pPr marL="0" lvl="0" indent="0" algn="ctr" rtl="0">
                <a:spcBef>
                  <a:spcPts val="0"/>
                </a:spcBef>
                <a:spcAft>
                  <a:spcPts val="0"/>
                </a:spcAft>
                <a:buSzPts val="900"/>
                <a:buFont typeface="Arial"/>
                <a:buNone/>
              </a:pPr>
              <a:endParaRPr sz="900">
                <a:solidFill>
                  <a:srgbClr val="00FFFF"/>
                </a:solidFill>
                <a:latin typeface="Times New Roman"/>
                <a:ea typeface="Times New Roman"/>
                <a:cs typeface="Times New Roman"/>
                <a:sym typeface="Times New Roman"/>
              </a:endParaRPr>
            </a:p>
            <a:p>
              <a:pPr marL="0" lvl="0" indent="0" algn="ctr" rtl="0">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PR SAINS DATA DAN INFORMASI</a:t>
              </a:r>
              <a:endParaRPr sz="900">
                <a:solidFill>
                  <a:srgbClr val="00FFFF"/>
                </a:solidFill>
                <a:latin typeface="Times New Roman"/>
                <a:ea typeface="Times New Roman"/>
                <a:cs typeface="Times New Roman"/>
                <a:sym typeface="Times New Roman"/>
              </a:endParaRPr>
            </a:p>
            <a:p>
              <a:pPr marL="0" lvl="0" indent="0" algn="ctr" rtl="0">
                <a:spcBef>
                  <a:spcPts val="0"/>
                </a:spcBef>
                <a:spcAft>
                  <a:spcPts val="0"/>
                </a:spcAft>
                <a:buSzPts val="900"/>
                <a:buFont typeface="Arial"/>
                <a:buNone/>
              </a:pPr>
              <a:endParaRPr sz="900">
                <a:solidFill>
                  <a:srgbClr val="00FFFF"/>
                </a:solidFill>
                <a:latin typeface="Times New Roman"/>
                <a:ea typeface="Times New Roman"/>
                <a:cs typeface="Times New Roman"/>
                <a:sym typeface="Times New Roman"/>
              </a:endParaRPr>
            </a:p>
          </xdr:txBody>
        </xdr:sp>
        <xdr:sp macro="" textlink="">
          <xdr:nvSpPr>
            <xdr:cNvPr id="36" name="Shape 36">
              <a:extLst>
                <a:ext uri="{FF2B5EF4-FFF2-40B4-BE49-F238E27FC236}">
                  <a16:creationId xmlns:a16="http://schemas.microsoft.com/office/drawing/2014/main" id="{00000000-0008-0000-0E00-000024000000}"/>
                </a:ext>
              </a:extLst>
            </xdr:cNvPr>
            <xdr:cNvSpPr/>
          </xdr:nvSpPr>
          <xdr:spPr>
            <a:xfrm>
              <a:off x="-66200" y="0"/>
              <a:ext cx="9943200" cy="7905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37" name="Shape 37">
              <a:extLst>
                <a:ext uri="{FF2B5EF4-FFF2-40B4-BE49-F238E27FC236}">
                  <a16:creationId xmlns:a16="http://schemas.microsoft.com/office/drawing/2014/main" id="{00000000-0008-0000-0E00-000025000000}"/>
                </a:ext>
              </a:extLst>
            </xdr:cNvPr>
            <xdr:cNvSpPr txBox="1"/>
          </xdr:nvSpPr>
          <xdr:spPr>
            <a:xfrm>
              <a:off x="2531800" y="195150"/>
              <a:ext cx="5864100" cy="400200"/>
            </a:xfrm>
            <a:prstGeom prst="rect">
              <a:avLst/>
            </a:prstGeom>
            <a:noFill/>
            <a:ln>
              <a:noFill/>
            </a:ln>
          </xdr:spPr>
          <xdr:txBody>
            <a:bodyPr spcFirstLastPara="1" wrap="square" lIns="91425" tIns="91425" rIns="91425" bIns="91425" anchor="ctr" anchorCtr="0">
              <a:noAutofit/>
            </a:bodyPr>
            <a:lstStyle/>
            <a:p>
              <a:pPr marL="0" lvl="0" indent="0" algn="ctr" rtl="0">
                <a:spcBef>
                  <a:spcPts val="0"/>
                </a:spcBef>
                <a:spcAft>
                  <a:spcPts val="0"/>
                </a:spcAft>
                <a:buClr>
                  <a:srgbClr val="00FFFF"/>
                </a:buClr>
                <a:buSzPts val="1400"/>
                <a:buFont typeface="Arial"/>
                <a:buNone/>
              </a:pPr>
              <a:r>
                <a:rPr lang="en-US" sz="1400">
                  <a:solidFill>
                    <a:srgbClr val="00FFFF"/>
                  </a:solidFill>
                </a:rPr>
                <a:t>DASHBOARD  CAPAIAN  KINERJA </a:t>
              </a:r>
              <a:endParaRPr sz="1400">
                <a:solidFill>
                  <a:srgbClr val="00FFFF"/>
                </a:solidFill>
              </a:endParaRPr>
            </a:p>
            <a:p>
              <a:pPr marL="0" lvl="0" indent="0" algn="ctr" rtl="0">
                <a:spcBef>
                  <a:spcPts val="0"/>
                </a:spcBef>
                <a:spcAft>
                  <a:spcPts val="0"/>
                </a:spcAft>
                <a:buClr>
                  <a:srgbClr val="00FFFF"/>
                </a:buClr>
                <a:buSzPts val="1400"/>
                <a:buFont typeface="Arial"/>
                <a:buNone/>
              </a:pPr>
              <a:r>
                <a:rPr lang="en-US" sz="1400">
                  <a:solidFill>
                    <a:srgbClr val="00FFFF"/>
                  </a:solidFill>
                </a:rPr>
                <a:t>PUSAT RISET SAINS DATA DAN INFORMASI</a:t>
              </a:r>
              <a:endParaRPr sz="1400">
                <a:solidFill>
                  <a:srgbClr val="00FFFF"/>
                </a:solidFill>
              </a:endParaRPr>
            </a:p>
          </xdr:txBody>
        </xdr:sp>
        <xdr:sp macro="" textlink="">
          <xdr:nvSpPr>
            <xdr:cNvPr id="38" name="Shape 38">
              <a:extLst>
                <a:ext uri="{FF2B5EF4-FFF2-40B4-BE49-F238E27FC236}">
                  <a16:creationId xmlns:a16="http://schemas.microsoft.com/office/drawing/2014/main" id="{00000000-0008-0000-0E00-000026000000}"/>
                </a:ext>
              </a:extLst>
            </xdr:cNvPr>
            <xdr:cNvSpPr/>
          </xdr:nvSpPr>
          <xdr:spPr>
            <a:xfrm>
              <a:off x="2231500" y="835900"/>
              <a:ext cx="7645500" cy="2411400"/>
            </a:xfrm>
            <a:prstGeom prst="rect">
              <a:avLst/>
            </a:prstGeom>
            <a:solidFill>
              <a:srgbClr val="20124D"/>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39" name="Shape 39">
              <a:extLst>
                <a:ext uri="{FF2B5EF4-FFF2-40B4-BE49-F238E27FC236}">
                  <a16:creationId xmlns:a16="http://schemas.microsoft.com/office/drawing/2014/main" id="{00000000-0008-0000-0E00-000027000000}"/>
                </a:ext>
              </a:extLst>
            </xdr:cNvPr>
            <xdr:cNvSpPr txBox="1"/>
          </xdr:nvSpPr>
          <xdr:spPr>
            <a:xfrm>
              <a:off x="-87650" y="4981400"/>
              <a:ext cx="2221500" cy="5004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Clr>
                  <a:srgbClr val="00FFFF"/>
                </a:buClr>
                <a:buSzPts val="1200"/>
                <a:buFont typeface="Times New Roman"/>
                <a:buNone/>
              </a:pPr>
              <a:r>
                <a:rPr lang="en-US" sz="1200">
                  <a:solidFill>
                    <a:srgbClr val="00FFFF"/>
                  </a:solidFill>
                  <a:latin typeface="Times New Roman"/>
                  <a:ea typeface="Times New Roman"/>
                  <a:cs typeface="Times New Roman"/>
                  <a:sym typeface="Times New Roman"/>
                </a:rPr>
                <a:t>Menghadirkan Inovasi melalui Sains Data dan Informasi</a:t>
              </a:r>
              <a:endParaRPr sz="600">
                <a:solidFill>
                  <a:srgbClr val="00FFFF"/>
                </a:solidFill>
                <a:latin typeface="Times New Roman"/>
                <a:ea typeface="Times New Roman"/>
                <a:cs typeface="Times New Roman"/>
                <a:sym typeface="Times New Roman"/>
              </a:endParaRPr>
            </a:p>
          </xdr:txBody>
        </xdr:sp>
        <xdr:sp macro="" textlink="">
          <xdr:nvSpPr>
            <xdr:cNvPr id="40" name="Shape 40">
              <a:extLst>
                <a:ext uri="{FF2B5EF4-FFF2-40B4-BE49-F238E27FC236}">
                  <a16:creationId xmlns:a16="http://schemas.microsoft.com/office/drawing/2014/main" id="{00000000-0008-0000-0E00-000028000000}"/>
                </a:ext>
              </a:extLst>
            </xdr:cNvPr>
            <xdr:cNvSpPr/>
          </xdr:nvSpPr>
          <xdr:spPr>
            <a:xfrm>
              <a:off x="5779600" y="3292700"/>
              <a:ext cx="1868700" cy="22893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PURWARUPA</a:t>
              </a:r>
              <a:endParaRPr sz="1300" b="1">
                <a:solidFill>
                  <a:srgbClr val="FFFFFF"/>
                </a:solidFill>
                <a:latin typeface="Courier New"/>
                <a:ea typeface="Courier New"/>
                <a:cs typeface="Courier New"/>
                <a:sym typeface="Courier New"/>
              </a:endParaRPr>
            </a:p>
          </xdr:txBody>
        </xdr:sp>
        <xdr:pic>
          <xdr:nvPicPr>
            <xdr:cNvPr id="41" name="Shape 41">
              <a:extLst>
                <a:ext uri="{FF2B5EF4-FFF2-40B4-BE49-F238E27FC236}">
                  <a16:creationId xmlns:a16="http://schemas.microsoft.com/office/drawing/2014/main" id="{00000000-0008-0000-0E00-000029000000}"/>
                </a:ext>
              </a:extLst>
            </xdr:cNvPr>
            <xdr:cNvPicPr preferRelativeResize="0"/>
          </xdr:nvPicPr>
          <xdr:blipFill rotWithShape="1">
            <a:blip xmlns:r="http://schemas.openxmlformats.org/officeDocument/2006/relationships" r:embed="rId18">
              <a:alphaModFix/>
            </a:blip>
            <a:srcRect/>
            <a:stretch/>
          </xdr:blipFill>
          <xdr:spPr>
            <a:xfrm>
              <a:off x="638595" y="835900"/>
              <a:ext cx="557037" cy="610451"/>
            </a:xfrm>
            <a:prstGeom prst="rect">
              <a:avLst/>
            </a:prstGeom>
            <a:noFill/>
            <a:ln>
              <a:noFill/>
            </a:ln>
          </xdr:spPr>
        </xdr:pic>
        <xdr:pic>
          <xdr:nvPicPr>
            <xdr:cNvPr id="42" name="Shape 42">
              <a:extLst>
                <a:ext uri="{FF2B5EF4-FFF2-40B4-BE49-F238E27FC236}">
                  <a16:creationId xmlns:a16="http://schemas.microsoft.com/office/drawing/2014/main" id="{00000000-0008-0000-0E00-00002A000000}"/>
                </a:ext>
              </a:extLst>
            </xdr:cNvPr>
            <xdr:cNvPicPr preferRelativeResize="0"/>
          </xdr:nvPicPr>
          <xdr:blipFill rotWithShape="1">
            <a:blip xmlns:r="http://schemas.openxmlformats.org/officeDocument/2006/relationships" r:embed="rId19">
              <a:alphaModFix/>
            </a:blip>
            <a:srcRect/>
            <a:stretch/>
          </xdr:blipFill>
          <xdr:spPr>
            <a:xfrm>
              <a:off x="110201" y="2602600"/>
              <a:ext cx="1868702" cy="2401995"/>
            </a:xfrm>
            <a:prstGeom prst="rect">
              <a:avLst/>
            </a:prstGeom>
            <a:noFill/>
            <a:ln>
              <a:noFill/>
            </a:ln>
          </xdr:spPr>
        </xdr:pic>
      </xdr:grpSp>
    </xdr:grpSp>
    <xdr:clientData fLocksWithSheet="0"/>
  </xdr:oneCellAnchor>
  <xdr:oneCellAnchor>
    <xdr:from>
      <xdr:col>14</xdr:col>
      <xdr:colOff>438150</xdr:colOff>
      <xdr:row>41</xdr:row>
      <xdr:rowOff>-200025</xdr:rowOff>
    </xdr:from>
    <xdr:ext cx="6772275" cy="5514975"/>
    <xdr:grpSp>
      <xdr:nvGrpSpPr>
        <xdr:cNvPr id="6" name="Shape 2" title="Drawing">
          <a:extLst>
            <a:ext uri="{FF2B5EF4-FFF2-40B4-BE49-F238E27FC236}">
              <a16:creationId xmlns:a16="http://schemas.microsoft.com/office/drawing/2014/main" id="{00000000-0008-0000-0E00-000006000000}"/>
            </a:ext>
          </a:extLst>
        </xdr:cNvPr>
        <xdr:cNvGrpSpPr/>
      </xdr:nvGrpSpPr>
      <xdr:grpSpPr>
        <a:xfrm>
          <a:off x="7639050" y="7616825"/>
          <a:ext cx="6772275" cy="5514975"/>
          <a:chOff x="1969388" y="1032038"/>
          <a:chExt cx="6753225" cy="5495925"/>
        </a:xfrm>
      </xdr:grpSpPr>
      <xdr:grpSp>
        <xdr:nvGrpSpPr>
          <xdr:cNvPr id="7" name="Shape 26" title="Drawing">
            <a:extLst>
              <a:ext uri="{FF2B5EF4-FFF2-40B4-BE49-F238E27FC236}">
                <a16:creationId xmlns:a16="http://schemas.microsoft.com/office/drawing/2014/main" id="{00000000-0008-0000-0E00-000007000000}"/>
              </a:ext>
            </a:extLst>
          </xdr:cNvPr>
          <xdr:cNvGrpSpPr/>
        </xdr:nvGrpSpPr>
        <xdr:grpSpPr>
          <a:xfrm>
            <a:off x="1969388" y="1032038"/>
            <a:ext cx="6753225" cy="5495925"/>
            <a:chOff x="2358225" y="0"/>
            <a:chExt cx="6731925" cy="5634200"/>
          </a:xfrm>
        </xdr:grpSpPr>
        <xdr:sp macro="" textlink="">
          <xdr:nvSpPr>
            <xdr:cNvPr id="8" name="Shape 25">
              <a:extLst>
                <a:ext uri="{FF2B5EF4-FFF2-40B4-BE49-F238E27FC236}">
                  <a16:creationId xmlns:a16="http://schemas.microsoft.com/office/drawing/2014/main" id="{00000000-0008-0000-0E00-000008000000}"/>
                </a:ext>
              </a:extLst>
            </xdr:cNvPr>
            <xdr:cNvSpPr/>
          </xdr:nvSpPr>
          <xdr:spPr>
            <a:xfrm>
              <a:off x="2358225" y="0"/>
              <a:ext cx="6731925" cy="5634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9" name="Shape 28">
              <a:extLst>
                <a:ext uri="{FF2B5EF4-FFF2-40B4-BE49-F238E27FC236}">
                  <a16:creationId xmlns:a16="http://schemas.microsoft.com/office/drawing/2014/main" id="{00000000-0008-0000-0E00-000009000000}"/>
                </a:ext>
              </a:extLst>
            </xdr:cNvPr>
            <xdr:cNvSpPr/>
          </xdr:nvSpPr>
          <xdr:spPr>
            <a:xfrm>
              <a:off x="3766350" y="0"/>
              <a:ext cx="5323800" cy="7905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10" name="Shape 29">
              <a:extLst>
                <a:ext uri="{FF2B5EF4-FFF2-40B4-BE49-F238E27FC236}">
                  <a16:creationId xmlns:a16="http://schemas.microsoft.com/office/drawing/2014/main" id="{00000000-0008-0000-0E00-00000A000000}"/>
                </a:ext>
              </a:extLst>
            </xdr:cNvPr>
            <xdr:cNvSpPr/>
          </xdr:nvSpPr>
          <xdr:spPr>
            <a:xfrm>
              <a:off x="3766350" y="835900"/>
              <a:ext cx="3025800" cy="2411400"/>
            </a:xfrm>
            <a:prstGeom prst="rect">
              <a:avLst/>
            </a:prstGeom>
            <a:solidFill>
              <a:srgbClr val="20124D"/>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11" name="Shape 30">
              <a:extLst>
                <a:ext uri="{FF2B5EF4-FFF2-40B4-BE49-F238E27FC236}">
                  <a16:creationId xmlns:a16="http://schemas.microsoft.com/office/drawing/2014/main" id="{00000000-0008-0000-0E00-00000B000000}"/>
                </a:ext>
              </a:extLst>
            </xdr:cNvPr>
            <xdr:cNvSpPr/>
          </xdr:nvSpPr>
          <xdr:spPr>
            <a:xfrm>
              <a:off x="6868000" y="835900"/>
              <a:ext cx="2221500" cy="47679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31" name="Shape 31">
              <a:extLst>
                <a:ext uri="{FF2B5EF4-FFF2-40B4-BE49-F238E27FC236}">
                  <a16:creationId xmlns:a16="http://schemas.microsoft.com/office/drawing/2014/main" id="{00000000-0008-0000-0E00-00001F000000}"/>
                </a:ext>
              </a:extLst>
            </xdr:cNvPr>
            <xdr:cNvSpPr txBox="1"/>
          </xdr:nvSpPr>
          <xdr:spPr>
            <a:xfrm>
              <a:off x="6868350" y="1446350"/>
              <a:ext cx="2221500" cy="696900"/>
            </a:xfrm>
            <a:prstGeom prst="rect">
              <a:avLst/>
            </a:prstGeom>
            <a:noFill/>
            <a:ln w="9525" cap="flat" cmpd="sng">
              <a:solidFill>
                <a:srgbClr val="191D43"/>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BIRO PERENCANAAN DAN KEUANGAN - ORGANISASI RISET ELEKTRONIKA DAN INFORMATIKA</a:t>
              </a:r>
              <a:endParaRPr sz="900">
                <a:solidFill>
                  <a:srgbClr val="00FFFF"/>
                </a:solidFill>
                <a:latin typeface="Times New Roman"/>
                <a:ea typeface="Times New Roman"/>
                <a:cs typeface="Times New Roman"/>
                <a:sym typeface="Times New Roman"/>
              </a:endParaRPr>
            </a:p>
            <a:p>
              <a:pPr marL="0" lvl="0" indent="0" algn="ctr" rtl="0">
                <a:spcBef>
                  <a:spcPts val="0"/>
                </a:spcBef>
                <a:spcAft>
                  <a:spcPts val="0"/>
                </a:spcAft>
                <a:buSzPts val="900"/>
                <a:buFont typeface="Arial"/>
                <a:buNone/>
              </a:pPr>
              <a:endParaRPr sz="900">
                <a:solidFill>
                  <a:srgbClr val="00FFFF"/>
                </a:solidFill>
                <a:latin typeface="Times New Roman"/>
                <a:ea typeface="Times New Roman"/>
                <a:cs typeface="Times New Roman"/>
                <a:sym typeface="Times New Roman"/>
              </a:endParaRPr>
            </a:p>
            <a:p>
              <a:pPr marL="0" lvl="0" indent="0" algn="ctr" rtl="0">
                <a:spcBef>
                  <a:spcPts val="0"/>
                </a:spcBef>
                <a:spcAft>
                  <a:spcPts val="0"/>
                </a:spcAft>
                <a:buSzPts val="900"/>
                <a:buFont typeface="Arial"/>
                <a:buNone/>
              </a:pPr>
              <a:endParaRPr sz="900">
                <a:solidFill>
                  <a:srgbClr val="00FFFF"/>
                </a:solidFill>
                <a:latin typeface="Times New Roman"/>
                <a:ea typeface="Times New Roman"/>
                <a:cs typeface="Times New Roman"/>
                <a:sym typeface="Times New Roman"/>
              </a:endParaRPr>
            </a:p>
            <a:p>
              <a:pPr marL="0" lvl="0" indent="0" algn="ctr" rtl="0">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PEMANTAUAN DAN EVALUASI KINERJA</a:t>
              </a:r>
              <a:endParaRPr sz="900">
                <a:solidFill>
                  <a:srgbClr val="00FFFF"/>
                </a:solidFill>
                <a:latin typeface="Times New Roman"/>
                <a:ea typeface="Times New Roman"/>
                <a:cs typeface="Times New Roman"/>
                <a:sym typeface="Times New Roman"/>
              </a:endParaRPr>
            </a:p>
          </xdr:txBody>
        </xdr:sp>
        <xdr:sp macro="" textlink="">
          <xdr:nvSpPr>
            <xdr:cNvPr id="12" name="Shape 3">
              <a:extLst>
                <a:ext uri="{FF2B5EF4-FFF2-40B4-BE49-F238E27FC236}">
                  <a16:creationId xmlns:a16="http://schemas.microsoft.com/office/drawing/2014/main" id="{00000000-0008-0000-0E00-00000C000000}"/>
                </a:ext>
              </a:extLst>
            </xdr:cNvPr>
            <xdr:cNvSpPr txBox="1"/>
          </xdr:nvSpPr>
          <xdr:spPr>
            <a:xfrm>
              <a:off x="6791800" y="5133800"/>
              <a:ext cx="2275800" cy="5004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Clr>
                  <a:srgbClr val="00FFFF"/>
                </a:buClr>
                <a:buSzPts val="900"/>
                <a:buFont typeface="Roboto"/>
                <a:buNone/>
              </a:pPr>
              <a:r>
                <a:rPr lang="en-US" sz="900">
                  <a:solidFill>
                    <a:srgbClr val="00FFFF"/>
                  </a:solidFill>
                  <a:latin typeface="Roboto"/>
                  <a:ea typeface="Roboto"/>
                  <a:cs typeface="Roboto"/>
                  <a:sym typeface="Roboto"/>
                </a:rPr>
                <a:t>“Transforming Insights into Action : Monitoring and Evaluating Performance”</a:t>
              </a:r>
              <a:endParaRPr sz="600">
                <a:solidFill>
                  <a:srgbClr val="00FFFF"/>
                </a:solidFill>
                <a:latin typeface="Times New Roman"/>
                <a:ea typeface="Times New Roman"/>
                <a:cs typeface="Times New Roman"/>
                <a:sym typeface="Times New Roman"/>
              </a:endParaRPr>
            </a:p>
          </xdr:txBody>
        </xdr:sp>
        <xdr:sp macro="" textlink="">
          <xdr:nvSpPr>
            <xdr:cNvPr id="43" name="Shape 43">
              <a:extLst>
                <a:ext uri="{FF2B5EF4-FFF2-40B4-BE49-F238E27FC236}">
                  <a16:creationId xmlns:a16="http://schemas.microsoft.com/office/drawing/2014/main" id="{00000000-0008-0000-0E00-00002B000000}"/>
                </a:ext>
              </a:extLst>
            </xdr:cNvPr>
            <xdr:cNvSpPr/>
          </xdr:nvSpPr>
          <xdr:spPr>
            <a:xfrm>
              <a:off x="4746625" y="3292700"/>
              <a:ext cx="2035200" cy="23112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SDM IPTEK</a:t>
              </a:r>
              <a:endParaRPr sz="1300" b="1">
                <a:solidFill>
                  <a:srgbClr val="FFFFFF"/>
                </a:solidFill>
                <a:latin typeface="Courier New"/>
                <a:ea typeface="Courier New"/>
                <a:cs typeface="Courier New"/>
                <a:sym typeface="Courier New"/>
              </a:endParaRPr>
            </a:p>
          </xdr:txBody>
        </xdr:sp>
        <xdr:sp macro="" textlink="">
          <xdr:nvSpPr>
            <xdr:cNvPr id="44" name="Shape 44">
              <a:extLst>
                <a:ext uri="{FF2B5EF4-FFF2-40B4-BE49-F238E27FC236}">
                  <a16:creationId xmlns:a16="http://schemas.microsoft.com/office/drawing/2014/main" id="{00000000-0008-0000-0E00-00002C000000}"/>
                </a:ext>
              </a:extLst>
            </xdr:cNvPr>
            <xdr:cNvSpPr/>
          </xdr:nvSpPr>
          <xdr:spPr>
            <a:xfrm>
              <a:off x="2358225" y="3292700"/>
              <a:ext cx="2335200" cy="23112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KEKAYAAN INTELEKTUAL</a:t>
              </a:r>
              <a:endParaRPr sz="1300" b="1">
                <a:solidFill>
                  <a:srgbClr val="FFFFFF"/>
                </a:solidFill>
                <a:latin typeface="Courier New"/>
                <a:ea typeface="Courier New"/>
                <a:cs typeface="Courier New"/>
                <a:sym typeface="Courier New"/>
              </a:endParaRPr>
            </a:p>
          </xdr:txBody>
        </xdr:sp>
        <xdr:pic>
          <xdr:nvPicPr>
            <xdr:cNvPr id="45" name="Shape 45">
              <a:extLst>
                <a:ext uri="{FF2B5EF4-FFF2-40B4-BE49-F238E27FC236}">
                  <a16:creationId xmlns:a16="http://schemas.microsoft.com/office/drawing/2014/main" id="{00000000-0008-0000-0E00-00002D000000}"/>
                </a:ext>
              </a:extLst>
            </xdr:cNvPr>
            <xdr:cNvPicPr preferRelativeResize="0"/>
          </xdr:nvPicPr>
          <xdr:blipFill rotWithShape="1">
            <a:blip xmlns:r="http://schemas.openxmlformats.org/officeDocument/2006/relationships" r:embed="rId18">
              <a:alphaModFix/>
            </a:blip>
            <a:srcRect/>
            <a:stretch/>
          </xdr:blipFill>
          <xdr:spPr>
            <a:xfrm>
              <a:off x="7663688" y="943175"/>
              <a:ext cx="532024" cy="583050"/>
            </a:xfrm>
            <a:prstGeom prst="rect">
              <a:avLst/>
            </a:prstGeom>
            <a:noFill/>
            <a:ln>
              <a:noFill/>
            </a:ln>
          </xdr:spPr>
        </xdr:pic>
        <xdr:pic>
          <xdr:nvPicPr>
            <xdr:cNvPr id="46" name="Shape 46">
              <a:extLst>
                <a:ext uri="{FF2B5EF4-FFF2-40B4-BE49-F238E27FC236}">
                  <a16:creationId xmlns:a16="http://schemas.microsoft.com/office/drawing/2014/main" id="{00000000-0008-0000-0E00-00002E000000}"/>
                </a:ext>
              </a:extLst>
            </xdr:cNvPr>
            <xdr:cNvPicPr preferRelativeResize="0"/>
          </xdr:nvPicPr>
          <xdr:blipFill rotWithShape="1">
            <a:blip xmlns:r="http://schemas.openxmlformats.org/officeDocument/2006/relationships" r:embed="rId20">
              <a:alphaModFix/>
            </a:blip>
            <a:srcRect/>
            <a:stretch/>
          </xdr:blipFill>
          <xdr:spPr>
            <a:xfrm>
              <a:off x="7140900" y="1526225"/>
              <a:ext cx="1676400" cy="3571875"/>
            </a:xfrm>
            <a:prstGeom prst="rect">
              <a:avLst/>
            </a:prstGeom>
            <a:noFill/>
            <a:ln>
              <a:noFill/>
            </a:ln>
          </xdr:spPr>
        </xdr:pic>
      </xdr:grpSp>
    </xdr:grpSp>
    <xdr:clientData fLocksWithSheet="0"/>
  </xdr:oneCellAnchor>
  <xdr:oneCellAnchor>
    <xdr:from>
      <xdr:col>0</xdr:col>
      <xdr:colOff>152400</xdr:colOff>
      <xdr:row>68</xdr:row>
      <xdr:rowOff>28575</xdr:rowOff>
    </xdr:from>
    <xdr:ext cx="9144000" cy="2276475"/>
    <xdr:grpSp>
      <xdr:nvGrpSpPr>
        <xdr:cNvPr id="13" name="Shape 2" title="Drawing">
          <a:extLst>
            <a:ext uri="{FF2B5EF4-FFF2-40B4-BE49-F238E27FC236}">
              <a16:creationId xmlns:a16="http://schemas.microsoft.com/office/drawing/2014/main" id="{00000000-0008-0000-0E00-00000D000000}"/>
            </a:ext>
          </a:extLst>
        </xdr:cNvPr>
        <xdr:cNvGrpSpPr/>
      </xdr:nvGrpSpPr>
      <xdr:grpSpPr>
        <a:xfrm>
          <a:off x="152400" y="13160375"/>
          <a:ext cx="9144000" cy="2276475"/>
          <a:chOff x="774000" y="2641763"/>
          <a:chExt cx="9144000" cy="2276475"/>
        </a:xfrm>
      </xdr:grpSpPr>
      <xdr:grpSp>
        <xdr:nvGrpSpPr>
          <xdr:cNvPr id="47" name="Shape 47" title="Drawing">
            <a:extLst>
              <a:ext uri="{FF2B5EF4-FFF2-40B4-BE49-F238E27FC236}">
                <a16:creationId xmlns:a16="http://schemas.microsoft.com/office/drawing/2014/main" id="{00000000-0008-0000-0E00-00002F000000}"/>
              </a:ext>
            </a:extLst>
          </xdr:cNvPr>
          <xdr:cNvGrpSpPr/>
        </xdr:nvGrpSpPr>
        <xdr:grpSpPr>
          <a:xfrm>
            <a:off x="774000" y="2641763"/>
            <a:ext cx="9144000" cy="2276475"/>
            <a:chOff x="24" y="32400"/>
            <a:chExt cx="9143952" cy="2259300"/>
          </a:xfrm>
        </xdr:grpSpPr>
        <xdr:sp macro="" textlink="">
          <xdr:nvSpPr>
            <xdr:cNvPr id="14" name="Shape 25">
              <a:extLst>
                <a:ext uri="{FF2B5EF4-FFF2-40B4-BE49-F238E27FC236}">
                  <a16:creationId xmlns:a16="http://schemas.microsoft.com/office/drawing/2014/main" id="{00000000-0008-0000-0E00-00000E000000}"/>
                </a:ext>
              </a:extLst>
            </xdr:cNvPr>
            <xdr:cNvSpPr/>
          </xdr:nvSpPr>
          <xdr:spPr>
            <a:xfrm>
              <a:off x="24" y="32400"/>
              <a:ext cx="9143950" cy="2259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8" name="Shape 48">
              <a:extLst>
                <a:ext uri="{FF2B5EF4-FFF2-40B4-BE49-F238E27FC236}">
                  <a16:creationId xmlns:a16="http://schemas.microsoft.com/office/drawing/2014/main" id="{00000000-0008-0000-0E00-000030000000}"/>
                </a:ext>
              </a:extLst>
            </xdr:cNvPr>
            <xdr:cNvSpPr/>
          </xdr:nvSpPr>
          <xdr:spPr>
            <a:xfrm>
              <a:off x="24" y="32400"/>
              <a:ext cx="6126300" cy="22593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PEROLEHAN SUMBER DANA EKSTERNAL</a:t>
              </a:r>
              <a:endParaRPr sz="1300" b="1">
                <a:solidFill>
                  <a:srgbClr val="FFFFFF"/>
                </a:solidFill>
                <a:latin typeface="Courier New"/>
                <a:ea typeface="Courier New"/>
                <a:cs typeface="Courier New"/>
                <a:sym typeface="Courier New"/>
              </a:endParaRPr>
            </a:p>
            <a:p>
              <a:pPr marL="0" lvl="0" indent="0" algn="ctr" rtl="0">
                <a:spcBef>
                  <a:spcPts val="0"/>
                </a:spcBef>
                <a:spcAft>
                  <a:spcPts val="0"/>
                </a:spcAft>
                <a:buSzPts val="1300"/>
                <a:buFont typeface="Arial"/>
                <a:buNone/>
              </a:pPr>
              <a:endParaRPr sz="1300" b="1">
                <a:solidFill>
                  <a:srgbClr val="FFFFFF"/>
                </a:solidFill>
                <a:latin typeface="Courier New"/>
                <a:ea typeface="Courier New"/>
                <a:cs typeface="Courier New"/>
                <a:sym typeface="Courier New"/>
              </a:endParaRPr>
            </a:p>
          </xdr:txBody>
        </xdr:sp>
        <xdr:sp macro="" textlink="">
          <xdr:nvSpPr>
            <xdr:cNvPr id="49" name="Shape 49">
              <a:extLst>
                <a:ext uri="{FF2B5EF4-FFF2-40B4-BE49-F238E27FC236}">
                  <a16:creationId xmlns:a16="http://schemas.microsoft.com/office/drawing/2014/main" id="{00000000-0008-0000-0E00-000031000000}"/>
                </a:ext>
              </a:extLst>
            </xdr:cNvPr>
            <xdr:cNvSpPr/>
          </xdr:nvSpPr>
          <xdr:spPr>
            <a:xfrm>
              <a:off x="6196176" y="32400"/>
              <a:ext cx="2947800" cy="225930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JENIS DAN OUTPUT </a:t>
              </a:r>
              <a:endParaRPr sz="1300" b="1">
                <a:solidFill>
                  <a:srgbClr val="FFFFFF"/>
                </a:solidFill>
                <a:latin typeface="Courier New"/>
                <a:ea typeface="Courier New"/>
                <a:cs typeface="Courier New"/>
                <a:sym typeface="Courier New"/>
              </a:endParaRPr>
            </a:p>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SUMBER DANA EKSTERNAL</a:t>
              </a:r>
              <a:endParaRPr sz="1300" b="1">
                <a:solidFill>
                  <a:srgbClr val="FFFFFF"/>
                </a:solidFill>
                <a:latin typeface="Courier New"/>
                <a:ea typeface="Courier New"/>
                <a:cs typeface="Courier New"/>
                <a:sym typeface="Courier New"/>
              </a:endParaRPr>
            </a:p>
          </xdr:txBody>
        </xdr:sp>
      </xdr:grpSp>
    </xdr:grpSp>
    <xdr:clientData fLocksWithSheet="0"/>
  </xdr:oneCellAnchor>
  <xdr:oneCellAnchor>
    <xdr:from>
      <xdr:col>17</xdr:col>
      <xdr:colOff>323850</xdr:colOff>
      <xdr:row>68</xdr:row>
      <xdr:rowOff>28575</xdr:rowOff>
    </xdr:from>
    <xdr:ext cx="3209925" cy="2276475"/>
    <xdr:sp macro="" textlink="">
      <xdr:nvSpPr>
        <xdr:cNvPr id="50" name="Shape 50">
          <a:extLst>
            <a:ext uri="{FF2B5EF4-FFF2-40B4-BE49-F238E27FC236}">
              <a16:creationId xmlns:a16="http://schemas.microsoft.com/office/drawing/2014/main" id="{00000000-0008-0000-0E00-000032000000}"/>
            </a:ext>
          </a:extLst>
        </xdr:cNvPr>
        <xdr:cNvSpPr/>
      </xdr:nvSpPr>
      <xdr:spPr>
        <a:xfrm>
          <a:off x="3745800" y="2646525"/>
          <a:ext cx="3200400" cy="2266950"/>
        </a:xfrm>
        <a:prstGeom prst="rect">
          <a:avLst/>
        </a:prstGeom>
        <a:solidFill>
          <a:srgbClr val="191D43"/>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p>
          <a:pPr marL="0" lvl="0" indent="0" algn="ctr" rtl="0">
            <a:spcBef>
              <a:spcPts val="0"/>
            </a:spcBef>
            <a:spcAft>
              <a:spcPts val="0"/>
            </a:spcAft>
            <a:buClr>
              <a:srgbClr val="FFFFFF"/>
            </a:buClr>
            <a:buSzPts val="1300"/>
            <a:buFont typeface="Courier New"/>
            <a:buNone/>
          </a:pPr>
          <a:r>
            <a:rPr lang="en-US" sz="1300" b="1">
              <a:solidFill>
                <a:srgbClr val="FFFFFF"/>
              </a:solidFill>
              <a:latin typeface="Courier New"/>
              <a:ea typeface="Courier New"/>
              <a:cs typeface="Courier New"/>
              <a:sym typeface="Courier New"/>
            </a:rPr>
            <a:t>KERJASAMA</a:t>
          </a:r>
          <a:endParaRPr sz="1300" b="1">
            <a:solidFill>
              <a:srgbClr val="FFFFFF"/>
            </a:solidFill>
            <a:latin typeface="Courier New"/>
            <a:ea typeface="Courier New"/>
            <a:cs typeface="Courier New"/>
            <a:sym typeface="Courier New"/>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na%20Ek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 Ek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V231">
  <autoFilter ref="B5:V231" xr:uid="{00000000-0009-0000-0100-000001000000}"/>
  <tableColumns count="21">
    <tableColumn id="1" xr3:uid="{00000000-0010-0000-0000-000001000000}" name="Periode Input"/>
    <tableColumn id="2" xr3:uid="{00000000-0010-0000-0000-000002000000}" name="Periode Stamp"/>
    <tableColumn id="3" xr3:uid="{00000000-0010-0000-0000-000003000000}" name="Validasi KR"/>
    <tableColumn id="4" xr3:uid="{00000000-0010-0000-0000-000004000000}" name="JUDUL"/>
    <tableColumn id="5" xr3:uid="{00000000-0010-0000-0000-000005000000}" name="KELOMPOK RISET"/>
    <tableColumn id="6" xr3:uid="{00000000-0010-0000-0000-000006000000}" name="1"/>
    <tableColumn id="7" xr3:uid="{00000000-0010-0000-0000-000007000000}" name="2"/>
    <tableColumn id="8" xr3:uid="{00000000-0010-0000-0000-000008000000}" name="3"/>
    <tableColumn id="9" xr3:uid="{00000000-0010-0000-0000-000009000000}" name="4"/>
    <tableColumn id="10" xr3:uid="{00000000-0010-0000-0000-00000A000000}" name="5"/>
    <tableColumn id="11" xr3:uid="{00000000-0010-0000-0000-00000B000000}" name="6"/>
    <tableColumn id="12" xr3:uid="{00000000-0010-0000-0000-00000C000000}" name="7"/>
    <tableColumn id="13" xr3:uid="{00000000-0010-0000-0000-00000D000000}" name="8"/>
    <tableColumn id="14" xr3:uid="{00000000-0010-0000-0000-00000E000000}" name="9"/>
    <tableColumn id="15" xr3:uid="{00000000-0010-0000-0000-00000F000000}" name="10"/>
    <tableColumn id="16" xr3:uid="{00000000-0010-0000-0000-000010000000}" name="NON SIVITAS PRSDI"/>
    <tableColumn id="17" xr3:uid="{00000000-0010-0000-0000-000011000000}" name="JENIS"/>
    <tableColumn id="18" xr3:uid="{00000000-0010-0000-0000-000012000000}" name="STATUS"/>
    <tableColumn id="19" xr3:uid="{00000000-0010-0000-0000-000013000000}" name="NAMA JURNAL/PROSIDING"/>
    <tableColumn id="20" xr3:uid="{00000000-0010-0000-0000-000014000000}" name="TERINDEX SCOPUS"/>
    <tableColumn id="21" xr3:uid="{00000000-0010-0000-0000-000015000000}" name="REPUTASI"/>
  </tableColumns>
  <tableStyleInfo name="PI-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C232:AA237" headerRowCount="0">
  <tableColumns count="2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s>
  <tableStyleInfo name="PI-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P7:P66" headerRowCount="0">
  <tableColumns count="1">
    <tableColumn id="1" xr3:uid="{00000000-0010-0000-0200-000001000000}" name="Column1"/>
  </tableColumns>
  <tableStyleInfo name="SITASI-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08/LHTN-03-2025-0044" TargetMode="External"/><Relationship Id="rId671" Type="http://schemas.openxmlformats.org/officeDocument/2006/relationships/hyperlink" Target="https://doi.org/10.1186/s43042-024-00528-z" TargetMode="External"/><Relationship Id="rId769" Type="http://schemas.openxmlformats.org/officeDocument/2006/relationships/hyperlink" Target="https://doi.org/10.1109/ICITRI62858.2024.10699090" TargetMode="External"/><Relationship Id="rId21" Type="http://schemas.openxmlformats.org/officeDocument/2006/relationships/hyperlink" Target="https://drive.google.com/drive/folders/1-AWXp5iq1oQUtUcGEzcT-N33zyy2-HWd?usp=sharing" TargetMode="External"/><Relationship Id="rId324" Type="http://schemas.openxmlformats.org/officeDocument/2006/relationships/hyperlink" Target="https://doi.org/10.1016/j.microc.2024.109963" TargetMode="External"/><Relationship Id="rId531" Type="http://schemas.openxmlformats.org/officeDocument/2006/relationships/hyperlink" Target="https://drive.google.com/drive/folders/1-AWXp5iq1oQUtUcGEzcT-N33zyy2-HWd?usp=sharing" TargetMode="External"/><Relationship Id="rId629" Type="http://schemas.openxmlformats.org/officeDocument/2006/relationships/hyperlink" Target="https://doi.org/10.35762/AER.2024045" TargetMode="External"/><Relationship Id="rId170" Type="http://schemas.openxmlformats.org/officeDocument/2006/relationships/hyperlink" Target="http://m.sc/" TargetMode="External"/><Relationship Id="rId836" Type="http://schemas.openxmlformats.org/officeDocument/2006/relationships/hyperlink" Target="https://doi.org/10.1063/5.0205684" TargetMode="External"/><Relationship Id="rId268" Type="http://schemas.openxmlformats.org/officeDocument/2006/relationships/hyperlink" Target="https://www.scopus.com/pages/publications/105015439698?origin=resultslist" TargetMode="External"/><Relationship Id="rId475" Type="http://schemas.openxmlformats.org/officeDocument/2006/relationships/hyperlink" Target="https://drive.google.com/drive/folders/1-AWXp5iq1oQUtUcGEzcT-N33zyy2-HWd?usp=sharing" TargetMode="External"/><Relationship Id="rId682" Type="http://schemas.openxmlformats.org/officeDocument/2006/relationships/hyperlink" Target="https://drive.google.com/file/d/1-53e0xdpMexQBo8g2leqFFcqat53umXP/view?usp=sharing" TargetMode="External"/><Relationship Id="rId903" Type="http://schemas.openxmlformats.org/officeDocument/2006/relationships/hyperlink" Target="https://doi.org/10.1051/e3sconf/202450101016" TargetMode="External"/><Relationship Id="rId32" Type="http://schemas.openxmlformats.org/officeDocument/2006/relationships/hyperlink" Target="https://doi.org/10.1063/5.0192928" TargetMode="External"/><Relationship Id="rId128" Type="http://schemas.openxmlformats.org/officeDocument/2006/relationships/hyperlink" Target="https://www.informingscience.org/Publications/5499" TargetMode="External"/><Relationship Id="rId335" Type="http://schemas.openxmlformats.org/officeDocument/2006/relationships/hyperlink" Target="http://doi.org/10.33640/2405-609X.3341" TargetMode="External"/><Relationship Id="rId542" Type="http://schemas.openxmlformats.org/officeDocument/2006/relationships/hyperlink" Target="https://doi.org/10.1117/12.3009368" TargetMode="External"/><Relationship Id="rId181" Type="http://schemas.openxmlformats.org/officeDocument/2006/relationships/hyperlink" Target="https://doi.org/10.1080/09540091.2025.2507179" TargetMode="External"/><Relationship Id="rId402" Type="http://schemas.openxmlformats.org/officeDocument/2006/relationships/hyperlink" Target="https://doi.org/10.1063/5.0216164" TargetMode="External"/><Relationship Id="rId847" Type="http://schemas.openxmlformats.org/officeDocument/2006/relationships/hyperlink" Target="http://dx.doi.org/10.1007/978-981-19-9768-6_74" TargetMode="External"/><Relationship Id="rId279" Type="http://schemas.openxmlformats.org/officeDocument/2006/relationships/hyperlink" Target="https://doi.org/10.1109/IC3INA64086.2024.10732787" TargetMode="External"/><Relationship Id="rId486" Type="http://schemas.openxmlformats.org/officeDocument/2006/relationships/hyperlink" Target="https://drive.google.com/drive/folders/1-AWXp5iq1oQUtUcGEzcT-N33zyy2-HWd?usp=sharing" TargetMode="External"/><Relationship Id="rId693" Type="http://schemas.openxmlformats.org/officeDocument/2006/relationships/hyperlink" Target="https://doi.org/10.1021/acs.jpca.4c05204" TargetMode="External"/><Relationship Id="rId707" Type="http://schemas.openxmlformats.org/officeDocument/2006/relationships/hyperlink" Target="https://www.scopus.com/record/display.uri?eid=2-s2.0-85212078279&amp;origin=resultslist&amp;sort=plf-f&amp;src=s&amp;sot=b&amp;sdt=b&amp;s=TITLE-ABS-KEY%28Dynamical+Evolution+of+Earth+Mini-Moon+2020+CD3%3A+Role+of+Invariant+Manifold%29&amp;sessionSearchId=53c218c9f6485df3533a01db87d41109&amp;relpos=0" TargetMode="External"/><Relationship Id="rId914" Type="http://schemas.openxmlformats.org/officeDocument/2006/relationships/hyperlink" Target="https://doi.org/10.1109/ISITIA63062.2024.10667951" TargetMode="External"/><Relationship Id="rId43" Type="http://schemas.openxmlformats.org/officeDocument/2006/relationships/hyperlink" Target="https://doi.org/10.1504/IJTLID.2025.144531" TargetMode="External"/><Relationship Id="rId139" Type="http://schemas.openxmlformats.org/officeDocument/2006/relationships/hyperlink" Target="https://drive.google.com/drive/folders/1-AWXp5iq1oQUtUcGEzcT-N33zyy2-HWd?usp=sharing" TargetMode="External"/><Relationship Id="rId346" Type="http://schemas.openxmlformats.org/officeDocument/2006/relationships/hyperlink" Target="https://drive.google.com/drive/folders/1-AWXp5iq1oQUtUcGEzcT-N33zyy2-HWd?usp=sharing" TargetMode="External"/><Relationship Id="rId553" Type="http://schemas.openxmlformats.org/officeDocument/2006/relationships/hyperlink" Target="https://drive.google.com/drive/folders/1-AWXp5iq1oQUtUcGEzcT-N33zyy2-HWd?usp=sharing" TargetMode="External"/><Relationship Id="rId760" Type="http://schemas.openxmlformats.org/officeDocument/2006/relationships/hyperlink" Target="https://doi.org/10.1063/5.0205706" TargetMode="External"/><Relationship Id="rId192" Type="http://schemas.openxmlformats.org/officeDocument/2006/relationships/hyperlink" Target="http://m.sc/" TargetMode="External"/><Relationship Id="rId206" Type="http://schemas.openxmlformats.org/officeDocument/2006/relationships/hyperlink" Target="https://doi.org/10.1007/s12524-024-01952-9" TargetMode="External"/><Relationship Id="rId413" Type="http://schemas.openxmlformats.org/officeDocument/2006/relationships/hyperlink" Target="https://drive.google.com/file/d/1iL-XCANjc0tzhUVBU1GGx9uGz_Q1H4Dh/view?usp=sharing" TargetMode="External"/><Relationship Id="rId858" Type="http://schemas.openxmlformats.org/officeDocument/2006/relationships/hyperlink" Target="https://doi.org/10.1063/5.0206893" TargetMode="External"/><Relationship Id="rId497" Type="http://schemas.openxmlformats.org/officeDocument/2006/relationships/hyperlink" Target="https://doi.org/10.24191/mjcet.v7i2.1295" TargetMode="External"/><Relationship Id="rId620" Type="http://schemas.openxmlformats.org/officeDocument/2006/relationships/hyperlink" Target="https://doi.org/10.7494/geom.2024.18.2.73" TargetMode="External"/><Relationship Id="rId718" Type="http://schemas.openxmlformats.org/officeDocument/2006/relationships/hyperlink" Target="https://doi.org/10.1080/2374068X.2024.2306572" TargetMode="External"/><Relationship Id="rId925" Type="http://schemas.openxmlformats.org/officeDocument/2006/relationships/hyperlink" Target="https://doi.org/10.1109/ICWT62080.2024.10674734" TargetMode="External"/><Relationship Id="rId357" Type="http://schemas.openxmlformats.org/officeDocument/2006/relationships/hyperlink" Target="https://www.mdpi.com/2079-4991/14/7/618" TargetMode="External"/><Relationship Id="rId54" Type="http://schemas.openxmlformats.org/officeDocument/2006/relationships/hyperlink" Target="https://drive.google.com/drive/folders/1-AWXp5iq1oQUtUcGEzcT-N33zyy2-HWd?usp=sharing" TargetMode="External"/><Relationship Id="rId217" Type="http://schemas.openxmlformats.org/officeDocument/2006/relationships/hyperlink" Target="https://drive.google.com/drive/folders/1-AWXp5iq1oQUtUcGEzcT-N33zyy2-HWd?usp=sharing" TargetMode="External"/><Relationship Id="rId564" Type="http://schemas.openxmlformats.org/officeDocument/2006/relationships/hyperlink" Target="https://doi.org/10.21837/pm.v22i30.1446" TargetMode="External"/><Relationship Id="rId771" Type="http://schemas.openxmlformats.org/officeDocument/2006/relationships/hyperlink" Target="https://doi.org/10.1109/ICRAMET62801.2024.10809246" TargetMode="External"/><Relationship Id="rId869" Type="http://schemas.openxmlformats.org/officeDocument/2006/relationships/hyperlink" Target="https://doi.org/10.1145/3690001.3690018" TargetMode="External"/><Relationship Id="rId424" Type="http://schemas.openxmlformats.org/officeDocument/2006/relationships/hyperlink" Target="https://drive.google.com/drive/folders/1-AWXp5iq1oQUtUcGEzcT-N33zyy2-HWd?usp=sharing" TargetMode="External"/><Relationship Id="rId631" Type="http://schemas.openxmlformats.org/officeDocument/2006/relationships/hyperlink" Target="https://doi.org/10.1063/5.0238344" TargetMode="External"/><Relationship Id="rId729" Type="http://schemas.openxmlformats.org/officeDocument/2006/relationships/hyperlink" Target="https://doi.org/10.1016/j.matpr.2024.04.099" TargetMode="External"/><Relationship Id="rId270" Type="http://schemas.openxmlformats.org/officeDocument/2006/relationships/hyperlink" Target="https://doi.org/10.1109/IC3INA64086.2024.10732848" TargetMode="External"/><Relationship Id="rId936" Type="http://schemas.openxmlformats.org/officeDocument/2006/relationships/table" Target="../tables/table2.xml"/><Relationship Id="rId65" Type="http://schemas.openxmlformats.org/officeDocument/2006/relationships/hyperlink" Target="https://ebooks.iospress.nl/doi/10.3233/ATDE241310" TargetMode="External"/><Relationship Id="rId130" Type="http://schemas.openxmlformats.org/officeDocument/2006/relationships/hyperlink" Target="https://doi.org/10.1504/IJTLID.2025.10065144" TargetMode="External"/><Relationship Id="rId368" Type="http://schemas.openxmlformats.org/officeDocument/2006/relationships/hyperlink" Target="https://doi.org/10.5565/rev/elcvia.2193" TargetMode="External"/><Relationship Id="rId575" Type="http://schemas.openxmlformats.org/officeDocument/2006/relationships/hyperlink" Target="https://doi.org/10.1007/978-3-031-52708-1_16" TargetMode="External"/><Relationship Id="rId782" Type="http://schemas.openxmlformats.org/officeDocument/2006/relationships/hyperlink" Target="https://doi.org/10.55214/25768484.v8i5.1684" TargetMode="External"/><Relationship Id="rId228" Type="http://schemas.openxmlformats.org/officeDocument/2006/relationships/hyperlink" Target="https://doi.org/10.21123/2411-7986.5009" TargetMode="External"/><Relationship Id="rId435" Type="http://schemas.openxmlformats.org/officeDocument/2006/relationships/hyperlink" Target="https://drive.google.com/drive/folders/1-AWXp5iq1oQUtUcGEzcT-N33zyy2-HWd?usp=sharing" TargetMode="External"/><Relationship Id="rId642" Type="http://schemas.openxmlformats.org/officeDocument/2006/relationships/hyperlink" Target="https://doi.org/10.1016/j.oceaneng.2024.117461" TargetMode="External"/><Relationship Id="rId281" Type="http://schemas.openxmlformats.org/officeDocument/2006/relationships/hyperlink" Target="https://doi.org/10.1109/IC3INA64086.2024.10732471" TargetMode="External"/><Relationship Id="rId502" Type="http://schemas.openxmlformats.org/officeDocument/2006/relationships/hyperlink" Target="https://drive.google.com/drive/folders/1-AWXp5iq1oQUtUcGEzcT-N33zyy2-HWd?usp=sharing" TargetMode="External"/><Relationship Id="rId76" Type="http://schemas.openxmlformats.org/officeDocument/2006/relationships/hyperlink" Target="https://ieeexplore.ieee.org/abstract/document/10942123" TargetMode="External"/><Relationship Id="rId141" Type="http://schemas.openxmlformats.org/officeDocument/2006/relationships/hyperlink" Target="https://doi.org/10.1109/IC3INA64086.2024.10732551" TargetMode="External"/><Relationship Id="rId379" Type="http://schemas.openxmlformats.org/officeDocument/2006/relationships/hyperlink" Target="https://doi.org/10.5614/j.eng.technol.sci.2024.56.1.5" TargetMode="External"/><Relationship Id="rId586" Type="http://schemas.openxmlformats.org/officeDocument/2006/relationships/hyperlink" Target="https://doi.org/10.1051/bioconf/202410604010" TargetMode="External"/><Relationship Id="rId793" Type="http://schemas.openxmlformats.org/officeDocument/2006/relationships/hyperlink" Target="https://doi.org/10.21315/aamj2024.29.2.6" TargetMode="External"/><Relationship Id="rId807" Type="http://schemas.openxmlformats.org/officeDocument/2006/relationships/hyperlink" Target="https://doi.org/10.20937/ATM.53185" TargetMode="External"/><Relationship Id="rId7" Type="http://schemas.openxmlformats.org/officeDocument/2006/relationships/hyperlink" Target="https://doi.org/10.1016/j.nucengdes.2025.113842" TargetMode="External"/><Relationship Id="rId239" Type="http://schemas.openxmlformats.org/officeDocument/2006/relationships/hyperlink" Target="https://doi.org/10.1109/ICITRI62858.2024.10699214" TargetMode="External"/><Relationship Id="rId446" Type="http://schemas.openxmlformats.org/officeDocument/2006/relationships/hyperlink" Target="https://drive.google.com/drive/folders/1-AWXp5iq1oQUtUcGEzcT-N33zyy2-HWd?usp=sharing" TargetMode="External"/><Relationship Id="rId653" Type="http://schemas.openxmlformats.org/officeDocument/2006/relationships/hyperlink" Target="https://doi.org/10.2174/0113894501290512240327091531" TargetMode="External"/><Relationship Id="rId292" Type="http://schemas.openxmlformats.org/officeDocument/2006/relationships/hyperlink" Target="https://drive.google.com/drive/folders/1-AWXp5iq1oQUtUcGEzcT-N33zyy2-HWd?usp=sharing" TargetMode="External"/><Relationship Id="rId306" Type="http://schemas.openxmlformats.org/officeDocument/2006/relationships/hyperlink" Target="https://doi.org/10.1016/j.bios.2024.116067" TargetMode="External"/><Relationship Id="rId860" Type="http://schemas.openxmlformats.org/officeDocument/2006/relationships/hyperlink" Target="https://doi.org/10.1088/1755-1315/1386/1/012005" TargetMode="External"/><Relationship Id="rId87" Type="http://schemas.openxmlformats.org/officeDocument/2006/relationships/hyperlink" Target="https://drive.google.com/drive/folders/1-AWXp5iq1oQUtUcGEzcT-N33zyy2-HWd?usp=sharing" TargetMode="External"/><Relationship Id="rId513" Type="http://schemas.openxmlformats.org/officeDocument/2006/relationships/hyperlink" Target="https://drive.google.com/drive/folders/1-AWXp5iq1oQUtUcGEzcT-N33zyy2-HWd?usp=sharing" TargetMode="External"/><Relationship Id="rId597" Type="http://schemas.openxmlformats.org/officeDocument/2006/relationships/hyperlink" Target="https://doi.org/10.3390/rs16111958" TargetMode="External"/><Relationship Id="rId720" Type="http://schemas.openxmlformats.org/officeDocument/2006/relationships/hyperlink" Target="https://doi.org/10.1109/ICWT58823.2023.10335263" TargetMode="External"/><Relationship Id="rId818" Type="http://schemas.openxmlformats.org/officeDocument/2006/relationships/hyperlink" Target="https://doi.org/10.1016/j.tsep.2024.102590" TargetMode="External"/><Relationship Id="rId152" Type="http://schemas.openxmlformats.org/officeDocument/2006/relationships/hyperlink" Target="http://doi.org/10.11591/ijeecs.v39.i2.pp987-995" TargetMode="External"/><Relationship Id="rId457" Type="http://schemas.openxmlformats.org/officeDocument/2006/relationships/hyperlink" Target="https://drive.google.com/drive/folders/1-AWXp5iq1oQUtUcGEzcT-N33zyy2-HWd?usp=sharing" TargetMode="External"/><Relationship Id="rId664" Type="http://schemas.openxmlformats.org/officeDocument/2006/relationships/hyperlink" Target="https://doi.org/10.1051/bioconf/202410604002" TargetMode="External"/><Relationship Id="rId871" Type="http://schemas.openxmlformats.org/officeDocument/2006/relationships/hyperlink" Target="https://doi.org/10.1109/IC3INA64086.2024.10732221" TargetMode="External"/><Relationship Id="rId14" Type="http://schemas.openxmlformats.org/officeDocument/2006/relationships/hyperlink" Target="https://www.scopus.com/record/display.uri?eid=2-s2.0-85212560912&amp;origin=resultslist" TargetMode="External"/><Relationship Id="rId317" Type="http://schemas.openxmlformats.org/officeDocument/2006/relationships/hyperlink" Target="https://drive.google.com/drive/folders/1-AWXp5iq1oQUtUcGEzcT-N33zyy2-HWd?usp=sharing" TargetMode="External"/><Relationship Id="rId524" Type="http://schemas.openxmlformats.org/officeDocument/2006/relationships/hyperlink" Target="https://doi.org/10.1117/12.3009209" TargetMode="External"/><Relationship Id="rId731" Type="http://schemas.openxmlformats.org/officeDocument/2006/relationships/hyperlink" Target="https://doi.org/10.3390/su16093765" TargetMode="External"/><Relationship Id="rId98" Type="http://schemas.openxmlformats.org/officeDocument/2006/relationships/hyperlink" Target="https://doi.org/10.1088/1361-6501/ad4fae" TargetMode="External"/><Relationship Id="rId163" Type="http://schemas.openxmlformats.org/officeDocument/2006/relationships/hyperlink" Target="https://doi.org/10.1109/IC3INA64086.2024.10732042." TargetMode="External"/><Relationship Id="rId370" Type="http://schemas.openxmlformats.org/officeDocument/2006/relationships/hyperlink" Target="https://www.informingscience.org/Publications/5439?Source=%2FJournals%2FIJIKM%2FArticles%3FVolume%3D0-0" TargetMode="External"/><Relationship Id="rId829" Type="http://schemas.openxmlformats.org/officeDocument/2006/relationships/hyperlink" Target="https://doi.org/10.1007/s41315-024-00350-1" TargetMode="External"/><Relationship Id="rId230" Type="http://schemas.openxmlformats.org/officeDocument/2006/relationships/hyperlink" Target="https://drive.google.com/drive/folders/1-AWXp5iq1oQUtUcGEzcT-N33zyy2-HWd?usp=sharing" TargetMode="External"/><Relationship Id="rId468" Type="http://schemas.openxmlformats.org/officeDocument/2006/relationships/hyperlink" Target="https://drive.google.com/drive/folders/1-AWXp5iq1oQUtUcGEzcT-N33zyy2-HWd?usp=sharing" TargetMode="External"/><Relationship Id="rId675" Type="http://schemas.openxmlformats.org/officeDocument/2006/relationships/hyperlink" Target="https://doi.org/10.1101/2022.11.13.516295" TargetMode="External"/><Relationship Id="rId882" Type="http://schemas.openxmlformats.org/officeDocument/2006/relationships/hyperlink" Target="https://doi.org/10.1063/5.0207990" TargetMode="External"/><Relationship Id="rId25" Type="http://schemas.openxmlformats.org/officeDocument/2006/relationships/hyperlink" Target="https://drive.google.com/drive/folders/1-AWXp5iq1oQUtUcGEzcT-N33zyy2-HWd?usp=sharing" TargetMode="External"/><Relationship Id="rId328" Type="http://schemas.openxmlformats.org/officeDocument/2006/relationships/hyperlink" Target="https://drive.google.com/file/d/1-hImjNbN26mOa7qGhYYOfR-FaMijCTvX/view?usp=sharing" TargetMode="External"/><Relationship Id="rId535" Type="http://schemas.openxmlformats.org/officeDocument/2006/relationships/hyperlink" Target="https://drive.google.com/drive/folders/1-AWXp5iq1oQUtUcGEzcT-N33zyy2-HWd?usp=sharing" TargetMode="External"/><Relationship Id="rId742" Type="http://schemas.openxmlformats.org/officeDocument/2006/relationships/hyperlink" Target="https://doi.org/10.21595/jme.2023.23452" TargetMode="External"/><Relationship Id="rId174" Type="http://schemas.openxmlformats.org/officeDocument/2006/relationships/hyperlink" Target="https://doi.org/10.1063/5.0205683" TargetMode="External"/><Relationship Id="rId381" Type="http://schemas.openxmlformats.org/officeDocument/2006/relationships/hyperlink" Target="https://doi.org/10.1016/j.rio.2024.100670" TargetMode="External"/><Relationship Id="rId602" Type="http://schemas.openxmlformats.org/officeDocument/2006/relationships/hyperlink" Target="https://doi.org/10.15866/irecap.v14i2.23911" TargetMode="External"/><Relationship Id="rId241" Type="http://schemas.openxmlformats.org/officeDocument/2006/relationships/hyperlink" Target="https://www.dovepress.com/big-data-analytics-for-uncovering-voxel-connectivity-patterns-in-atten-peer-reviewed-fulltext-article-JMDH" TargetMode="External"/><Relationship Id="rId479" Type="http://schemas.openxmlformats.org/officeDocument/2006/relationships/hyperlink" Target="https://drive.google.com/drive/folders/1-AWXp5iq1oQUtUcGEzcT-N33zyy2-HWd?usp=sharing" TargetMode="External"/><Relationship Id="rId686" Type="http://schemas.openxmlformats.org/officeDocument/2006/relationships/hyperlink" Target="https://doi.org/10.3847/1538-3881/ad6dd5" TargetMode="External"/><Relationship Id="rId893" Type="http://schemas.openxmlformats.org/officeDocument/2006/relationships/hyperlink" Target="https://doi.org/10.1063/5.0192879" TargetMode="External"/><Relationship Id="rId907" Type="http://schemas.openxmlformats.org/officeDocument/2006/relationships/hyperlink" Target="https://doi.org/10.1109/GSMM61775.2024.10553039" TargetMode="External"/><Relationship Id="rId36" Type="http://schemas.openxmlformats.org/officeDocument/2006/relationships/hyperlink" Target="https://doi.org/10.1016/j.heliyon.2024.e26191" TargetMode="External"/><Relationship Id="rId339" Type="http://schemas.openxmlformats.org/officeDocument/2006/relationships/hyperlink" Target="http://doi.org/10.1088/1742-6596/2705/1/012013" TargetMode="External"/><Relationship Id="rId546" Type="http://schemas.openxmlformats.org/officeDocument/2006/relationships/hyperlink" Target="https://doi.org/10.1117/12.3009674" TargetMode="External"/><Relationship Id="rId753" Type="http://schemas.openxmlformats.org/officeDocument/2006/relationships/hyperlink" Target="https://doi.org/10.1109/ICSINTESA62455.2024.10748108" TargetMode="External"/><Relationship Id="rId101" Type="http://schemas.openxmlformats.org/officeDocument/2006/relationships/hyperlink" Target="https://doi.org/10.1109/ICITSI65188.2024.10929191" TargetMode="External"/><Relationship Id="rId185" Type="http://schemas.openxmlformats.org/officeDocument/2006/relationships/hyperlink" Target="https://www.scopus.com/record/display.uri?eid=2-s2.0-105007755356&amp;origin=recordpage" TargetMode="External"/><Relationship Id="rId406" Type="http://schemas.openxmlformats.org/officeDocument/2006/relationships/hyperlink" Target="https://doi.org/10.24425/ijet.2024.149561" TargetMode="External"/><Relationship Id="rId392" Type="http://schemas.openxmlformats.org/officeDocument/2006/relationships/hyperlink" Target="https://doi.org/10.1021/acsbiomaterials.3c01965" TargetMode="External"/><Relationship Id="rId613" Type="http://schemas.openxmlformats.org/officeDocument/2006/relationships/hyperlink" Target="https://doi.org/10.1016/j.gecco.2024.e03101" TargetMode="External"/><Relationship Id="rId697" Type="http://schemas.openxmlformats.org/officeDocument/2006/relationships/hyperlink" Target="https://doi.org/10.1016/j.coastaleng.2024.104628" TargetMode="External"/><Relationship Id="rId820" Type="http://schemas.openxmlformats.org/officeDocument/2006/relationships/hyperlink" Target="https://doi.org/10.17222/mit.2023.869" TargetMode="External"/><Relationship Id="rId918" Type="http://schemas.openxmlformats.org/officeDocument/2006/relationships/hyperlink" Target="https://doi.org/10.1109/ICWT62080.2024.10674678" TargetMode="External"/><Relationship Id="rId252" Type="http://schemas.openxmlformats.org/officeDocument/2006/relationships/hyperlink" Target="https://doi.org/10.1016/j.jag.2024.104274" TargetMode="External"/><Relationship Id="rId47" Type="http://schemas.openxmlformats.org/officeDocument/2006/relationships/hyperlink" Target="https://doi.org/10.1007/s10209-024-01095-1" TargetMode="External"/><Relationship Id="rId112" Type="http://schemas.openxmlformats.org/officeDocument/2006/relationships/hyperlink" Target="https://www.scopus.com/record/display.uri?eid=2-s2.0-105000200852&amp;origin=recordpage" TargetMode="External"/><Relationship Id="rId557" Type="http://schemas.openxmlformats.org/officeDocument/2006/relationships/hyperlink" Target="https://drive.google.com/drive/folders/1-AWXp5iq1oQUtUcGEzcT-N33zyy2-HWd?usp=sharing" TargetMode="External"/><Relationship Id="rId764" Type="http://schemas.openxmlformats.org/officeDocument/2006/relationships/hyperlink" Target="https://doi.org/10.1080/23311975.2024.2374880" TargetMode="External"/><Relationship Id="rId196" Type="http://schemas.openxmlformats.org/officeDocument/2006/relationships/hyperlink" Target="https://doi.org/10.4018/979-8-3373-0250-8.ch005" TargetMode="External"/><Relationship Id="rId417" Type="http://schemas.openxmlformats.org/officeDocument/2006/relationships/hyperlink" Target="https://drive.google.com/drive/folders/1-AWXp5iq1oQUtUcGEzcT-N33zyy2-HWd?usp=sharing" TargetMode="External"/><Relationship Id="rId624" Type="http://schemas.openxmlformats.org/officeDocument/2006/relationships/hyperlink" Target="https://doi.org/10.1016/j.aiig.2024.100093" TargetMode="External"/><Relationship Id="rId831" Type="http://schemas.openxmlformats.org/officeDocument/2006/relationships/hyperlink" Target="https://doi.org/10.55677/ijlsar/V03I7Y2024-04" TargetMode="External"/><Relationship Id="rId263" Type="http://schemas.openxmlformats.org/officeDocument/2006/relationships/hyperlink" Target="https://doi.org/10.1007/s44444-025-00035-5" TargetMode="External"/><Relationship Id="rId470" Type="http://schemas.openxmlformats.org/officeDocument/2006/relationships/hyperlink" Target="https://drive.google.com/drive/folders/1-AWXp5iq1oQUtUcGEzcT-N33zyy2-HWd?usp=sharing" TargetMode="External"/><Relationship Id="rId929" Type="http://schemas.openxmlformats.org/officeDocument/2006/relationships/hyperlink" Target="https://doi.org/10.1109/iWEM59914.2024.10649050" TargetMode="External"/><Relationship Id="rId58" Type="http://schemas.openxmlformats.org/officeDocument/2006/relationships/hyperlink" Target="https://www.scopus.com/record/display.uri?eid=2-s2.0-85215504172&amp;origin=recordpage" TargetMode="External"/><Relationship Id="rId123" Type="http://schemas.openxmlformats.org/officeDocument/2006/relationships/hyperlink" Target="https://drive.google.com/drive/folders/1-AWXp5iq1oQUtUcGEzcT-N33zyy2-HWd?usp=sharing" TargetMode="External"/><Relationship Id="rId330" Type="http://schemas.openxmlformats.org/officeDocument/2006/relationships/hyperlink" Target="http://doi.org/10.15244/pjoes/174400" TargetMode="External"/><Relationship Id="rId568" Type="http://schemas.openxmlformats.org/officeDocument/2006/relationships/hyperlink" Target="https://doi.org/10.1016/j.gsd.2024.101382" TargetMode="External"/><Relationship Id="rId775" Type="http://schemas.openxmlformats.org/officeDocument/2006/relationships/hyperlink" Target="https://doi.org/10.1109/ICICoS62600.2024.10636863" TargetMode="External"/><Relationship Id="rId428" Type="http://schemas.openxmlformats.org/officeDocument/2006/relationships/hyperlink" Target="https://drive.google.com/drive/folders/1-AWXp5iq1oQUtUcGEzcT-N33zyy2-HWd?usp=sharing" TargetMode="External"/><Relationship Id="rId635" Type="http://schemas.openxmlformats.org/officeDocument/2006/relationships/hyperlink" Target="https://doi.org/10.1109/ICITISEE63424.2024.10730525" TargetMode="External"/><Relationship Id="rId842" Type="http://schemas.openxmlformats.org/officeDocument/2006/relationships/hyperlink" Target="https://doi.org/10.1063/5.0205789" TargetMode="External"/><Relationship Id="rId274" Type="http://schemas.openxmlformats.org/officeDocument/2006/relationships/hyperlink" Target="https://doi.org/10.4018/979-8-3693-3069-2.ch012" TargetMode="External"/><Relationship Id="rId481" Type="http://schemas.openxmlformats.org/officeDocument/2006/relationships/hyperlink" Target="https://drive.google.com/drive/folders/1-AWXp5iq1oQUtUcGEzcT-N33zyy2-HWd?usp=sharing" TargetMode="External"/><Relationship Id="rId702" Type="http://schemas.openxmlformats.org/officeDocument/2006/relationships/hyperlink" Target="http://dx.doi.org/10.1109/IC3INA64086.2024.10732255" TargetMode="External"/><Relationship Id="rId69" Type="http://schemas.openxmlformats.org/officeDocument/2006/relationships/hyperlink" Target="https://doi.org/10.1109/ACCESS.2025.3553192" TargetMode="External"/><Relationship Id="rId134" Type="http://schemas.openxmlformats.org/officeDocument/2006/relationships/hyperlink" Target="https://doi.org/10.33736/ils.6025.2024" TargetMode="External"/><Relationship Id="rId579" Type="http://schemas.openxmlformats.org/officeDocument/2006/relationships/hyperlink" Target="https://doi.org/10.1080/14498596.2024.2337747" TargetMode="External"/><Relationship Id="rId786" Type="http://schemas.openxmlformats.org/officeDocument/2006/relationships/hyperlink" Target="https://doi.org/10.1109/IC3INA64086.2024.10732523" TargetMode="External"/><Relationship Id="rId341" Type="http://schemas.openxmlformats.org/officeDocument/2006/relationships/hyperlink" Target="https://doi.org/10.1063/5.0184202" TargetMode="External"/><Relationship Id="rId439" Type="http://schemas.openxmlformats.org/officeDocument/2006/relationships/hyperlink" Target="https://doi.org/10.1063/5.0205821" TargetMode="External"/><Relationship Id="rId646" Type="http://schemas.openxmlformats.org/officeDocument/2006/relationships/hyperlink" Target="https://doi.org/10.1007/978-981-99-7769-7_7" TargetMode="External"/><Relationship Id="rId201" Type="http://schemas.openxmlformats.org/officeDocument/2006/relationships/hyperlink" Target="https://doi.org/10.1088/1748-0221/19/05/P05062" TargetMode="External"/><Relationship Id="rId285" Type="http://schemas.openxmlformats.org/officeDocument/2006/relationships/hyperlink" Target="https://doi.org/10.4018/979-8-3693-7011-7" TargetMode="External"/><Relationship Id="rId506" Type="http://schemas.openxmlformats.org/officeDocument/2006/relationships/hyperlink" Target="https://drive.google.com/drive/folders/1-AWXp5iq1oQUtUcGEzcT-N33zyy2-HWd?usp=sharing" TargetMode="External"/><Relationship Id="rId853" Type="http://schemas.openxmlformats.org/officeDocument/2006/relationships/hyperlink" Target="https://doi.org/10.1063/5.0206084" TargetMode="External"/><Relationship Id="rId492" Type="http://schemas.openxmlformats.org/officeDocument/2006/relationships/hyperlink" Target="https://drive.google.com/drive/folders/1-AWXp5iq1oQUtUcGEzcT-N33zyy2-HWd?usp=sharing" TargetMode="External"/><Relationship Id="rId713" Type="http://schemas.openxmlformats.org/officeDocument/2006/relationships/hyperlink" Target="https://doi.org/10.1007/s12665-023-11402-3" TargetMode="External"/><Relationship Id="rId797" Type="http://schemas.openxmlformats.org/officeDocument/2006/relationships/hyperlink" Target="https://doi.org/10.1109/ISCT62336.2024.10791228" TargetMode="External"/><Relationship Id="rId920" Type="http://schemas.openxmlformats.org/officeDocument/2006/relationships/hyperlink" Target="http://doi.org/10.37763/wr.1336-4561/69.3.456468" TargetMode="External"/><Relationship Id="rId145" Type="http://schemas.openxmlformats.org/officeDocument/2006/relationships/hyperlink" Target="https://doi.org/10.1007/s41870-024-02344-5" TargetMode="External"/><Relationship Id="rId352" Type="http://schemas.openxmlformats.org/officeDocument/2006/relationships/hyperlink" Target="https://doi.org/10.30880/jtet.2025.17.03.010" TargetMode="External"/><Relationship Id="rId212" Type="http://schemas.openxmlformats.org/officeDocument/2006/relationships/hyperlink" Target="https://doi.org/10.1109/IC3INA64086.2024.10732212" TargetMode="External"/><Relationship Id="rId657" Type="http://schemas.openxmlformats.org/officeDocument/2006/relationships/hyperlink" Target="https://doi.org/10.1051/e3sconf/202450101021" TargetMode="External"/><Relationship Id="rId864" Type="http://schemas.openxmlformats.org/officeDocument/2006/relationships/hyperlink" Target="https://doi.org/10.1109/ICoICT61617.2024.10698719" TargetMode="External"/><Relationship Id="rId296" Type="http://schemas.openxmlformats.org/officeDocument/2006/relationships/hyperlink" Target="https://drive.google.com/drive/folders/1-AWXp5iq1oQUtUcGEzcT-N33zyy2-HWd?usp=sharing" TargetMode="External"/><Relationship Id="rId517" Type="http://schemas.openxmlformats.org/officeDocument/2006/relationships/hyperlink" Target="https://drive.google.com/drive/folders/1-AWXp5iq1oQUtUcGEzcT-N33zyy2-HWd?usp=sharing" TargetMode="External"/><Relationship Id="rId724" Type="http://schemas.openxmlformats.org/officeDocument/2006/relationships/hyperlink" Target="https://doi.org/10.1109/ICWT58823.2023.10335354" TargetMode="External"/><Relationship Id="rId931" Type="http://schemas.openxmlformats.org/officeDocument/2006/relationships/hyperlink" Target="https://doi.org/10.1007/s00339-024-08062-w" TargetMode="External"/><Relationship Id="rId60" Type="http://schemas.openxmlformats.org/officeDocument/2006/relationships/hyperlink" Target="https://ebooks.iospress.nl/doi/10.3233/ATDE241220" TargetMode="External"/><Relationship Id="rId156" Type="http://schemas.openxmlformats.org/officeDocument/2006/relationships/hyperlink" Target="https://doi.org/10.1111/area.70049" TargetMode="External"/><Relationship Id="rId363" Type="http://schemas.openxmlformats.org/officeDocument/2006/relationships/hyperlink" Target="https://www.scopus.com/pages/publications/105020928881?origin=resultslist" TargetMode="External"/><Relationship Id="rId570" Type="http://schemas.openxmlformats.org/officeDocument/2006/relationships/hyperlink" Target="https://doi.org/10.1051/bioconf/20248907003" TargetMode="External"/><Relationship Id="rId223" Type="http://schemas.openxmlformats.org/officeDocument/2006/relationships/hyperlink" Target="https://www.scopus.com/pages/publications/85212466361" TargetMode="External"/><Relationship Id="rId430" Type="http://schemas.openxmlformats.org/officeDocument/2006/relationships/hyperlink" Target="https://drive.google.com/drive/folders/1-AWXp5iq1oQUtUcGEzcT-N33zyy2-HWd?usp=sharing" TargetMode="External"/><Relationship Id="rId668" Type="http://schemas.openxmlformats.org/officeDocument/2006/relationships/hyperlink" Target="https://doi.org/10.3390/aerospace11010052" TargetMode="External"/><Relationship Id="rId875" Type="http://schemas.openxmlformats.org/officeDocument/2006/relationships/hyperlink" Target="https://doi.org/10.1155/2024/8874325" TargetMode="External"/><Relationship Id="rId18" Type="http://schemas.openxmlformats.org/officeDocument/2006/relationships/hyperlink" Target="https://www.scopus.com/record/display.uri?eid=2-s2.0-85212942087&amp;origin=resultslist" TargetMode="External"/><Relationship Id="rId528" Type="http://schemas.openxmlformats.org/officeDocument/2006/relationships/hyperlink" Target="https://doi.org/10.1515/opag-2022-0241" TargetMode="External"/><Relationship Id="rId735" Type="http://schemas.openxmlformats.org/officeDocument/2006/relationships/hyperlink" Target="https://doi.org/10.61931/2224-9028.1568" TargetMode="External"/><Relationship Id="rId167" Type="http://schemas.openxmlformats.org/officeDocument/2006/relationships/hyperlink" Target="https://ieeexplore.ieee.org/document/10968323" TargetMode="External"/><Relationship Id="rId374" Type="http://schemas.openxmlformats.org/officeDocument/2006/relationships/hyperlink" Target="https://digilib.uin-suka.ac.id/id/eprint/74086/" TargetMode="External"/><Relationship Id="rId581" Type="http://schemas.openxmlformats.org/officeDocument/2006/relationships/hyperlink" Target="https://doi.org/10.1088/1755-1315/1315/1/012021" TargetMode="External"/><Relationship Id="rId71" Type="http://schemas.openxmlformats.org/officeDocument/2006/relationships/hyperlink" Target="https://drive.google.com/drive/folders/1-AWXp5iq1oQUtUcGEzcT-N33zyy2-HWd?usp=sharing" TargetMode="External"/><Relationship Id="rId234" Type="http://schemas.openxmlformats.org/officeDocument/2006/relationships/hyperlink" Target="http://m.sc/" TargetMode="External"/><Relationship Id="rId679" Type="http://schemas.openxmlformats.org/officeDocument/2006/relationships/hyperlink" Target="https://doi.org/10.1007/s10967-024-09613-4" TargetMode="External"/><Relationship Id="rId802" Type="http://schemas.openxmlformats.org/officeDocument/2006/relationships/hyperlink" Target="https://doi.org/10.29379/jedem.v16i1.898" TargetMode="External"/><Relationship Id="rId886" Type="http://schemas.openxmlformats.org/officeDocument/2006/relationships/hyperlink" Target="https://doi.org/10.1016/j.jobe.2024.111484" TargetMode="External"/><Relationship Id="rId2" Type="http://schemas.openxmlformats.org/officeDocument/2006/relationships/hyperlink" Target="https://www.scopus.com/record/display.uri?eid=2-s2.0-85210507847&amp;origin=resultslist" TargetMode="External"/><Relationship Id="rId29" Type="http://schemas.openxmlformats.org/officeDocument/2006/relationships/hyperlink" Target="https://drive.google.com/drive/folders/1-AWXp5iq1oQUtUcGEzcT-N33zyy2-HWd?usp=sharing" TargetMode="External"/><Relationship Id="rId441" Type="http://schemas.openxmlformats.org/officeDocument/2006/relationships/hyperlink" Target="https://drive.google.com/drive/folders/1-AWXp5iq1oQUtUcGEzcT-N33zyy2-HWd?usp=sharing" TargetMode="External"/><Relationship Id="rId539" Type="http://schemas.openxmlformats.org/officeDocument/2006/relationships/hyperlink" Target="https://drive.google.com/drive/folders/1-AWXp5iq1oQUtUcGEzcT-N33zyy2-HWd?usp=sharing" TargetMode="External"/><Relationship Id="rId746" Type="http://schemas.openxmlformats.org/officeDocument/2006/relationships/hyperlink" Target="https://doi.org/10.55981/j.mev.2024.905" TargetMode="External"/><Relationship Id="rId178" Type="http://schemas.openxmlformats.org/officeDocument/2006/relationships/hyperlink" Target="https://doi.org/10.11591/ijai.v13.i3.pp3426-3436" TargetMode="External"/><Relationship Id="rId301" Type="http://schemas.openxmlformats.org/officeDocument/2006/relationships/hyperlink" Target="https://doi.org/10.1109/ICISS62896.2024.10751252" TargetMode="External"/><Relationship Id="rId82" Type="http://schemas.openxmlformats.org/officeDocument/2006/relationships/hyperlink" Target="https://doi.org/10.28945/5280" TargetMode="External"/><Relationship Id="rId385" Type="http://schemas.openxmlformats.org/officeDocument/2006/relationships/hyperlink" Target="https://drive.google.com/drive/folders/1-AWXp5iq1oQUtUcGEzcT-N33zyy2-HWd?usp=sharing" TargetMode="External"/><Relationship Id="rId592" Type="http://schemas.openxmlformats.org/officeDocument/2006/relationships/hyperlink" Target="https://doi.org/10.30892/gtg.53202-1218" TargetMode="External"/><Relationship Id="rId606" Type="http://schemas.openxmlformats.org/officeDocument/2006/relationships/hyperlink" Target="https://doi.org/10.24294/jipd.v8i6.3788" TargetMode="External"/><Relationship Id="rId813" Type="http://schemas.openxmlformats.org/officeDocument/2006/relationships/hyperlink" Target="https://doi.org/10.18196/jrc.v5i1.20371" TargetMode="External"/><Relationship Id="rId245" Type="http://schemas.openxmlformats.org/officeDocument/2006/relationships/hyperlink" Target="https://drive.google.com/drive/folders/1-AWXp5iq1oQUtUcGEzcT-N33zyy2-HWd?usp=sharing" TargetMode="External"/><Relationship Id="rId452" Type="http://schemas.openxmlformats.org/officeDocument/2006/relationships/hyperlink" Target="https://doi.org/10.1016/j.microc.2024.112044" TargetMode="External"/><Relationship Id="rId897" Type="http://schemas.openxmlformats.org/officeDocument/2006/relationships/hyperlink" Target="https://doi.org/10.1109/ITIS59651.2023.10420407" TargetMode="External"/><Relationship Id="rId105" Type="http://schemas.openxmlformats.org/officeDocument/2006/relationships/hyperlink" Target="https://doi.org/10.1007/s41976-025-00222-7" TargetMode="External"/><Relationship Id="rId312" Type="http://schemas.openxmlformats.org/officeDocument/2006/relationships/hyperlink" Target="https://doi.org/10.1016/j.matlet.2023.135847" TargetMode="External"/><Relationship Id="rId757" Type="http://schemas.openxmlformats.org/officeDocument/2006/relationships/hyperlink" Target="https://doi.org/10.1109/IES63037.2024.10665758" TargetMode="External"/><Relationship Id="rId93" Type="http://schemas.openxmlformats.org/officeDocument/2006/relationships/hyperlink" Target="https://doi.org/10.1109/BTS-I2C63534.2024.10942151" TargetMode="External"/><Relationship Id="rId189" Type="http://schemas.openxmlformats.org/officeDocument/2006/relationships/hyperlink" Target="https://www.scopus.com/record/display.uri?eid=2-s2.0-105005968093&amp;origin=recordpage" TargetMode="External"/><Relationship Id="rId396" Type="http://schemas.openxmlformats.org/officeDocument/2006/relationships/hyperlink" Target="https://brill.com/view/journals/fsd/16/2/article-p181_5.xml" TargetMode="External"/><Relationship Id="rId617" Type="http://schemas.openxmlformats.org/officeDocument/2006/relationships/hyperlink" Target="https://doi.org/10.1080/23311975.2024.2374880" TargetMode="External"/><Relationship Id="rId824" Type="http://schemas.openxmlformats.org/officeDocument/2006/relationships/hyperlink" Target="https://doi.org/10.1007/978-981-99-7569-3_4" TargetMode="External"/><Relationship Id="rId256" Type="http://schemas.openxmlformats.org/officeDocument/2006/relationships/hyperlink" Target="https://doi.org/10.12928/TELKOMNIKA.v22i6.26051" TargetMode="External"/><Relationship Id="rId463" Type="http://schemas.openxmlformats.org/officeDocument/2006/relationships/hyperlink" Target="https://drive.google.com/drive/folders/1-AWXp5iq1oQUtUcGEzcT-N33zyy2-HWd?usp=sharing" TargetMode="External"/><Relationship Id="rId670" Type="http://schemas.openxmlformats.org/officeDocument/2006/relationships/hyperlink" Target="https://doi.org/10.1016/j.joi.2023.101412" TargetMode="External"/><Relationship Id="rId116" Type="http://schemas.openxmlformats.org/officeDocument/2006/relationships/hyperlink" Target="https://www.emerald.com/insight/content/doi/10.1108/lhtn-03-2025-0044/full/html?skipTracking=true" TargetMode="External"/><Relationship Id="rId323" Type="http://schemas.openxmlformats.org/officeDocument/2006/relationships/hyperlink" Target="https://doi.org/10.1016/j.jastp.2025.106671" TargetMode="External"/><Relationship Id="rId530" Type="http://schemas.openxmlformats.org/officeDocument/2006/relationships/hyperlink" Target="https://doi.org/10.1117/12.3009195" TargetMode="External"/><Relationship Id="rId768" Type="http://schemas.openxmlformats.org/officeDocument/2006/relationships/hyperlink" Target="https://doi.org/10.1109/ICITRI62858.2024.10699195" TargetMode="External"/><Relationship Id="rId20" Type="http://schemas.openxmlformats.org/officeDocument/2006/relationships/hyperlink" Target="https://doi.org/10.1080/03610926.2022.2077963" TargetMode="External"/><Relationship Id="rId628" Type="http://schemas.openxmlformats.org/officeDocument/2006/relationships/hyperlink" Target="https://doi.org/10.1088/1755-1315/1388/1/012045" TargetMode="External"/><Relationship Id="rId835" Type="http://schemas.openxmlformats.org/officeDocument/2006/relationships/hyperlink" Target="https://doi.org/10.1063/5.0205783" TargetMode="External"/><Relationship Id="rId267" Type="http://schemas.openxmlformats.org/officeDocument/2006/relationships/hyperlink" Target="https://drive.google.com/drive/folders/1-AWXp5iq1oQUtUcGEzcT-N33zyy2-HWd?usp=sharing" TargetMode="External"/><Relationship Id="rId474" Type="http://schemas.openxmlformats.org/officeDocument/2006/relationships/hyperlink" Target="https://drive.google.com/drive/folders/1-AWXp5iq1oQUtUcGEzcT-N33zyy2-HWd?usp=sharing" TargetMode="External"/><Relationship Id="rId127" Type="http://schemas.openxmlformats.org/officeDocument/2006/relationships/hyperlink" Target="https://drive.google.com/drive/folders/1-AWXp5iq1oQUtUcGEzcT-N33zyy2-HWd?usp=sharing" TargetMode="External"/><Relationship Id="rId681" Type="http://schemas.openxmlformats.org/officeDocument/2006/relationships/hyperlink" Target="https://journal.rescollacomm.com/index.php/ijrcs/article/view/615/515" TargetMode="External"/><Relationship Id="rId779" Type="http://schemas.openxmlformats.org/officeDocument/2006/relationships/hyperlink" Target="https://doi.org/10.1063/5.0207420" TargetMode="External"/><Relationship Id="rId902" Type="http://schemas.openxmlformats.org/officeDocument/2006/relationships/hyperlink" Target="https://doi.org/10.1051/e3sconf/202450101015" TargetMode="External"/><Relationship Id="rId31" Type="http://schemas.openxmlformats.org/officeDocument/2006/relationships/hyperlink" Target="https://doi.org/10.1109/ACCESS.2025.3539346" TargetMode="External"/><Relationship Id="rId334" Type="http://schemas.openxmlformats.org/officeDocument/2006/relationships/hyperlink" Target="https://drive.google.com/drive/folders/1-AWXp5iq1oQUtUcGEzcT-N33zyy2-HWd?usp=sharing" TargetMode="External"/><Relationship Id="rId541" Type="http://schemas.openxmlformats.org/officeDocument/2006/relationships/hyperlink" Target="https://drive.google.com/drive/folders/1-AWXp5iq1oQUtUcGEzcT-N33zyy2-HWd?usp=sharing" TargetMode="External"/><Relationship Id="rId639" Type="http://schemas.openxmlformats.org/officeDocument/2006/relationships/hyperlink" Target="https://doi.org/10.1063/5.0193439" TargetMode="External"/><Relationship Id="rId180" Type="http://schemas.openxmlformats.org/officeDocument/2006/relationships/hyperlink" Target="https://www.tandfonline.com/doi/full/10.1080/09540091.2025.2507179" TargetMode="External"/><Relationship Id="rId278" Type="http://schemas.openxmlformats.org/officeDocument/2006/relationships/hyperlink" Target="https://drive.google.com/file/d/1onfgUfcNhFiPmGmol8YhY4Y5QJDi2e5y/view?usp=drive_link" TargetMode="External"/><Relationship Id="rId401" Type="http://schemas.openxmlformats.org/officeDocument/2006/relationships/hyperlink" Target="https://drive.google.com/drive/folders/1-AWXp5iq1oQUtUcGEzcT-N33zyy2-HWd?usp=sharing" TargetMode="External"/><Relationship Id="rId846" Type="http://schemas.openxmlformats.org/officeDocument/2006/relationships/hyperlink" Target="https://doi.org/10.1088/1755-1315/1354/1/012005" TargetMode="External"/><Relationship Id="rId485" Type="http://schemas.openxmlformats.org/officeDocument/2006/relationships/hyperlink" Target="https://drive.google.com/drive/folders/1-AWXp5iq1oQUtUcGEzcT-N33zyy2-HWd?usp=sharing" TargetMode="External"/><Relationship Id="rId692" Type="http://schemas.openxmlformats.org/officeDocument/2006/relationships/hyperlink" Target="https://doi.org/10.1016/j.microb.2024.100175" TargetMode="External"/><Relationship Id="rId706" Type="http://schemas.openxmlformats.org/officeDocument/2006/relationships/hyperlink" Target="https://doi.org/10.1186/s12864-024-10996-7" TargetMode="External"/><Relationship Id="rId913" Type="http://schemas.openxmlformats.org/officeDocument/2006/relationships/hyperlink" Target="https://doi.org/10.1109/IC3INA64086.2024.10732374" TargetMode="External"/><Relationship Id="rId42" Type="http://schemas.openxmlformats.org/officeDocument/2006/relationships/hyperlink" Target="https://www.inderscienceonline.com/doi/abs/10.1504/IJTLID.2025.144531" TargetMode="External"/><Relationship Id="rId138" Type="http://schemas.openxmlformats.org/officeDocument/2006/relationships/hyperlink" Target="https://doi.org/10.25077/josi.v23.n1.p1-14.2024" TargetMode="External"/><Relationship Id="rId345" Type="http://schemas.openxmlformats.org/officeDocument/2006/relationships/hyperlink" Target="https://drive.google.com/drive/folders/1-AWXp5iq1oQUtUcGEzcT-N33zyy2-HWd?usp=sharing" TargetMode="External"/><Relationship Id="rId552" Type="http://schemas.openxmlformats.org/officeDocument/2006/relationships/hyperlink" Target="https://doi.org/10.1109/LGRS.2023.3340410" TargetMode="External"/><Relationship Id="rId191" Type="http://schemas.openxmlformats.org/officeDocument/2006/relationships/hyperlink" Target="https://doi.org/10.1109/ACCESS.2024.3380018" TargetMode="External"/><Relationship Id="rId205" Type="http://schemas.openxmlformats.org/officeDocument/2006/relationships/hyperlink" Target="https://drive.google.com/drive/folders/1-AWXp5iq1oQUtUcGEzcT-N33zyy2-HWd?usp=sharing" TargetMode="External"/><Relationship Id="rId412" Type="http://schemas.openxmlformats.org/officeDocument/2006/relationships/hyperlink" Target="https://drive.google.com/drive/folders/1-AWXp5iq1oQUtUcGEzcT-N33zyy2-HWd?usp=sharing" TargetMode="External"/><Relationship Id="rId857" Type="http://schemas.openxmlformats.org/officeDocument/2006/relationships/hyperlink" Target="https://doi.org/10.1109/ICoDSA62899.2024.10651794" TargetMode="External"/><Relationship Id="rId289" Type="http://schemas.openxmlformats.org/officeDocument/2006/relationships/hyperlink" Target="https://doi.org/10.1109/IC3INA64086.2024.10732800" TargetMode="External"/><Relationship Id="rId496" Type="http://schemas.openxmlformats.org/officeDocument/2006/relationships/hyperlink" Target="https://drive.google.com/drive/folders/1-AWXp5iq1oQUtUcGEzcT-N33zyy2-HWd?usp=sharing" TargetMode="External"/><Relationship Id="rId717" Type="http://schemas.openxmlformats.org/officeDocument/2006/relationships/hyperlink" Target="https://doi.org/10.1109/AIMS61812.2024.10513177" TargetMode="External"/><Relationship Id="rId924" Type="http://schemas.openxmlformats.org/officeDocument/2006/relationships/hyperlink" Target="https://doi.org/10.1088/1402-4896/ad8d86" TargetMode="External"/><Relationship Id="rId53" Type="http://schemas.openxmlformats.org/officeDocument/2006/relationships/hyperlink" Target="https://doi.org/10.1016/j.rsase.2024.101175" TargetMode="External"/><Relationship Id="rId149" Type="http://schemas.openxmlformats.org/officeDocument/2006/relationships/hyperlink" Target="https://doi.org/10.2174/0113894501290512240327091531" TargetMode="External"/><Relationship Id="rId356" Type="http://schemas.openxmlformats.org/officeDocument/2006/relationships/hyperlink" Target="https://doi.org/10.1007/s43621-025-01789-3" TargetMode="External"/><Relationship Id="rId563" Type="http://schemas.openxmlformats.org/officeDocument/2006/relationships/hyperlink" Target="https://drive.google.com/drive/folders/1-AWXp5iq1oQUtUcGEzcT-N33zyy2-HWd?usp=sharing" TargetMode="External"/><Relationship Id="rId770" Type="http://schemas.openxmlformats.org/officeDocument/2006/relationships/hyperlink" Target="https://doi.org/10.1109/ICRAMET62801.2024.10809158" TargetMode="External"/><Relationship Id="rId216" Type="http://schemas.openxmlformats.org/officeDocument/2006/relationships/hyperlink" Target="https://doi.org/10.1109/IC3INA64086.2024.10732819" TargetMode="External"/><Relationship Id="rId423" Type="http://schemas.openxmlformats.org/officeDocument/2006/relationships/hyperlink" Target="https://drive.google.com/file/d/1qGdpseN1UemijZsOpPZDOpF8KZ9xOueM/view?usp=sharing" TargetMode="External"/><Relationship Id="rId868" Type="http://schemas.openxmlformats.org/officeDocument/2006/relationships/hyperlink" Target="https://doi.org/10.3390/s24206762" TargetMode="External"/><Relationship Id="rId630" Type="http://schemas.openxmlformats.org/officeDocument/2006/relationships/hyperlink" Target="https://doi.org/10.1108/IJTC-01-2024-0040" TargetMode="External"/><Relationship Id="rId728" Type="http://schemas.openxmlformats.org/officeDocument/2006/relationships/hyperlink" Target="https://doi.org/10.1063/5.020810" TargetMode="External"/><Relationship Id="rId935" Type="http://schemas.openxmlformats.org/officeDocument/2006/relationships/table" Target="../tables/table1.xml"/><Relationship Id="rId64" Type="http://schemas.openxmlformats.org/officeDocument/2006/relationships/hyperlink" Target="https://doi.org/10.3233/ATDE241310" TargetMode="External"/><Relationship Id="rId367" Type="http://schemas.openxmlformats.org/officeDocument/2006/relationships/hyperlink" Target="https://elcvia.cvc.uab.cat/article/view/2193" TargetMode="External"/><Relationship Id="rId574" Type="http://schemas.openxmlformats.org/officeDocument/2006/relationships/hyperlink" Target="https://doi.org/10.1007/978-3-031-52708-1_12" TargetMode="External"/><Relationship Id="rId227" Type="http://schemas.openxmlformats.org/officeDocument/2006/relationships/hyperlink" Target="https://bsj.uobaghdad.edu.iq/home/vol22/iss7/29/" TargetMode="External"/><Relationship Id="rId781" Type="http://schemas.openxmlformats.org/officeDocument/2006/relationships/hyperlink" Target="https://doi.org/10.1080/21642583.2024.2409106" TargetMode="External"/><Relationship Id="rId879" Type="http://schemas.openxmlformats.org/officeDocument/2006/relationships/hyperlink" Target="https://doi.org/10.1109/ICISS62896.2024.10751352" TargetMode="External"/><Relationship Id="rId434" Type="http://schemas.openxmlformats.org/officeDocument/2006/relationships/hyperlink" Target="https://drive.google.com/drive/folders/1-AWXp5iq1oQUtUcGEzcT-N33zyy2-HWd?usp=sharing" TargetMode="External"/><Relationship Id="rId641" Type="http://schemas.openxmlformats.org/officeDocument/2006/relationships/hyperlink" Target="https://doi.org/10.1063/5.0193405" TargetMode="External"/><Relationship Id="rId739" Type="http://schemas.openxmlformats.org/officeDocument/2006/relationships/hyperlink" Target="https://doi.org/10.1109/ICoSEIT60086.2024.10497510" TargetMode="External"/><Relationship Id="rId280" Type="http://schemas.openxmlformats.org/officeDocument/2006/relationships/hyperlink" Target="https://drive.google.com/drive/folders/1-AWXp5iq1oQUtUcGEzcT-N33zyy2-HWd?usp=sharing" TargetMode="External"/><Relationship Id="rId501" Type="http://schemas.openxmlformats.org/officeDocument/2006/relationships/hyperlink" Target="https://drive.google.com/drive/folders/1-AWXp5iq1oQUtUcGEzcT-N33zyy2-HWd?usp=sharing" TargetMode="External"/><Relationship Id="rId75" Type="http://schemas.openxmlformats.org/officeDocument/2006/relationships/hyperlink" Target="https://drive.google.com/drive/folders/1-AWXp5iq1oQUtUcGEzcT-N33zyy2-HWd?usp=sharing" TargetMode="External"/><Relationship Id="rId140" Type="http://schemas.openxmlformats.org/officeDocument/2006/relationships/hyperlink" Target="https://www.scopus.com/record/display.uri?eid=2-s2.0-85211933869&amp;origin=recordpage" TargetMode="External"/><Relationship Id="rId378" Type="http://schemas.openxmlformats.org/officeDocument/2006/relationships/hyperlink" Target="https://drive.google.com/drive/folders/1-AWXp5iq1oQUtUcGEzcT-N33zyy2-HWd?usp=sharing" TargetMode="External"/><Relationship Id="rId585" Type="http://schemas.openxmlformats.org/officeDocument/2006/relationships/hyperlink" Target="https://doi.org/10.17794/rgn.2024.5.2" TargetMode="External"/><Relationship Id="rId792" Type="http://schemas.openxmlformats.org/officeDocument/2006/relationships/hyperlink" Target="https://doi.org/10.1080/00288306.2024.2402254" TargetMode="External"/><Relationship Id="rId806" Type="http://schemas.openxmlformats.org/officeDocument/2006/relationships/hyperlink" Target="https://doi.org/10.1016/j.rineng.2023.101736" TargetMode="External"/><Relationship Id="rId6" Type="http://schemas.openxmlformats.org/officeDocument/2006/relationships/hyperlink" Target="https://www.scopus.com/record/display.uri?eid=2-s2.0-85214489294&amp;origin=resultslist" TargetMode="External"/><Relationship Id="rId238" Type="http://schemas.openxmlformats.org/officeDocument/2006/relationships/hyperlink" Target="https://doi.org/10.1007/s00521-025-11467-0" TargetMode="External"/><Relationship Id="rId445" Type="http://schemas.openxmlformats.org/officeDocument/2006/relationships/hyperlink" Target="https://drive.google.com/drive/folders/1-AWXp5iq1oQUtUcGEzcT-N33zyy2-HWd?usp=sharing" TargetMode="External"/><Relationship Id="rId652" Type="http://schemas.openxmlformats.org/officeDocument/2006/relationships/hyperlink" Target="https://doi.org/10.7494/geom.2024.18.2.73" TargetMode="External"/><Relationship Id="rId291" Type="http://schemas.openxmlformats.org/officeDocument/2006/relationships/hyperlink" Target="https://doi.org/10.1109/IC3INA64086.2024.10732708" TargetMode="External"/><Relationship Id="rId305" Type="http://schemas.openxmlformats.org/officeDocument/2006/relationships/hyperlink" Target="https://drive.google.com/drive/folders/1-AWXp5iq1oQUtUcGEzcT-N33zyy2-HWd?usp=sharing" TargetMode="External"/><Relationship Id="rId512" Type="http://schemas.openxmlformats.org/officeDocument/2006/relationships/hyperlink" Target="https://drive.google.com/drive/folders/1-AWXp5iq1oQUtUcGEzcT-N33zyy2-HWd?usp=sharing" TargetMode="External"/><Relationship Id="rId86" Type="http://schemas.openxmlformats.org/officeDocument/2006/relationships/hyperlink" Target="https://doi.org/10.1109/ICoSEIT60086.2024.10497473" TargetMode="External"/><Relationship Id="rId151" Type="http://schemas.openxmlformats.org/officeDocument/2006/relationships/hyperlink" Target="https://ijeecs.iaescore.com/index.php/IJEECS/article/view/42679" TargetMode="External"/><Relationship Id="rId389" Type="http://schemas.openxmlformats.org/officeDocument/2006/relationships/hyperlink" Target="https://drive.google.com/drive/folders/1-AWXp5iq1oQUtUcGEzcT-N33zyy2-HWd?usp=sharing" TargetMode="External"/><Relationship Id="rId596" Type="http://schemas.openxmlformats.org/officeDocument/2006/relationships/hyperlink" Target="https://doi.org/10.62593/2090-2468.1033" TargetMode="External"/><Relationship Id="rId817" Type="http://schemas.openxmlformats.org/officeDocument/2006/relationships/hyperlink" Target="https://doi.org/10.1002/pi.6643" TargetMode="External"/><Relationship Id="rId249" Type="http://schemas.openxmlformats.org/officeDocument/2006/relationships/hyperlink" Target="https://drive.google.com/drive/folders/1-AWXp5iq1oQUtUcGEzcT-N33zyy2-HWd?usp=sharing" TargetMode="External"/><Relationship Id="rId456" Type="http://schemas.openxmlformats.org/officeDocument/2006/relationships/hyperlink" Target="https://doi.org/10.58915/ijneam.v17i4.1273" TargetMode="External"/><Relationship Id="rId663" Type="http://schemas.openxmlformats.org/officeDocument/2006/relationships/hyperlink" Target="https://doi.org/10.1007/s11274-024-03979-z" TargetMode="External"/><Relationship Id="rId870" Type="http://schemas.openxmlformats.org/officeDocument/2006/relationships/hyperlink" Target="https://doi.org/10.13057/biodiv/d251024" TargetMode="External"/><Relationship Id="rId13" Type="http://schemas.openxmlformats.org/officeDocument/2006/relationships/hyperlink" Target="https://drive.google.com/drive/folders/1-AWXp5iq1oQUtUcGEzcT-N33zyy2-HWd?usp=sharing" TargetMode="External"/><Relationship Id="rId109" Type="http://schemas.openxmlformats.org/officeDocument/2006/relationships/hyperlink" Target="https://doi.org/10.12688/f1000research.143577.3" TargetMode="External"/><Relationship Id="rId316" Type="http://schemas.openxmlformats.org/officeDocument/2006/relationships/hyperlink" Target="https://doi.org/10.1021/acsomega.3c07856" TargetMode="External"/><Relationship Id="rId523" Type="http://schemas.openxmlformats.org/officeDocument/2006/relationships/hyperlink" Target="https://drive.google.com/drive/folders/1-AWXp5iq1oQUtUcGEzcT-N33zyy2-HWd?usp=sharing" TargetMode="External"/><Relationship Id="rId97" Type="http://schemas.openxmlformats.org/officeDocument/2006/relationships/hyperlink" Target="https://doi.org/10.1109/BTS-I2C63534.2024.10941994" TargetMode="External"/><Relationship Id="rId730" Type="http://schemas.openxmlformats.org/officeDocument/2006/relationships/hyperlink" Target="https://doi.org/10.1016/j.matpr.2024.03.021" TargetMode="External"/><Relationship Id="rId828" Type="http://schemas.openxmlformats.org/officeDocument/2006/relationships/hyperlink" Target="https://doi.org/10.1201/9781003484318" TargetMode="External"/><Relationship Id="rId162" Type="http://schemas.openxmlformats.org/officeDocument/2006/relationships/hyperlink" Target="https://doi.org/10.17083/ijsg.v12i2.890" TargetMode="External"/><Relationship Id="rId467" Type="http://schemas.openxmlformats.org/officeDocument/2006/relationships/hyperlink" Target="https://icipa.serral.org/2024/" TargetMode="External"/><Relationship Id="rId674" Type="http://schemas.openxmlformats.org/officeDocument/2006/relationships/hyperlink" Target="https://doi.org/10.1016/j.diamond.2024.111267" TargetMode="External"/><Relationship Id="rId881" Type="http://schemas.openxmlformats.org/officeDocument/2006/relationships/hyperlink" Target="https://doi.org/10.1109/ICISS62896.2024.10751445" TargetMode="External"/><Relationship Id="rId24" Type="http://schemas.openxmlformats.org/officeDocument/2006/relationships/hyperlink" Target="https://doi.org/10.28945/5257" TargetMode="External"/><Relationship Id="rId327" Type="http://schemas.openxmlformats.org/officeDocument/2006/relationships/hyperlink" Target="https://drive.google.com/drive/folders/1-AWXp5iq1oQUtUcGEzcT-N33zyy2-HWd?usp=sharing" TargetMode="External"/><Relationship Id="rId534" Type="http://schemas.openxmlformats.org/officeDocument/2006/relationships/hyperlink" Target="https://doi.org/10.1007/s12145-024-01248-z" TargetMode="External"/><Relationship Id="rId741" Type="http://schemas.openxmlformats.org/officeDocument/2006/relationships/hyperlink" Target="https://doi.org/10.18280/ts.410335" TargetMode="External"/><Relationship Id="rId839" Type="http://schemas.openxmlformats.org/officeDocument/2006/relationships/hyperlink" Target="https://doi.org/10.1063/5.0205766" TargetMode="External"/><Relationship Id="rId173" Type="http://schemas.openxmlformats.org/officeDocument/2006/relationships/hyperlink" Target="http://doi.org/10.11591/ijai.v14.i3.pp2389-2401" TargetMode="External"/><Relationship Id="rId380" Type="http://schemas.openxmlformats.org/officeDocument/2006/relationships/hyperlink" Target="https://drive.google.com/drive/folders/1-AWXp5iq1oQUtUcGEzcT-N33zyy2-HWd?usp=sharing" TargetMode="External"/><Relationship Id="rId601" Type="http://schemas.openxmlformats.org/officeDocument/2006/relationships/hyperlink" Target="https://doi.org/10.14710/ik.ijms.29.2.222-232" TargetMode="External"/><Relationship Id="rId240" Type="http://schemas.openxmlformats.org/officeDocument/2006/relationships/hyperlink" Target="https://drive.google.com/drive/folders/1-AWXp5iq1oQUtUcGEzcT-N33zyy2-HWd?usp=sharing" TargetMode="External"/><Relationship Id="rId478" Type="http://schemas.openxmlformats.org/officeDocument/2006/relationships/hyperlink" Target="https://drive.google.com/drive/folders/1-AWXp5iq1oQUtUcGEzcT-N33zyy2-HWd?usp=sharing" TargetMode="External"/><Relationship Id="rId685" Type="http://schemas.openxmlformats.org/officeDocument/2006/relationships/hyperlink" Target="https://doi.org/10.59277/roaj.2024.1-2.03" TargetMode="External"/><Relationship Id="rId892" Type="http://schemas.openxmlformats.org/officeDocument/2006/relationships/hyperlink" Target="https://doi.org/10.1088/1742-6596/2696/1/012012" TargetMode="External"/><Relationship Id="rId906" Type="http://schemas.openxmlformats.org/officeDocument/2006/relationships/hyperlink" Target="https://doi.org/10.1109/PIERS62282.2024.10618597" TargetMode="External"/><Relationship Id="rId35" Type="http://schemas.openxmlformats.org/officeDocument/2006/relationships/hyperlink" Target="https://doi.org/10.1504/IJTLID.2025.144531" TargetMode="External"/><Relationship Id="rId100" Type="http://schemas.openxmlformats.org/officeDocument/2006/relationships/hyperlink" Target="https://ieeexplore.ieee.org/abstract/document/10929191" TargetMode="External"/><Relationship Id="rId338" Type="http://schemas.openxmlformats.org/officeDocument/2006/relationships/hyperlink" Target="https://drive.google.com/drive/folders/1-AWXp5iq1oQUtUcGEzcT-N33zyy2-HWd?usp=sharing" TargetMode="External"/><Relationship Id="rId545" Type="http://schemas.openxmlformats.org/officeDocument/2006/relationships/hyperlink" Target="https://drive.google.com/drive/folders/1-AWXp5iq1oQUtUcGEzcT-N33zyy2-HWd?usp=sharing" TargetMode="External"/><Relationship Id="rId752" Type="http://schemas.openxmlformats.org/officeDocument/2006/relationships/hyperlink" Target="https://doi.org/10.2174/1574893618666230905154441" TargetMode="External"/><Relationship Id="rId184" Type="http://schemas.openxmlformats.org/officeDocument/2006/relationships/hyperlink" Target="https://drive.google.com/drive/folders/19mQDGPqzqXsKGJ18kSYSM9Zt7K8HWtoA?usp=sharing" TargetMode="External"/><Relationship Id="rId391" Type="http://schemas.openxmlformats.org/officeDocument/2006/relationships/hyperlink" Target="https://www.doi.org/10.47605/tapro.v14i2.380" TargetMode="External"/><Relationship Id="rId405" Type="http://schemas.openxmlformats.org/officeDocument/2006/relationships/hyperlink" Target="https://drive.google.com/drive/folders/1-AWXp5iq1oQUtUcGEzcT-N33zyy2-HWd?usp=sharing" TargetMode="External"/><Relationship Id="rId612" Type="http://schemas.openxmlformats.org/officeDocument/2006/relationships/hyperlink" Target="https://doi.org/10.1088/1755-1315/1357/1/012014" TargetMode="External"/><Relationship Id="rId251" Type="http://schemas.openxmlformats.org/officeDocument/2006/relationships/hyperlink" Target="https://doi.org/10.1007/s42979-025-04238-0" TargetMode="External"/><Relationship Id="rId489" Type="http://schemas.openxmlformats.org/officeDocument/2006/relationships/hyperlink" Target="https://drive.google.com/drive/folders/1-AWXp5iq1oQUtUcGEzcT-N33zyy2-HWd?usp=sharing" TargetMode="External"/><Relationship Id="rId696" Type="http://schemas.openxmlformats.org/officeDocument/2006/relationships/hyperlink" Target="https://doi.org/10.1080/14786419.2024.2406996" TargetMode="External"/><Relationship Id="rId917" Type="http://schemas.openxmlformats.org/officeDocument/2006/relationships/hyperlink" Target="https://doi.org/10.1016/j.snr.2024.100200" TargetMode="External"/><Relationship Id="rId46" Type="http://schemas.openxmlformats.org/officeDocument/2006/relationships/hyperlink" Target="https://doi.org/10.17014/ijog.12.1.43-53" TargetMode="External"/><Relationship Id="rId349" Type="http://schemas.openxmlformats.org/officeDocument/2006/relationships/hyperlink" Target="https://doi.org/10.1088/1742-6596/2705/1/012004" TargetMode="External"/><Relationship Id="rId556" Type="http://schemas.openxmlformats.org/officeDocument/2006/relationships/hyperlink" Target="https://doi.org/10.1109/APSAR58496.2023.10388541" TargetMode="External"/><Relationship Id="rId763" Type="http://schemas.openxmlformats.org/officeDocument/2006/relationships/hyperlink" Target="https://doi.org/10.1007/978-3-031-64766-6_38" TargetMode="External"/><Relationship Id="rId111" Type="http://schemas.openxmlformats.org/officeDocument/2006/relationships/hyperlink" Target="https://drive.google.com/drive/folders/1-AWXp5iq1oQUtUcGEzcT-N33zyy2-HWd?usp=sharing" TargetMode="External"/><Relationship Id="rId195" Type="http://schemas.openxmlformats.org/officeDocument/2006/relationships/hyperlink" Target="https://www.igi-global.com/book/advanced-prompt-engineering-techniques-resources/359191" TargetMode="External"/><Relationship Id="rId209" Type="http://schemas.openxmlformats.org/officeDocument/2006/relationships/hyperlink" Target="https://drive.google.com/drive/folders/1-AWXp5iq1oQUtUcGEzcT-N33zyy2-HWd?usp=sharing" TargetMode="External"/><Relationship Id="rId416" Type="http://schemas.openxmlformats.org/officeDocument/2006/relationships/hyperlink" Target="http://doi.org/10.11591/ijai.v14.i6.pp4579-4589" TargetMode="External"/><Relationship Id="rId623" Type="http://schemas.openxmlformats.org/officeDocument/2006/relationships/hyperlink" Target="https://doi.org/10.1016/j.procs.2024.10.270" TargetMode="External"/><Relationship Id="rId830" Type="http://schemas.openxmlformats.org/officeDocument/2006/relationships/hyperlink" Target="https://doi.org/10.55677/ijlsar/V03I7Y2024-10" TargetMode="External"/><Relationship Id="rId928" Type="http://schemas.openxmlformats.org/officeDocument/2006/relationships/hyperlink" Target="https://doi.org/10.13052/2024.ACES.J.390706" TargetMode="External"/><Relationship Id="rId57" Type="http://schemas.openxmlformats.org/officeDocument/2006/relationships/hyperlink" Target="https://drive.google.com/drive/folders/1-AWXp5iq1oQUtUcGEzcT-N33zyy2-HWd?usp=sharing" TargetMode="External"/><Relationship Id="rId262" Type="http://schemas.openxmlformats.org/officeDocument/2006/relationships/hyperlink" Target="https://www.scopus.com/pages/publications/105015439698?origin=resultslist" TargetMode="External"/><Relationship Id="rId567" Type="http://schemas.openxmlformats.org/officeDocument/2006/relationships/hyperlink" Target="https://drive.google.com/drive/folders/1-AWXp5iq1oQUtUcGEzcT-N33zyy2-HWd?usp=sharing" TargetMode="External"/><Relationship Id="rId122" Type="http://schemas.openxmlformats.org/officeDocument/2006/relationships/hyperlink" Target="https://doi.org/10.1109/AIMS61812.2024.10513177" TargetMode="External"/><Relationship Id="rId774" Type="http://schemas.openxmlformats.org/officeDocument/2006/relationships/hyperlink" Target="https://doi.org/10.32604/cmc.2024.054849" TargetMode="External"/><Relationship Id="rId427" Type="http://schemas.openxmlformats.org/officeDocument/2006/relationships/hyperlink" Target="https://drive.google.com/drive/folders/1-AWXp5iq1oQUtUcGEzcT-N33zyy2-HWd?usp=sharing" TargetMode="External"/><Relationship Id="rId634" Type="http://schemas.openxmlformats.org/officeDocument/2006/relationships/hyperlink" Target="https://doi.org/10.1088/1755-1315/1406/1/012011" TargetMode="External"/><Relationship Id="rId841" Type="http://schemas.openxmlformats.org/officeDocument/2006/relationships/hyperlink" Target="https://doi.org/10.1007/978-981-97-3409-2_10" TargetMode="External"/><Relationship Id="rId273" Type="http://schemas.openxmlformats.org/officeDocument/2006/relationships/hyperlink" Target="https://doi.org/10.1016/j.jag.2025.104793" TargetMode="External"/><Relationship Id="rId480" Type="http://schemas.openxmlformats.org/officeDocument/2006/relationships/hyperlink" Target="https://drive.google.com/drive/folders/1-AWXp5iq1oQUtUcGEzcT-N33zyy2-HWd?usp=sharing" TargetMode="External"/><Relationship Id="rId701" Type="http://schemas.openxmlformats.org/officeDocument/2006/relationships/hyperlink" Target="https://doi.org/10.24294/jipd.v8i12.8978" TargetMode="External"/><Relationship Id="rId68" Type="http://schemas.openxmlformats.org/officeDocument/2006/relationships/hyperlink" Target="https://ieeexplore.ieee.org/document/10934986" TargetMode="External"/><Relationship Id="rId133" Type="http://schemas.openxmlformats.org/officeDocument/2006/relationships/hyperlink" Target="https://doi.org/10.3390/tourhosp6020057" TargetMode="External"/><Relationship Id="rId340" Type="http://schemas.openxmlformats.org/officeDocument/2006/relationships/hyperlink" Target="https://drive.google.com/drive/folders/1-AWXp5iq1oQUtUcGEzcT-N33zyy2-HWd?usp=sharing" TargetMode="External"/><Relationship Id="rId578" Type="http://schemas.openxmlformats.org/officeDocument/2006/relationships/hyperlink" Target="https://doi.org/10.1007/s10661-024-12819-4" TargetMode="External"/><Relationship Id="rId785" Type="http://schemas.openxmlformats.org/officeDocument/2006/relationships/hyperlink" Target="https://doi.org/10.1109/IC3INA64086.2024.10732524" TargetMode="External"/><Relationship Id="rId200" Type="http://schemas.openxmlformats.org/officeDocument/2006/relationships/hyperlink" Target="https://doi.org/10.1108/PMM-04-2024-0025" TargetMode="External"/><Relationship Id="rId438" Type="http://schemas.openxmlformats.org/officeDocument/2006/relationships/hyperlink" Target="https://drive.google.com/drive/folders/1-AWXp5iq1oQUtUcGEzcT-N33zyy2-HWd?usp=sharing" TargetMode="External"/><Relationship Id="rId645" Type="http://schemas.openxmlformats.org/officeDocument/2006/relationships/hyperlink" Target="https://doi.org/10.1063/5.0186423" TargetMode="External"/><Relationship Id="rId852" Type="http://schemas.openxmlformats.org/officeDocument/2006/relationships/hyperlink" Target="https://doi.org/10.1063/5.0206086" TargetMode="External"/><Relationship Id="rId284" Type="http://schemas.openxmlformats.org/officeDocument/2006/relationships/hyperlink" Target="https://drive.google.com/drive/folders/1-AWXp5iq1oQUtUcGEzcT-N33zyy2-HWd?usp=sharing" TargetMode="External"/><Relationship Id="rId491" Type="http://schemas.openxmlformats.org/officeDocument/2006/relationships/hyperlink" Target="https://doi.org/10.15803/ijnc.14.2_145" TargetMode="External"/><Relationship Id="rId505" Type="http://schemas.openxmlformats.org/officeDocument/2006/relationships/hyperlink" Target="https://arqiipubl.com/ojs/index.php/AMS_Journal/article/view/757" TargetMode="External"/><Relationship Id="rId712" Type="http://schemas.openxmlformats.org/officeDocument/2006/relationships/hyperlink" Target="https://drive.google.com/file/d/15czx-WMz8fiKAt00dns-u48ZnowS28ro/view?usp=sharing" TargetMode="External"/><Relationship Id="rId79" Type="http://schemas.openxmlformats.org/officeDocument/2006/relationships/hyperlink" Target="https://drive.google.com/drive/folders/1-AWXp5iq1oQUtUcGEzcT-N33zyy2-HWd?usp=sharing" TargetMode="External"/><Relationship Id="rId144" Type="http://schemas.openxmlformats.org/officeDocument/2006/relationships/hyperlink" Target="https://www.scopus.com/record/display.uri?eid=2-s2.0-85211901572&amp;origin=recordpage" TargetMode="External"/><Relationship Id="rId589" Type="http://schemas.openxmlformats.org/officeDocument/2006/relationships/hyperlink" Target="https://doi.org/10.1016/j.aiig.2024.100078" TargetMode="External"/><Relationship Id="rId796" Type="http://schemas.openxmlformats.org/officeDocument/2006/relationships/hyperlink" Target="https://doi.org/10.1109/ISCT62336.2024.10791284" TargetMode="External"/><Relationship Id="rId351" Type="http://schemas.openxmlformats.org/officeDocument/2006/relationships/hyperlink" Target="https://www.scopus.com/pages/publications/105020728812?origin=resultslist" TargetMode="External"/><Relationship Id="rId449" Type="http://schemas.openxmlformats.org/officeDocument/2006/relationships/hyperlink" Target="https://drive.google.com/drive/folders/1-AWXp5iq1oQUtUcGEzcT-N33zyy2-HWd?usp=sharing" TargetMode="External"/><Relationship Id="rId656" Type="http://schemas.openxmlformats.org/officeDocument/2006/relationships/hyperlink" Target="https://doi.org/10.1051/e3sconf/202450101022" TargetMode="External"/><Relationship Id="rId863" Type="http://schemas.openxmlformats.org/officeDocument/2006/relationships/hyperlink" Target="https://doi.org/10.1109/IPEC61310.2024.00105" TargetMode="External"/><Relationship Id="rId211" Type="http://schemas.openxmlformats.org/officeDocument/2006/relationships/hyperlink" Target="https://doi.org/10.5614/cbms.2025.8.1.6" TargetMode="External"/><Relationship Id="rId295" Type="http://schemas.openxmlformats.org/officeDocument/2006/relationships/hyperlink" Target="https://doi.org/10.1051/bioconf/202413300019" TargetMode="External"/><Relationship Id="rId309" Type="http://schemas.openxmlformats.org/officeDocument/2006/relationships/hyperlink" Target="https://drive.google.com/drive/folders/1-AWXp5iq1oQUtUcGEzcT-N33zyy2-HWd?usp=sharing" TargetMode="External"/><Relationship Id="rId516" Type="http://schemas.openxmlformats.org/officeDocument/2006/relationships/hyperlink" Target="https://drive.google.com/drive/folders/1-AWXp5iq1oQUtUcGEzcT-N33zyy2-HWd?usp=sharing" TargetMode="External"/><Relationship Id="rId723" Type="http://schemas.openxmlformats.org/officeDocument/2006/relationships/hyperlink" Target="https://doi.org/10.1109/TSSA59948.2023.10366908" TargetMode="External"/><Relationship Id="rId930" Type="http://schemas.openxmlformats.org/officeDocument/2006/relationships/hyperlink" Target="https://doi.org/10.1109/ATNT61688.2024.10719055" TargetMode="External"/><Relationship Id="rId155" Type="http://schemas.openxmlformats.org/officeDocument/2006/relationships/hyperlink" Target="https://rgs-ibg.onlinelibrary.wiley.com/doi/10.1111/area.70049" TargetMode="External"/><Relationship Id="rId362" Type="http://schemas.openxmlformats.org/officeDocument/2006/relationships/hyperlink" Target="https://drive.google.com/drive/folders/1-AWXp5iq1oQUtUcGEzcT-N33zyy2-HWd?usp=sharing" TargetMode="External"/><Relationship Id="rId222" Type="http://schemas.openxmlformats.org/officeDocument/2006/relationships/hyperlink" Target="https://drive.google.com/drive/folders/1-AWXp5iq1oQUtUcGEzcT-N33zyy2-HWd?usp=sharing" TargetMode="External"/><Relationship Id="rId667" Type="http://schemas.openxmlformats.org/officeDocument/2006/relationships/hyperlink" Target="https://doi.org/10.1016/j.supflu.2023.106119" TargetMode="External"/><Relationship Id="rId874" Type="http://schemas.openxmlformats.org/officeDocument/2006/relationships/hyperlink" Target="http://dx.doi.org/10.1016/j.heliyon.2024.e39062" TargetMode="External"/><Relationship Id="rId17" Type="http://schemas.openxmlformats.org/officeDocument/2006/relationships/hyperlink" Target="https://drive.google.com/drive/folders/1-AWXp5iq1oQUtUcGEzcT-N33zyy2-HWd?usp=sharing" TargetMode="External"/><Relationship Id="rId59" Type="http://schemas.openxmlformats.org/officeDocument/2006/relationships/hyperlink" Target="https://doi.org/10.3233/ATDE241220" TargetMode="External"/><Relationship Id="rId124" Type="http://schemas.openxmlformats.org/officeDocument/2006/relationships/hyperlink" Target="https://www.sciencedirect.com/science/article/abs/pii/B9780443338717000179" TargetMode="External"/><Relationship Id="rId527" Type="http://schemas.openxmlformats.org/officeDocument/2006/relationships/hyperlink" Target="https://drive.google.com/drive/folders/1-AWXp5iq1oQUtUcGEzcT-N33zyy2-HWd?usp=sharing" TargetMode="External"/><Relationship Id="rId569" Type="http://schemas.openxmlformats.org/officeDocument/2006/relationships/hyperlink" Target="https://drive.google.com/drive/folders/1-AWXp5iq1oQUtUcGEzcT-N33zyy2-HWd?usp=sharing" TargetMode="External"/><Relationship Id="rId734" Type="http://schemas.openxmlformats.org/officeDocument/2006/relationships/hyperlink" Target="https://doi.org/10.1109/TBIOM.2024.3417372" TargetMode="External"/><Relationship Id="rId776" Type="http://schemas.openxmlformats.org/officeDocument/2006/relationships/hyperlink" Target="https://doi.org/10.3390/math12162447" TargetMode="External"/><Relationship Id="rId70" Type="http://schemas.openxmlformats.org/officeDocument/2006/relationships/hyperlink" Target="https://doi.org/10.21163/GT_2024.191.12" TargetMode="External"/><Relationship Id="rId166" Type="http://schemas.openxmlformats.org/officeDocument/2006/relationships/hyperlink" Target="https://drive.google.com/drive/folders/1-AWXp5iq1oQUtUcGEzcT-N33zyy2-HWd?usp=sharing" TargetMode="External"/><Relationship Id="rId331" Type="http://schemas.openxmlformats.org/officeDocument/2006/relationships/hyperlink" Target="https://drive.google.com/drive/folders/1-AWXp5iq1oQUtUcGEzcT-N33zyy2-HWd?usp=sharing" TargetMode="External"/><Relationship Id="rId373" Type="http://schemas.openxmlformats.org/officeDocument/2006/relationships/hyperlink" Target="https://drive.google.com/drive/folders/1-AWXp5iq1oQUtUcGEzcT-N33zyy2-HWd?usp=sharing" TargetMode="External"/><Relationship Id="rId429" Type="http://schemas.openxmlformats.org/officeDocument/2006/relationships/hyperlink" Target="https://drive.google.com/drive/folders/1-AWXp5iq1oQUtUcGEzcT-N33zyy2-HWd?usp=sharing" TargetMode="External"/><Relationship Id="rId580" Type="http://schemas.openxmlformats.org/officeDocument/2006/relationships/hyperlink" Target="https://doi.org/10.24425/jwld.2024.149114" TargetMode="External"/><Relationship Id="rId636" Type="http://schemas.openxmlformats.org/officeDocument/2006/relationships/hyperlink" Target="https://doi.org/10.1016/j.sste.2024.100635" TargetMode="External"/><Relationship Id="rId801" Type="http://schemas.openxmlformats.org/officeDocument/2006/relationships/hyperlink" Target="https://www.taylorfrancis.com/chapters/edit/10.1201/9781003492122-7/reengineering-processes-youth-exposure-agriculture-environmental-sustainability-revealing-big-data-technology-security-adoption-digital-ecosystem-heru-susanto-arif-junuin-alifya-kaya-shafa" TargetMode="External"/><Relationship Id="rId1" Type="http://schemas.openxmlformats.org/officeDocument/2006/relationships/hyperlink" Target="https://drive.google.com/drive/folders/1-AWXp5iq1oQUtUcGEzcT-N33zyy2-HWd?usp=sharing" TargetMode="External"/><Relationship Id="rId233" Type="http://schemas.openxmlformats.org/officeDocument/2006/relationships/hyperlink" Target="https://doi.org/10.1080/17477891.2024.2400140" TargetMode="External"/><Relationship Id="rId440" Type="http://schemas.openxmlformats.org/officeDocument/2006/relationships/hyperlink" Target="https://drive.google.com/drive/folders/1-AWXp5iq1oQUtUcGEzcT-N33zyy2-HWd?usp=sharing" TargetMode="External"/><Relationship Id="rId678" Type="http://schemas.openxmlformats.org/officeDocument/2006/relationships/hyperlink" Target="https://doi.org/10.1051/e3sconf/202450303001" TargetMode="External"/><Relationship Id="rId843" Type="http://schemas.openxmlformats.org/officeDocument/2006/relationships/hyperlink" Target="https://doi.org/10.1109/IAICT62357.2024.10617472" TargetMode="External"/><Relationship Id="rId885" Type="http://schemas.openxmlformats.org/officeDocument/2006/relationships/hyperlink" Target="https://doi.org/10.1063/5.0205710" TargetMode="External"/><Relationship Id="rId28" Type="http://schemas.openxmlformats.org/officeDocument/2006/relationships/hyperlink" Target="https://doi.org/10.5860/llm.v37i3.7559" TargetMode="External"/><Relationship Id="rId275" Type="http://schemas.openxmlformats.org/officeDocument/2006/relationships/hyperlink" Target="https://drive.google.com/drive/folders/1-AWXp5iq1oQUtUcGEzcT-N33zyy2-HWd?usp=sharing" TargetMode="External"/><Relationship Id="rId300" Type="http://schemas.openxmlformats.org/officeDocument/2006/relationships/hyperlink" Target="https://drive.google.com/drive/folders/1-AWXp5iq1oQUtUcGEzcT-N33zyy2-HWd?usp=sharing" TargetMode="External"/><Relationship Id="rId482" Type="http://schemas.openxmlformats.org/officeDocument/2006/relationships/hyperlink" Target="https://doi.org/10.1039/D4MA00726C" TargetMode="External"/><Relationship Id="rId538" Type="http://schemas.openxmlformats.org/officeDocument/2006/relationships/hyperlink" Target="https://doi.org/10.1117/12.3009372" TargetMode="External"/><Relationship Id="rId703" Type="http://schemas.openxmlformats.org/officeDocument/2006/relationships/hyperlink" Target="https://doi.org/10.69857/joapr.v12i4.573" TargetMode="External"/><Relationship Id="rId745" Type="http://schemas.openxmlformats.org/officeDocument/2006/relationships/hyperlink" Target="https://doi.org/10.1108/BPMJ-01-2024-0046" TargetMode="External"/><Relationship Id="rId910" Type="http://schemas.openxmlformats.org/officeDocument/2006/relationships/hyperlink" Target="https://doi.org/10.1002/adpr.202300303" TargetMode="External"/><Relationship Id="rId81" Type="http://schemas.openxmlformats.org/officeDocument/2006/relationships/hyperlink" Target="https://doi.org/10.1109/BTS-I2C63534.2024.10942151" TargetMode="External"/><Relationship Id="rId135" Type="http://schemas.openxmlformats.org/officeDocument/2006/relationships/hyperlink" Target="https://drive.google.com/drive/folders/1-AWXp5iq1oQUtUcGEzcT-N33zyy2-HWd?usp=sharing" TargetMode="External"/><Relationship Id="rId177" Type="http://schemas.openxmlformats.org/officeDocument/2006/relationships/hyperlink" Target="https://doi.org/10.1109/AGERS65212.2024.10932935" TargetMode="External"/><Relationship Id="rId342" Type="http://schemas.openxmlformats.org/officeDocument/2006/relationships/hyperlink" Target="http://m.sc/" TargetMode="External"/><Relationship Id="rId384" Type="http://schemas.openxmlformats.org/officeDocument/2006/relationships/hyperlink" Target="https://doi.org/10.1016/j.synthmet.2024.117646" TargetMode="External"/><Relationship Id="rId591" Type="http://schemas.openxmlformats.org/officeDocument/2006/relationships/hyperlink" Target="https://doi.org/10.4067/S0718-58392024000200267" TargetMode="External"/><Relationship Id="rId605" Type="http://schemas.openxmlformats.org/officeDocument/2006/relationships/hyperlink" Target="https://doi.org/10.1073/pnas.2318029121" TargetMode="External"/><Relationship Id="rId787" Type="http://schemas.openxmlformats.org/officeDocument/2006/relationships/hyperlink" Target="https://doi.org/10.1109/IC3INA64086.2024.10732567" TargetMode="External"/><Relationship Id="rId812" Type="http://schemas.openxmlformats.org/officeDocument/2006/relationships/hyperlink" Target="https://doi.org/10.61931/2224-9028.1549" TargetMode="External"/><Relationship Id="rId202" Type="http://schemas.openxmlformats.org/officeDocument/2006/relationships/hyperlink" Target="https://www.eppcgs.org/en/article/doi/10.26464/epp2025076" TargetMode="External"/><Relationship Id="rId244" Type="http://schemas.openxmlformats.org/officeDocument/2006/relationships/hyperlink" Target="http://m.sc/" TargetMode="External"/><Relationship Id="rId647" Type="http://schemas.openxmlformats.org/officeDocument/2006/relationships/hyperlink" Target="https://doi.org/10.1007/978-981-99-7769-7_8" TargetMode="External"/><Relationship Id="rId689" Type="http://schemas.openxmlformats.org/officeDocument/2006/relationships/hyperlink" Target="https://doi.org/10.18488/35.v11i1.3608" TargetMode="External"/><Relationship Id="rId854" Type="http://schemas.openxmlformats.org/officeDocument/2006/relationships/hyperlink" Target="https://doi.org/10.1063/5.0205760" TargetMode="External"/><Relationship Id="rId896" Type="http://schemas.openxmlformats.org/officeDocument/2006/relationships/hyperlink" Target="https://doi.org/10.1109/ITIS59651.2023.10420261" TargetMode="External"/><Relationship Id="rId39" Type="http://schemas.openxmlformats.org/officeDocument/2006/relationships/hyperlink" Target="https://doi.org/10.1108/LHTN-12-2024-0208" TargetMode="External"/><Relationship Id="rId286" Type="http://schemas.openxmlformats.org/officeDocument/2006/relationships/hyperlink" Target="https://drive.google.com/drive/folders/1-AWXp5iq1oQUtUcGEzcT-N33zyy2-HWd?usp=sharing" TargetMode="External"/><Relationship Id="rId451" Type="http://schemas.openxmlformats.org/officeDocument/2006/relationships/hyperlink" Target="https://drive.google.com/drive/folders/1-AWXp5iq1oQUtUcGEzcT-N33zyy2-HWd?usp=sharing" TargetMode="External"/><Relationship Id="rId493" Type="http://schemas.openxmlformats.org/officeDocument/2006/relationships/hyperlink" Target="https://doi.org/10.1007/s00339-024-08062-w" TargetMode="External"/><Relationship Id="rId507" Type="http://schemas.openxmlformats.org/officeDocument/2006/relationships/hyperlink" Target="https://drive.google.com/drive/folders/1-AWXp5iq1oQUtUcGEzcT-N33zyy2-HWd?usp=sharing" TargetMode="External"/><Relationship Id="rId549" Type="http://schemas.openxmlformats.org/officeDocument/2006/relationships/hyperlink" Target="https://drive.google.com/drive/folders/1-AWXp5iq1oQUtUcGEzcT-N33zyy2-HWd?usp=sharing" TargetMode="External"/><Relationship Id="rId714" Type="http://schemas.openxmlformats.org/officeDocument/2006/relationships/hyperlink" Target="https://doi.org/10.11114/smc.v12i1.6407" TargetMode="External"/><Relationship Id="rId756" Type="http://schemas.openxmlformats.org/officeDocument/2006/relationships/hyperlink" Target="https://doi.org/10.1109/ICECOS63900.2024.10791105" TargetMode="External"/><Relationship Id="rId921" Type="http://schemas.openxmlformats.org/officeDocument/2006/relationships/hyperlink" Target="https://doi.org/10.1016/j.jallcom.2024.176207" TargetMode="External"/><Relationship Id="rId50" Type="http://schemas.openxmlformats.org/officeDocument/2006/relationships/hyperlink" Target="https://drive.google.com/drive/folders/1-AWXp5iq1oQUtUcGEzcT-N33zyy2-HWd?usp=sharing" TargetMode="External"/><Relationship Id="rId104" Type="http://schemas.openxmlformats.org/officeDocument/2006/relationships/hyperlink" Target="https://link.springer.com/content/pdf/10.1007/s41976-025-00222-7.pdf" TargetMode="External"/><Relationship Id="rId146" Type="http://schemas.openxmlformats.org/officeDocument/2006/relationships/hyperlink" Target="https://doi.org/10.1016/j.kjs.2024.100293" TargetMode="External"/><Relationship Id="rId188" Type="http://schemas.openxmlformats.org/officeDocument/2006/relationships/hyperlink" Target="https://drive.google.com/drive/folders/1-AWXp5iq1oQUtUcGEzcT-N33zyy2-HWd?usp=sharing" TargetMode="External"/><Relationship Id="rId311" Type="http://schemas.openxmlformats.org/officeDocument/2006/relationships/hyperlink" Target="https://drive.google.com/drive/folders/1-AWXp5iq1oQUtUcGEzcT-N33zyy2-HWd?usp=sharing" TargetMode="External"/><Relationship Id="rId353" Type="http://schemas.openxmlformats.org/officeDocument/2006/relationships/hyperlink" Target="https://doi.org/10.1002/cben.202300043" TargetMode="External"/><Relationship Id="rId395" Type="http://schemas.openxmlformats.org/officeDocument/2006/relationships/hyperlink" Target="https://drive.google.com/drive/folders/1-AWXp5iq1oQUtUcGEzcT-N33zyy2-HWd?usp=sharing" TargetMode="External"/><Relationship Id="rId409" Type="http://schemas.openxmlformats.org/officeDocument/2006/relationships/hyperlink" Target="https://doi.org/10.1016/j.optmat.2024.115690" TargetMode="External"/><Relationship Id="rId560" Type="http://schemas.openxmlformats.org/officeDocument/2006/relationships/hyperlink" Target="https://doi.org/10.1109/APSAR58496.2023.10388980" TargetMode="External"/><Relationship Id="rId798" Type="http://schemas.openxmlformats.org/officeDocument/2006/relationships/hyperlink" Target="https://doi.org/10.1016/j.kjs.2024.100293" TargetMode="External"/><Relationship Id="rId92" Type="http://schemas.openxmlformats.org/officeDocument/2006/relationships/hyperlink" Target="https://ieeexplore.ieee.org/abstract/document/10942151" TargetMode="External"/><Relationship Id="rId213" Type="http://schemas.openxmlformats.org/officeDocument/2006/relationships/hyperlink" Target="https://drive.google.com/drive/folders/1-AWXp5iq1oQUtUcGEzcT-N33zyy2-HWd?usp=sharing" TargetMode="External"/><Relationship Id="rId420" Type="http://schemas.openxmlformats.org/officeDocument/2006/relationships/hyperlink" Target="https://drive.google.com/drive/folders/1-AWXp5iq1oQUtUcGEzcT-N33zyy2-HWd?usp=sharing" TargetMode="External"/><Relationship Id="rId616" Type="http://schemas.openxmlformats.org/officeDocument/2006/relationships/hyperlink" Target="https://doi.org/10.21109/kesmas.v19isp1.2067" TargetMode="External"/><Relationship Id="rId658" Type="http://schemas.openxmlformats.org/officeDocument/2006/relationships/hyperlink" Target="https://doi.org/10.1016/S0140-6736(24)00476-8" TargetMode="External"/><Relationship Id="rId823" Type="http://schemas.openxmlformats.org/officeDocument/2006/relationships/hyperlink" Target="https://doi.org/10.1016/j.procs.2024.03.137" TargetMode="External"/><Relationship Id="rId865" Type="http://schemas.openxmlformats.org/officeDocument/2006/relationships/hyperlink" Target="https://doi.org/10.1109/ICoICT61617.2024.10698555" TargetMode="External"/><Relationship Id="rId255" Type="http://schemas.openxmlformats.org/officeDocument/2006/relationships/hyperlink" Target="https://doi.org/10.3390/info16070562" TargetMode="External"/><Relationship Id="rId297" Type="http://schemas.openxmlformats.org/officeDocument/2006/relationships/hyperlink" Target="https://doi/org/10.1051/bioconf/202413402006" TargetMode="External"/><Relationship Id="rId462" Type="http://schemas.openxmlformats.org/officeDocument/2006/relationships/hyperlink" Target="http://doi.org/10.11591/ijeecs.v37.i1.pp143-153" TargetMode="External"/><Relationship Id="rId518" Type="http://schemas.openxmlformats.org/officeDocument/2006/relationships/hyperlink" Target="https://doi.org/10.7454/mss.v28i3.1469" TargetMode="External"/><Relationship Id="rId725" Type="http://schemas.openxmlformats.org/officeDocument/2006/relationships/hyperlink" Target="https://doi.org/10.1109/TSSA59948.2023.10366896" TargetMode="External"/><Relationship Id="rId932" Type="http://schemas.openxmlformats.org/officeDocument/2006/relationships/hyperlink" Target="http://doi.org/10.12928/telkomnika.v22i6.25718" TargetMode="External"/><Relationship Id="rId115" Type="http://schemas.openxmlformats.org/officeDocument/2006/relationships/hyperlink" Target="https://drive.google.com/drive/folders/1-AWXp5iq1oQUtUcGEzcT-N33zyy2-HWd?usp=sharing" TargetMode="External"/><Relationship Id="rId157" Type="http://schemas.openxmlformats.org/officeDocument/2006/relationships/hyperlink" Target="https://doi.org/10.28945/5366" TargetMode="External"/><Relationship Id="rId322" Type="http://schemas.openxmlformats.org/officeDocument/2006/relationships/hyperlink" Target="https://www.sciencedirect.com/science/article/pii/S136468262500255X" TargetMode="External"/><Relationship Id="rId364" Type="http://schemas.openxmlformats.org/officeDocument/2006/relationships/hyperlink" Target="https://doi.org/10.1016/j.jag.2025.104936" TargetMode="External"/><Relationship Id="rId767" Type="http://schemas.openxmlformats.org/officeDocument/2006/relationships/hyperlink" Target="https://doi.org/10.1109/ICITRI62858.2024.10699115" TargetMode="External"/><Relationship Id="rId61" Type="http://schemas.openxmlformats.org/officeDocument/2006/relationships/hyperlink" Target="https://doi.org/10.52549/ijeei.v12i1.5154" TargetMode="External"/><Relationship Id="rId199" Type="http://schemas.openxmlformats.org/officeDocument/2006/relationships/hyperlink" Target="https://www.emerald.com/insight/content/doi/10.1108/pmm-04-2024-0025/full/html" TargetMode="External"/><Relationship Id="rId571" Type="http://schemas.openxmlformats.org/officeDocument/2006/relationships/hyperlink" Target="https://drive.google.com/drive/folders/1-AWXp5iq1oQUtUcGEzcT-N33zyy2-HWd?usp=sharing" TargetMode="External"/><Relationship Id="rId627" Type="http://schemas.openxmlformats.org/officeDocument/2006/relationships/hyperlink" Target="http://doi.org/10.17794/rgn.2024.5.2" TargetMode="External"/><Relationship Id="rId669" Type="http://schemas.openxmlformats.org/officeDocument/2006/relationships/hyperlink" Target="https://doi.org/10.31557/APJCP.2024.25.4.1301" TargetMode="External"/><Relationship Id="rId834" Type="http://schemas.openxmlformats.org/officeDocument/2006/relationships/hyperlink" Target="https://doi.org/10.1063/5.0205706" TargetMode="External"/><Relationship Id="rId876" Type="http://schemas.openxmlformats.org/officeDocument/2006/relationships/hyperlink" Target="https://doi.org/10.3390/info15110705" TargetMode="External"/><Relationship Id="rId19" Type="http://schemas.openxmlformats.org/officeDocument/2006/relationships/hyperlink" Target="https://doi.org/10.1016/j.joitmc.2024.100458" TargetMode="External"/><Relationship Id="rId224" Type="http://schemas.openxmlformats.org/officeDocument/2006/relationships/hyperlink" Target="http://doi.org/10.1007/s41870-024-02361-4" TargetMode="External"/><Relationship Id="rId266" Type="http://schemas.openxmlformats.org/officeDocument/2006/relationships/hyperlink" Target="https://doi.org/10.1109/IC3INA64086.2024.10732209" TargetMode="External"/><Relationship Id="rId431" Type="http://schemas.openxmlformats.org/officeDocument/2006/relationships/hyperlink" Target="https://drive.google.com/drive/folders/1-AWXp5iq1oQUtUcGEzcT-N33zyy2-HWd?usp=sharing" TargetMode="External"/><Relationship Id="rId473" Type="http://schemas.openxmlformats.org/officeDocument/2006/relationships/hyperlink" Target="https://drive.google.com/drive/folders/1-AWXp5iq1oQUtUcGEzcT-N33zyy2-HWd?usp=sharing" TargetMode="External"/><Relationship Id="rId529" Type="http://schemas.openxmlformats.org/officeDocument/2006/relationships/hyperlink" Target="https://drive.google.com/drive/folders/1-AWXp5iq1oQUtUcGEzcT-N33zyy2-HWd?usp=sharing" TargetMode="External"/><Relationship Id="rId680" Type="http://schemas.openxmlformats.org/officeDocument/2006/relationships/hyperlink" Target="https://doi.org/10.1016/j.medj.2024.04.009" TargetMode="External"/><Relationship Id="rId736" Type="http://schemas.openxmlformats.org/officeDocument/2006/relationships/hyperlink" Target="https://doi.org/10.11591/ijece.v14i4.pp4418-4429" TargetMode="External"/><Relationship Id="rId901" Type="http://schemas.openxmlformats.org/officeDocument/2006/relationships/hyperlink" Target="https://doi.org/10.1016/j.micpro.2024.105063" TargetMode="External"/><Relationship Id="rId30" Type="http://schemas.openxmlformats.org/officeDocument/2006/relationships/hyperlink" Target="https://ieeexplore.ieee.org/document/10876129" TargetMode="External"/><Relationship Id="rId126" Type="http://schemas.openxmlformats.org/officeDocument/2006/relationships/hyperlink" Target="https://doi.org/10.28991/HEF-2024-05-02-02" TargetMode="External"/><Relationship Id="rId168" Type="http://schemas.openxmlformats.org/officeDocument/2006/relationships/hyperlink" Target="https://doi.org/10.1109/ICSC64553.2025.10968323" TargetMode="External"/><Relationship Id="rId333" Type="http://schemas.openxmlformats.org/officeDocument/2006/relationships/hyperlink" Target="https://ijece.iaescore.com/index.php/IJECE/article/view/34009/17222" TargetMode="External"/><Relationship Id="rId540" Type="http://schemas.openxmlformats.org/officeDocument/2006/relationships/hyperlink" Target="https://doi.org/10.1117/12.3009550" TargetMode="External"/><Relationship Id="rId778" Type="http://schemas.openxmlformats.org/officeDocument/2006/relationships/hyperlink" Target="https://doi.org/10.2174/0115748936285057240126062220" TargetMode="External"/><Relationship Id="rId72" Type="http://schemas.openxmlformats.org/officeDocument/2006/relationships/hyperlink" Target="https://drive.google.com/file/d/1yjgKM3kYTg0HSk339-r_Yg230KeUajb-/view?usp=drive_link" TargetMode="External"/><Relationship Id="rId375" Type="http://schemas.openxmlformats.org/officeDocument/2006/relationships/hyperlink" Target="https://doi.org/10.15866/irease.v17i1.24489" TargetMode="External"/><Relationship Id="rId582" Type="http://schemas.openxmlformats.org/officeDocument/2006/relationships/hyperlink" Target="https://doi.org/10.1007/s10333-024-00972-y" TargetMode="External"/><Relationship Id="rId638" Type="http://schemas.openxmlformats.org/officeDocument/2006/relationships/hyperlink" Target="https://doi.org/10.1007/s10967-023-09208-5" TargetMode="External"/><Relationship Id="rId803" Type="http://schemas.openxmlformats.org/officeDocument/2006/relationships/hyperlink" Target="https://doi.org/10.1109/ICARES64249.2024.10768099" TargetMode="External"/><Relationship Id="rId845" Type="http://schemas.openxmlformats.org/officeDocument/2006/relationships/hyperlink" Target="https://doi.org/10.1088/1755-1315/1359/1/012020" TargetMode="External"/><Relationship Id="rId3" Type="http://schemas.openxmlformats.org/officeDocument/2006/relationships/hyperlink" Target="https://doi.org/10.11591/eei.v14i1.7800" TargetMode="External"/><Relationship Id="rId235" Type="http://schemas.openxmlformats.org/officeDocument/2006/relationships/hyperlink" Target="http://m.sc/" TargetMode="External"/><Relationship Id="rId277" Type="http://schemas.openxmlformats.org/officeDocument/2006/relationships/hyperlink" Target="https://drive.google.com/drive/folders/1-AWXp5iq1oQUtUcGEzcT-N33zyy2-HWd?usp=sharing" TargetMode="External"/><Relationship Id="rId400" Type="http://schemas.openxmlformats.org/officeDocument/2006/relationships/hyperlink" Target="https://doi.org/10.1088/1755-1315/1344/1/012013" TargetMode="External"/><Relationship Id="rId442" Type="http://schemas.openxmlformats.org/officeDocument/2006/relationships/hyperlink" Target="https://drive.google.com/drive/folders/1-AWXp5iq1oQUtUcGEzcT-N33zyy2-HWd?usp=sharing" TargetMode="External"/><Relationship Id="rId484" Type="http://schemas.openxmlformats.org/officeDocument/2006/relationships/hyperlink" Target="https://edas.info/web/20247thisriti/program.html" TargetMode="External"/><Relationship Id="rId705" Type="http://schemas.openxmlformats.org/officeDocument/2006/relationships/hyperlink" Target="https://narraj.org/main/article/view/938" TargetMode="External"/><Relationship Id="rId887" Type="http://schemas.openxmlformats.org/officeDocument/2006/relationships/hyperlink" Target="https://doi.org/10.1109/ICRA57147.2024.10610146" TargetMode="External"/><Relationship Id="rId137" Type="http://schemas.openxmlformats.org/officeDocument/2006/relationships/hyperlink" Target="https://doi.org/10.1163/18696945-bja00006" TargetMode="External"/><Relationship Id="rId302" Type="http://schemas.openxmlformats.org/officeDocument/2006/relationships/hyperlink" Target="http://m.sc/" TargetMode="External"/><Relationship Id="rId344" Type="http://schemas.openxmlformats.org/officeDocument/2006/relationships/hyperlink" Target="https://doi.org/10.1088/1742-6596/2705/1/012009" TargetMode="External"/><Relationship Id="rId691" Type="http://schemas.openxmlformats.org/officeDocument/2006/relationships/hyperlink" Target="https://doi.org/10.1007/978-981-97-2136-8_28" TargetMode="External"/><Relationship Id="rId747" Type="http://schemas.openxmlformats.org/officeDocument/2006/relationships/hyperlink" Target="https://doi.org/10.1109/IWBF62628.2024.10593824" TargetMode="External"/><Relationship Id="rId789" Type="http://schemas.openxmlformats.org/officeDocument/2006/relationships/hyperlink" Target="https://doi.org/10.1109/IC3INA64086.2024.10732746" TargetMode="External"/><Relationship Id="rId912" Type="http://schemas.openxmlformats.org/officeDocument/2006/relationships/hyperlink" Target="https://doi.org/10.26554/sti.2024.9.3.577-585" TargetMode="External"/><Relationship Id="rId41" Type="http://schemas.openxmlformats.org/officeDocument/2006/relationships/hyperlink" Target="https://drive.google.com/drive/folders/1-AWXp5iq1oQUtUcGEzcT-N33zyy2-HWd?usp=sharing" TargetMode="External"/><Relationship Id="rId83" Type="http://schemas.openxmlformats.org/officeDocument/2006/relationships/hyperlink" Target="https://drive.google.com/drive/folders/1-AWXp5iq1oQUtUcGEzcT-N33zyy2-HWd?usp=sharing" TargetMode="External"/><Relationship Id="rId179" Type="http://schemas.openxmlformats.org/officeDocument/2006/relationships/hyperlink" Target="https://drive.google.com/drive/folders/1-AWXp5iq1oQUtUcGEzcT-N33zyy2-HWd?usp=sharing" TargetMode="External"/><Relationship Id="rId386" Type="http://schemas.openxmlformats.org/officeDocument/2006/relationships/hyperlink" Target="https://ijece.iaescore.com/index.php/IJECE/article/view/39332/18595" TargetMode="External"/><Relationship Id="rId551" Type="http://schemas.openxmlformats.org/officeDocument/2006/relationships/hyperlink" Target="https://drive.google.com/drive/folders/1-AWXp5iq1oQUtUcGEzcT-N33zyy2-HWd?usp=sharing" TargetMode="External"/><Relationship Id="rId593" Type="http://schemas.openxmlformats.org/officeDocument/2006/relationships/hyperlink" Target="https://doi.org/10.1016/j.ejrs.2024.04.008" TargetMode="External"/><Relationship Id="rId607" Type="http://schemas.openxmlformats.org/officeDocument/2006/relationships/hyperlink" Target="https://doi.org/10.1016/j.kjs.2024.100286" TargetMode="External"/><Relationship Id="rId649" Type="http://schemas.openxmlformats.org/officeDocument/2006/relationships/hyperlink" Target="https://doi.org/10.1016/j.jece.2024.112396" TargetMode="External"/><Relationship Id="rId814" Type="http://schemas.openxmlformats.org/officeDocument/2006/relationships/hyperlink" Target="https://doi.org/10.1007/978-981-99-7886-1_24" TargetMode="External"/><Relationship Id="rId856" Type="http://schemas.openxmlformats.org/officeDocument/2006/relationships/hyperlink" Target="https://doi.org/10.1109/ICoDSA62899.2024.10651686" TargetMode="External"/><Relationship Id="rId190" Type="http://schemas.openxmlformats.org/officeDocument/2006/relationships/hyperlink" Target="https://doi.org/10.29207/resti.v9i2.6205" TargetMode="External"/><Relationship Id="rId204" Type="http://schemas.openxmlformats.org/officeDocument/2006/relationships/hyperlink" Target="https://doi.org/10.1088/1755-1315/1377/1/012102" TargetMode="External"/><Relationship Id="rId246" Type="http://schemas.openxmlformats.org/officeDocument/2006/relationships/hyperlink" Target="https://link.springer.com/article/10.1007/s42979-025-04238-0" TargetMode="External"/><Relationship Id="rId288" Type="http://schemas.openxmlformats.org/officeDocument/2006/relationships/hyperlink" Target="https://drive.google.com/drive/folders/1-AWXp5iq1oQUtUcGEzcT-N33zyy2-HWd?usp=sharing" TargetMode="External"/><Relationship Id="rId411" Type="http://schemas.openxmlformats.org/officeDocument/2006/relationships/hyperlink" Target="https://drive.google.com/file/d/18O_fC6pCjE5eoM0qgDSi0j1nSfOPCIEE/view?usp=sharing" TargetMode="External"/><Relationship Id="rId453" Type="http://schemas.openxmlformats.org/officeDocument/2006/relationships/hyperlink" Target="https://drive.google.com/drive/folders/1-AWXp5iq1oQUtUcGEzcT-N33zyy2-HWd?usp=sharing" TargetMode="External"/><Relationship Id="rId509" Type="http://schemas.openxmlformats.org/officeDocument/2006/relationships/hyperlink" Target="https://drive.google.com/drive/folders/1-AWXp5iq1oQUtUcGEzcT-N33zyy2-HWd?usp=sharing" TargetMode="External"/><Relationship Id="rId660" Type="http://schemas.openxmlformats.org/officeDocument/2006/relationships/hyperlink" Target="https://doi.org/10.1016/j.wavemoti.2024.103330" TargetMode="External"/><Relationship Id="rId898" Type="http://schemas.openxmlformats.org/officeDocument/2006/relationships/hyperlink" Target="http://doi.org/10.11591/ijai.v13.i3.pp2854-2861" TargetMode="External"/><Relationship Id="rId106" Type="http://schemas.openxmlformats.org/officeDocument/2006/relationships/hyperlink" Target="https://doi.org/10.1177/09610006241252662" TargetMode="External"/><Relationship Id="rId313" Type="http://schemas.openxmlformats.org/officeDocument/2006/relationships/hyperlink" Target="https://drive.google.com/drive/folders/1-AWXp5iq1oQUtUcGEzcT-N33zyy2-HWd?usp=sharing" TargetMode="External"/><Relationship Id="rId495" Type="http://schemas.openxmlformats.org/officeDocument/2006/relationships/hyperlink" Target="https://doi.org/10.48048/tis.2024.8592" TargetMode="External"/><Relationship Id="rId716" Type="http://schemas.openxmlformats.org/officeDocument/2006/relationships/hyperlink" Target="https://doi.org/10.1108/K-09-2023-1734" TargetMode="External"/><Relationship Id="rId758" Type="http://schemas.openxmlformats.org/officeDocument/2006/relationships/hyperlink" Target="https://doi.org/10.1063/5.0206076" TargetMode="External"/><Relationship Id="rId923" Type="http://schemas.openxmlformats.org/officeDocument/2006/relationships/hyperlink" Target="https://doi.org/10.1016/j.cscee.2024.100947" TargetMode="External"/><Relationship Id="rId10" Type="http://schemas.openxmlformats.org/officeDocument/2006/relationships/hyperlink" Target="https://www.scopus.com/record/display.uri?eid=2-s2.0-85214446910&amp;origin=resultslist" TargetMode="External"/><Relationship Id="rId52" Type="http://schemas.openxmlformats.org/officeDocument/2006/relationships/hyperlink" Target="https://doi.org/10.18502/kss.v10i3.17900" TargetMode="External"/><Relationship Id="rId94" Type="http://schemas.openxmlformats.org/officeDocument/2006/relationships/hyperlink" Target="https://doi.org/10.1063/5.0208106" TargetMode="External"/><Relationship Id="rId148" Type="http://schemas.openxmlformats.org/officeDocument/2006/relationships/hyperlink" Target="https://drive.google.com/file/d/1Mg0DMI-eF61PyJguKFwRR2XhvxztsEGY/view?usp=drive_link" TargetMode="External"/><Relationship Id="rId355" Type="http://schemas.openxmlformats.org/officeDocument/2006/relationships/hyperlink" Target="https://www.scopus.com/pages/publications/105018186117?origin=resultslist" TargetMode="External"/><Relationship Id="rId397" Type="http://schemas.openxmlformats.org/officeDocument/2006/relationships/hyperlink" Target="https://doi.org/10.1163/18696945-bja00006" TargetMode="External"/><Relationship Id="rId520" Type="http://schemas.openxmlformats.org/officeDocument/2006/relationships/hyperlink" Target="https://doi.org/10.1117/12.3009541" TargetMode="External"/><Relationship Id="rId562" Type="http://schemas.openxmlformats.org/officeDocument/2006/relationships/hyperlink" Target="https://doi.org/10.24057/2071-9388-2024-3109" TargetMode="External"/><Relationship Id="rId618" Type="http://schemas.openxmlformats.org/officeDocument/2006/relationships/hyperlink" Target="https://doi.org/10.1007/s12524-024-01973-4" TargetMode="External"/><Relationship Id="rId825" Type="http://schemas.openxmlformats.org/officeDocument/2006/relationships/hyperlink" Target="https://doi.org/10.1063/5.0194634" TargetMode="External"/><Relationship Id="rId215" Type="http://schemas.openxmlformats.org/officeDocument/2006/relationships/hyperlink" Target="https://doi.org/10.14716/ijtech.v16i4.6525" TargetMode="External"/><Relationship Id="rId257" Type="http://schemas.openxmlformats.org/officeDocument/2006/relationships/hyperlink" Target="https://drive.google.com/drive/folders/1-AWXp5iq1oQUtUcGEzcT-N33zyy2-HWd?usp=sharing" TargetMode="External"/><Relationship Id="rId422" Type="http://schemas.openxmlformats.org/officeDocument/2006/relationships/hyperlink" Target="https://drive.google.com/drive/folders/1-AWXp5iq1oQUtUcGEzcT-N33zyy2-HWd?usp=sharing" TargetMode="External"/><Relationship Id="rId464" Type="http://schemas.openxmlformats.org/officeDocument/2006/relationships/hyperlink" Target="https://drive.google.com/drive/folders/1-AWXp5iq1oQUtUcGEzcT-N33zyy2-HWd?usp=sharing" TargetMode="External"/><Relationship Id="rId867" Type="http://schemas.openxmlformats.org/officeDocument/2006/relationships/hyperlink" Target="https://doi.org/10.1109/ICoICT61617.2024.10698417" TargetMode="External"/><Relationship Id="rId299" Type="http://schemas.openxmlformats.org/officeDocument/2006/relationships/hyperlink" Target="https://doi.org/10.15196/RS140502" TargetMode="External"/><Relationship Id="rId727" Type="http://schemas.openxmlformats.org/officeDocument/2006/relationships/hyperlink" Target="https://doi.org/10.1109/TSSA59948.2023.10366984" TargetMode="External"/><Relationship Id="rId934" Type="http://schemas.openxmlformats.org/officeDocument/2006/relationships/hyperlink" Target="https://doi.org/10.1007/978-981-97-5746-6_17" TargetMode="External"/><Relationship Id="rId63" Type="http://schemas.openxmlformats.org/officeDocument/2006/relationships/hyperlink" Target="https://www.scopus.com/record/display.uri?eid=2-s2.0-85215511644&amp;origin=recordpage" TargetMode="External"/><Relationship Id="rId159" Type="http://schemas.openxmlformats.org/officeDocument/2006/relationships/hyperlink" Target="https://doi.org/10.17794/rgn.2024.3.3" TargetMode="External"/><Relationship Id="rId366" Type="http://schemas.openxmlformats.org/officeDocument/2006/relationships/hyperlink" Target="https://drive.google.com/drive/folders/1-AWXp5iq1oQUtUcGEzcT-N33zyy2-HWd?usp=sharing" TargetMode="External"/><Relationship Id="rId573" Type="http://schemas.openxmlformats.org/officeDocument/2006/relationships/hyperlink" Target="https://drive.google.com/drive/folders/1-AWXp5iq1oQUtUcGEzcT-N33zyy2-HWd?usp=sharing" TargetMode="External"/><Relationship Id="rId780" Type="http://schemas.openxmlformats.org/officeDocument/2006/relationships/hyperlink" Target="https://doi.org/10.1109/IoTaIS64014.2024.10799472" TargetMode="External"/><Relationship Id="rId226" Type="http://schemas.openxmlformats.org/officeDocument/2006/relationships/hyperlink" Target="https://drive.google.com/drive/folders/1-AWXp5iq1oQUtUcGEzcT-N33zyy2-HWd?usp=sharing" TargetMode="External"/><Relationship Id="rId433" Type="http://schemas.openxmlformats.org/officeDocument/2006/relationships/hyperlink" Target="https://eudl.eu/doi/10.4108/eai.8-11-2023.2345841" TargetMode="External"/><Relationship Id="rId878" Type="http://schemas.openxmlformats.org/officeDocument/2006/relationships/hyperlink" Target="https://doi.org/10.1109/ICISS62896.2024.10751472" TargetMode="External"/><Relationship Id="rId640" Type="http://schemas.openxmlformats.org/officeDocument/2006/relationships/hyperlink" Target="https://doi.org/10.1063/5.0193260" TargetMode="External"/><Relationship Id="rId738" Type="http://schemas.openxmlformats.org/officeDocument/2006/relationships/hyperlink" Target="https://doi.org/10.1080/10686967.2024.2355880" TargetMode="External"/><Relationship Id="rId74" Type="http://schemas.openxmlformats.org/officeDocument/2006/relationships/hyperlink" Target="https://doi.org/10.37936/ecti-cit.2024173.255058" TargetMode="External"/><Relationship Id="rId377" Type="http://schemas.openxmlformats.org/officeDocument/2006/relationships/hyperlink" Target="https://doi.org/10.1088/1742-6596/2734/1/012034" TargetMode="External"/><Relationship Id="rId500" Type="http://schemas.openxmlformats.org/officeDocument/2006/relationships/hyperlink" Target="https://drive.google.com/drive/folders/1-AWXp5iq1oQUtUcGEzcT-N33zyy2-HWd?usp=sharing" TargetMode="External"/><Relationship Id="rId584" Type="http://schemas.openxmlformats.org/officeDocument/2006/relationships/hyperlink" Target="https://doi.org/10.1016/j.marenvres.2024.106540" TargetMode="External"/><Relationship Id="rId805" Type="http://schemas.openxmlformats.org/officeDocument/2006/relationships/hyperlink" Target="https://doi.org/10.3390/en17010244" TargetMode="External"/><Relationship Id="rId5" Type="http://schemas.openxmlformats.org/officeDocument/2006/relationships/hyperlink" Target="https://drive.google.com/drive/folders/1-AWXp5iq1oQUtUcGEzcT-N33zyy2-HWd?usp=sharing" TargetMode="External"/><Relationship Id="rId237" Type="http://schemas.openxmlformats.org/officeDocument/2006/relationships/hyperlink" Target="https://drive.google.com/file/d/14XXmL7aNGpebuUsbPAc-xInEh448J6vf/view?usp=drive_link" TargetMode="External"/><Relationship Id="rId791" Type="http://schemas.openxmlformats.org/officeDocument/2006/relationships/hyperlink" Target="https://doi.org/10.1063/5.0183953" TargetMode="External"/><Relationship Id="rId889" Type="http://schemas.openxmlformats.org/officeDocument/2006/relationships/hyperlink" Target="https://doi.org/10.1063/5.0206573" TargetMode="External"/><Relationship Id="rId444" Type="http://schemas.openxmlformats.org/officeDocument/2006/relationships/hyperlink" Target="https://doi.org/10.1016/j.matlet.2024.137407" TargetMode="External"/><Relationship Id="rId651" Type="http://schemas.openxmlformats.org/officeDocument/2006/relationships/hyperlink" Target="https://doi.org/10.1186/s43042-024-00512-7" TargetMode="External"/><Relationship Id="rId749" Type="http://schemas.openxmlformats.org/officeDocument/2006/relationships/hyperlink" Target="https://doi.org/10.3390/s24072362" TargetMode="External"/><Relationship Id="rId290" Type="http://schemas.openxmlformats.org/officeDocument/2006/relationships/hyperlink" Target="https://drive.google.com/drive/folders/1-AWXp5iq1oQUtUcGEzcT-N33zyy2-HWd?usp=sharing" TargetMode="External"/><Relationship Id="rId304" Type="http://schemas.openxmlformats.org/officeDocument/2006/relationships/hyperlink" Target="http://doi.org/10.1016/j.optmat.2024.115070" TargetMode="External"/><Relationship Id="rId388" Type="http://schemas.openxmlformats.org/officeDocument/2006/relationships/hyperlink" Target="https://doi.org/10.2528/PIERM23103104" TargetMode="External"/><Relationship Id="rId511" Type="http://schemas.openxmlformats.org/officeDocument/2006/relationships/hyperlink" Target="https://drive.google.com/drive/folders/1-AWXp5iq1oQUtUcGEzcT-N33zyy2-HWd?usp=sharing" TargetMode="External"/><Relationship Id="rId609" Type="http://schemas.openxmlformats.org/officeDocument/2006/relationships/hyperlink" Target="https://doi.org/10.1007/978-981-97-0740-9_31" TargetMode="External"/><Relationship Id="rId85" Type="http://schemas.openxmlformats.org/officeDocument/2006/relationships/hyperlink" Target="https://doi.org/10.1109/BTS-I2C63534.2024.10941994" TargetMode="External"/><Relationship Id="rId150" Type="http://schemas.openxmlformats.org/officeDocument/2006/relationships/hyperlink" Target="https://drive.google.com/drive/folders/1-AWXp5iq1oQUtUcGEzcT-N33zyy2-HWd?usp=sharing" TargetMode="External"/><Relationship Id="rId595" Type="http://schemas.openxmlformats.org/officeDocument/2006/relationships/hyperlink" Target="https://doi.org/10.1088/1755-1315/1313/1/012016" TargetMode="External"/><Relationship Id="rId816" Type="http://schemas.openxmlformats.org/officeDocument/2006/relationships/hyperlink" Target="https://doi.org/10.1007/978-981-99-7886-1_30" TargetMode="External"/><Relationship Id="rId248" Type="http://schemas.openxmlformats.org/officeDocument/2006/relationships/hyperlink" Target="https://doi.org/10.1108/JABS-10-2022-0354" TargetMode="External"/><Relationship Id="rId455" Type="http://schemas.openxmlformats.org/officeDocument/2006/relationships/hyperlink" Target="https://drive.google.com/drive/folders/1-AWXp5iq1oQUtUcGEzcT-N33zyy2-HWd?usp=sharing" TargetMode="External"/><Relationship Id="rId662" Type="http://schemas.openxmlformats.org/officeDocument/2006/relationships/hyperlink" Target="https://doi.org/10.62527/joiv.8.2.2428" TargetMode="External"/><Relationship Id="rId12" Type="http://schemas.openxmlformats.org/officeDocument/2006/relationships/hyperlink" Target="https://doi.org/10.1108/VJIKMS-08-2021-0144" TargetMode="External"/><Relationship Id="rId108" Type="http://schemas.openxmlformats.org/officeDocument/2006/relationships/hyperlink" Target="https://www.scopus.com/record/display.uri?eid=2-s2.0-86000769038&amp;origin=recordpage" TargetMode="External"/><Relationship Id="rId315" Type="http://schemas.openxmlformats.org/officeDocument/2006/relationships/hyperlink" Target="https://drive.google.com/drive/folders/1-AWXp5iq1oQUtUcGEzcT-N33zyy2-HWd?usp=sharing" TargetMode="External"/><Relationship Id="rId522" Type="http://schemas.openxmlformats.org/officeDocument/2006/relationships/hyperlink" Target="https://doi.org/10.1117/12.3009685" TargetMode="External"/><Relationship Id="rId96" Type="http://schemas.openxmlformats.org/officeDocument/2006/relationships/hyperlink" Target="https://ieeexplore.ieee.org/abstract/document/10941994" TargetMode="External"/><Relationship Id="rId161" Type="http://schemas.openxmlformats.org/officeDocument/2006/relationships/hyperlink" Target="https://journal.seriousgamessociety.org/index.php/IJSG/article/view/890" TargetMode="External"/><Relationship Id="rId399" Type="http://schemas.openxmlformats.org/officeDocument/2006/relationships/hyperlink" Target="https://drive.google.com/drive/folders/1-AWXp5iq1oQUtUcGEzcT-N33zyy2-HWd?usp=sharing" TargetMode="External"/><Relationship Id="rId827" Type="http://schemas.openxmlformats.org/officeDocument/2006/relationships/hyperlink" Target="http://doi.org/10.11591/ijpeds.v15.i4.pp2145-2154" TargetMode="External"/><Relationship Id="rId259" Type="http://schemas.openxmlformats.org/officeDocument/2006/relationships/hyperlink" Target="https://doi.org/10.4194/TRJFAS26139" TargetMode="External"/><Relationship Id="rId466" Type="http://schemas.openxmlformats.org/officeDocument/2006/relationships/hyperlink" Target="https://drive.google.com/drive/folders/1-AWXp5iq1oQUtUcGEzcT-N33zyy2-HWd?usp=sharing" TargetMode="External"/><Relationship Id="rId673" Type="http://schemas.openxmlformats.org/officeDocument/2006/relationships/hyperlink" Target="https://doi.org/10.1002/9783527843367.ch16" TargetMode="External"/><Relationship Id="rId880" Type="http://schemas.openxmlformats.org/officeDocument/2006/relationships/hyperlink" Target="https://doi.org/10.1109/ICISS62896.2024.10751516" TargetMode="External"/><Relationship Id="rId23" Type="http://schemas.openxmlformats.org/officeDocument/2006/relationships/hyperlink" Target="https://doi.org/10.11591/ijeecs.v37.i1.pp530-539" TargetMode="External"/><Relationship Id="rId119" Type="http://schemas.openxmlformats.org/officeDocument/2006/relationships/hyperlink" Target="https://drive.google.com/drive/folders/1-AWXp5iq1oQUtUcGEzcT-N33zyy2-HWd?usp=sharing" TargetMode="External"/><Relationship Id="rId326" Type="http://schemas.openxmlformats.org/officeDocument/2006/relationships/hyperlink" Target="http://doi.org/10.1088/1742-6596/2705/1/012007" TargetMode="External"/><Relationship Id="rId533" Type="http://schemas.openxmlformats.org/officeDocument/2006/relationships/hyperlink" Target="https://drive.google.com/drive/folders/1-AWXp5iq1oQUtUcGEzcT-N33zyy2-HWd?usp=sharing" TargetMode="External"/><Relationship Id="rId740" Type="http://schemas.openxmlformats.org/officeDocument/2006/relationships/hyperlink" Target="https://doi.org/10.1155/2024/2826773" TargetMode="External"/><Relationship Id="rId838" Type="http://schemas.openxmlformats.org/officeDocument/2006/relationships/hyperlink" Target="https://doi.org/10.1063/5.0205716" TargetMode="External"/><Relationship Id="rId172" Type="http://schemas.openxmlformats.org/officeDocument/2006/relationships/hyperlink" Target="https://ijai.iaescore.com/index.php/IJAI/article/view/26816" TargetMode="External"/><Relationship Id="rId477" Type="http://schemas.openxmlformats.org/officeDocument/2006/relationships/hyperlink" Target="https://drive.google.com/drive/folders/1-AWXp5iq1oQUtUcGEzcT-N33zyy2-HWd?usp=sharing" TargetMode="External"/><Relationship Id="rId600" Type="http://schemas.openxmlformats.org/officeDocument/2006/relationships/hyperlink" Target="https://doi.org/10.1063/5.0210240" TargetMode="External"/><Relationship Id="rId684" Type="http://schemas.openxmlformats.org/officeDocument/2006/relationships/hyperlink" Target="https://doi.org/10.1007/s00382-024-07353-5" TargetMode="External"/><Relationship Id="rId337" Type="http://schemas.openxmlformats.org/officeDocument/2006/relationships/hyperlink" Target="http://doi.org/10.1016/j.heliyon.2023.e23276" TargetMode="External"/><Relationship Id="rId891" Type="http://schemas.openxmlformats.org/officeDocument/2006/relationships/hyperlink" Target="https://doi.org/10.1002/adts.202300590" TargetMode="External"/><Relationship Id="rId905" Type="http://schemas.openxmlformats.org/officeDocument/2006/relationships/hyperlink" Target="https://doi.org/10.1088/1402-4896/ad48cd" TargetMode="External"/><Relationship Id="rId34" Type="http://schemas.openxmlformats.org/officeDocument/2006/relationships/hyperlink" Target="https://www.inderscienceonline.com/doi/abs/10.1504/IJTLID.2025.144531" TargetMode="External"/><Relationship Id="rId544" Type="http://schemas.openxmlformats.org/officeDocument/2006/relationships/hyperlink" Target="https://doi.org/10.3390/fire7010009" TargetMode="External"/><Relationship Id="rId751" Type="http://schemas.openxmlformats.org/officeDocument/2006/relationships/hyperlink" Target="https://doi.org/10.3390/polym16020184" TargetMode="External"/><Relationship Id="rId849" Type="http://schemas.openxmlformats.org/officeDocument/2006/relationships/hyperlink" Target="https://doi.org/10.55981/j.mev.2024.877" TargetMode="External"/><Relationship Id="rId183" Type="http://schemas.openxmlformats.org/officeDocument/2006/relationships/hyperlink" Target="http://m.si/" TargetMode="External"/><Relationship Id="rId390" Type="http://schemas.openxmlformats.org/officeDocument/2006/relationships/hyperlink" Target="https://www.taprobanica.org/Archives/Volume-9-14-2020-26/volume-14-number-2-november-2025/v14i2-380.html" TargetMode="External"/><Relationship Id="rId404" Type="http://schemas.openxmlformats.org/officeDocument/2006/relationships/hyperlink" Target="http://dx.doi.org/10.1088/1755-1315/1344/1/012020" TargetMode="External"/><Relationship Id="rId611" Type="http://schemas.openxmlformats.org/officeDocument/2006/relationships/hyperlink" Target="https://doi.org/10.1080/07038992.2024.2368036" TargetMode="External"/><Relationship Id="rId250" Type="http://schemas.openxmlformats.org/officeDocument/2006/relationships/hyperlink" Target="https://link.springer.com/article/10.1007/s42979-025-04238-0" TargetMode="External"/><Relationship Id="rId488" Type="http://schemas.openxmlformats.org/officeDocument/2006/relationships/hyperlink" Target="https://drive.google.com/drive/folders/1-AWXp5iq1oQUtUcGEzcT-N33zyy2-HWd?usp=sharing" TargetMode="External"/><Relationship Id="rId695" Type="http://schemas.openxmlformats.org/officeDocument/2006/relationships/hyperlink" Target="https://doi.org/10.5109/7236904" TargetMode="External"/><Relationship Id="rId709" Type="http://schemas.openxmlformats.org/officeDocument/2006/relationships/hyperlink" Target="https://drive.google.com/drive/folders/1CFPpwUkvkhjrbIZDF4_4wbQZsNvJrEDH" TargetMode="External"/><Relationship Id="rId916" Type="http://schemas.openxmlformats.org/officeDocument/2006/relationships/hyperlink" Target="https://doi.org/10.1063/5.0179718" TargetMode="External"/><Relationship Id="rId45" Type="http://schemas.openxmlformats.org/officeDocument/2006/relationships/hyperlink" Target="https://www.scopus.com/record/display.uri?eid=2-s2.0-85219687867&amp;origin=recordpage" TargetMode="External"/><Relationship Id="rId110" Type="http://schemas.openxmlformats.org/officeDocument/2006/relationships/hyperlink" Target="https://doi.org/10.1109/AGERS61027.2023.10490762" TargetMode="External"/><Relationship Id="rId348" Type="http://schemas.openxmlformats.org/officeDocument/2006/relationships/hyperlink" Target="https://doi.org/10.18280/ijsse.150714" TargetMode="External"/><Relationship Id="rId555" Type="http://schemas.openxmlformats.org/officeDocument/2006/relationships/hyperlink" Target="https://drive.google.com/drive/folders/1-AWXp5iq1oQUtUcGEzcT-N33zyy2-HWd?usp=sharing" TargetMode="External"/><Relationship Id="rId762" Type="http://schemas.openxmlformats.org/officeDocument/2006/relationships/hyperlink" Target="https://doi.org/10.1007/978-3-031-64766-6_37" TargetMode="External"/><Relationship Id="rId194" Type="http://schemas.openxmlformats.org/officeDocument/2006/relationships/hyperlink" Target="https://drive.google.com/drive/folders/1-AWXp5iq1oQUtUcGEzcT-N33zyy2-HWd?usp=sharing" TargetMode="External"/><Relationship Id="rId208" Type="http://schemas.openxmlformats.org/officeDocument/2006/relationships/hyperlink" Target="https://doi.org/10.1109/ICoABCD63526.2024.10704343" TargetMode="External"/><Relationship Id="rId415" Type="http://schemas.openxmlformats.org/officeDocument/2006/relationships/hyperlink" Target="https://ijai.iaescore.com/index.php/IJAI/article/view/27992" TargetMode="External"/><Relationship Id="rId622" Type="http://schemas.openxmlformats.org/officeDocument/2006/relationships/hyperlink" Target="https://doi.org/10.1007/978-981-97-5746-6_9" TargetMode="External"/><Relationship Id="rId261" Type="http://schemas.openxmlformats.org/officeDocument/2006/relationships/hyperlink" Target="https://drive.google.com/drive/folders/1-AWXp5iq1oQUtUcGEzcT-N33zyy2-HWd?usp=sharing" TargetMode="External"/><Relationship Id="rId499" Type="http://schemas.openxmlformats.org/officeDocument/2006/relationships/hyperlink" Target="https://doi.org/10.1016/j.cscee.2024.100947" TargetMode="External"/><Relationship Id="rId927" Type="http://schemas.openxmlformats.org/officeDocument/2006/relationships/hyperlink" Target="https://doi.org/10.1109/ICRAMET62801.2024.10809209" TargetMode="External"/><Relationship Id="rId56" Type="http://schemas.openxmlformats.org/officeDocument/2006/relationships/hyperlink" Target="https://doi.org/10.1051/e3sconf/202450102003" TargetMode="External"/><Relationship Id="rId359" Type="http://schemas.openxmlformats.org/officeDocument/2006/relationships/hyperlink" Target="https://www.scopus.com/pages/publications/105019611059?origin=resultslist" TargetMode="External"/><Relationship Id="rId566" Type="http://schemas.openxmlformats.org/officeDocument/2006/relationships/hyperlink" Target="https://doi.org/10.1007/s12524-024-01919-w" TargetMode="External"/><Relationship Id="rId773" Type="http://schemas.openxmlformats.org/officeDocument/2006/relationships/hyperlink" Target="https://doi.org/10.24294/jipd.v8i11.8475" TargetMode="External"/><Relationship Id="rId121" Type="http://schemas.openxmlformats.org/officeDocument/2006/relationships/hyperlink" Target="https://doi.org/10.11591/eei.v14i3.7929" TargetMode="External"/><Relationship Id="rId219" Type="http://schemas.openxmlformats.org/officeDocument/2006/relationships/hyperlink" Target="https://drive.google.com/drive/folders/1-AWXp5iq1oQUtUcGEzcT-N33zyy2-HWd?usp=sharing" TargetMode="External"/><Relationship Id="rId426" Type="http://schemas.openxmlformats.org/officeDocument/2006/relationships/hyperlink" Target="https://drive.google.com/drive/folders/1-AWXp5iq1oQUtUcGEzcT-N33zyy2-HWd?usp=sharing" TargetMode="External"/><Relationship Id="rId633" Type="http://schemas.openxmlformats.org/officeDocument/2006/relationships/hyperlink" Target="https://doi.org/10.1063/5.0224037" TargetMode="External"/><Relationship Id="rId840" Type="http://schemas.openxmlformats.org/officeDocument/2006/relationships/hyperlink" Target="https://doi.org/10.1063/5.0205778" TargetMode="External"/><Relationship Id="rId67" Type="http://schemas.openxmlformats.org/officeDocument/2006/relationships/hyperlink" Target="https://drive.google.com/drive/folders/1-AWXp5iq1oQUtUcGEzcT-N33zyy2-HWd?usp=sharing" TargetMode="External"/><Relationship Id="rId272" Type="http://schemas.openxmlformats.org/officeDocument/2006/relationships/hyperlink" Target="https://www.scopus.com/pages/publications/105014811615?origin=resultslist" TargetMode="External"/><Relationship Id="rId577" Type="http://schemas.openxmlformats.org/officeDocument/2006/relationships/hyperlink" Target="http://dx.doi.org/10.29244/jpsl.14.3.428" TargetMode="External"/><Relationship Id="rId700" Type="http://schemas.openxmlformats.org/officeDocument/2006/relationships/hyperlink" Target="https://doi.org/10.1080/15592294.2024.2418717" TargetMode="External"/><Relationship Id="rId132" Type="http://schemas.openxmlformats.org/officeDocument/2006/relationships/hyperlink" Target="https://www.mdpi.com/2673-5768/6/2/57" TargetMode="External"/><Relationship Id="rId784" Type="http://schemas.openxmlformats.org/officeDocument/2006/relationships/hyperlink" Target="https://doi.org/10.5614/itbj.ict.res.appl.2023.18.2.5" TargetMode="External"/><Relationship Id="rId437" Type="http://schemas.openxmlformats.org/officeDocument/2006/relationships/hyperlink" Target="https://drive.google.com/drive/folders/1-AWXp5iq1oQUtUcGEzcT-N33zyy2-HWd?usp=sharing" TargetMode="External"/><Relationship Id="rId644" Type="http://schemas.openxmlformats.org/officeDocument/2006/relationships/hyperlink" Target="https://doi.org/10.1016/j.japb.2023.12.012" TargetMode="External"/><Relationship Id="rId851" Type="http://schemas.openxmlformats.org/officeDocument/2006/relationships/hyperlink" Target="https://doi.org/10.1063/5.0205758" TargetMode="External"/><Relationship Id="rId283" Type="http://schemas.openxmlformats.org/officeDocument/2006/relationships/hyperlink" Target="https://doi.org/10.1109/IC3INA64086.2024.10732090" TargetMode="External"/><Relationship Id="rId490" Type="http://schemas.openxmlformats.org/officeDocument/2006/relationships/hyperlink" Target="https://drive.google.com/drive/folders/1-AWXp5iq1oQUtUcGEzcT-N33zyy2-HWd?usp=sharing" TargetMode="External"/><Relationship Id="rId504" Type="http://schemas.openxmlformats.org/officeDocument/2006/relationships/hyperlink" Target="https://drive.google.com/drive/folders/1-AWXp5iq1oQUtUcGEzcT-N33zyy2-HWd?usp=sharing" TargetMode="External"/><Relationship Id="rId711" Type="http://schemas.openxmlformats.org/officeDocument/2006/relationships/hyperlink" Target="https://doi.org/10.1016/j.comptc.2024.115051" TargetMode="External"/><Relationship Id="rId78" Type="http://schemas.openxmlformats.org/officeDocument/2006/relationships/hyperlink" Target="https://doi.org/10.34190/ejkm.22.1.3407" TargetMode="External"/><Relationship Id="rId143" Type="http://schemas.openxmlformats.org/officeDocument/2006/relationships/hyperlink" Target="https://drive.google.com/drive/folders/1-AWXp5iq1oQUtUcGEzcT-N33zyy2-HWd?usp=sharing" TargetMode="External"/><Relationship Id="rId350" Type="http://schemas.openxmlformats.org/officeDocument/2006/relationships/hyperlink" Target="https://drive.google.com/drive/folders/1-AWXp5iq1oQUtUcGEzcT-N33zyy2-HWd?usp=sharing" TargetMode="External"/><Relationship Id="rId588" Type="http://schemas.openxmlformats.org/officeDocument/2006/relationships/hyperlink" Target="https://doi.org/10.5109/7183356" TargetMode="External"/><Relationship Id="rId795" Type="http://schemas.openxmlformats.org/officeDocument/2006/relationships/hyperlink" Target="https://doi.org/10.1109/ACCESS.2024.3481466" TargetMode="External"/><Relationship Id="rId809" Type="http://schemas.openxmlformats.org/officeDocument/2006/relationships/hyperlink" Target="https://doi.org/10.1016/j.rineng.2024.101847" TargetMode="External"/><Relationship Id="rId9" Type="http://schemas.openxmlformats.org/officeDocument/2006/relationships/hyperlink" Target="https://drive.google.com/drive/folders/1-AWXp5iq1oQUtUcGEzcT-N33zyy2-HWd?usp=sharing" TargetMode="External"/><Relationship Id="rId210" Type="http://schemas.openxmlformats.org/officeDocument/2006/relationships/hyperlink" Target="https://journals.itb.ac.id/index.php/cbms/article/view/23943" TargetMode="External"/><Relationship Id="rId448" Type="http://schemas.openxmlformats.org/officeDocument/2006/relationships/hyperlink" Target="https://doi.org/10.1007/s11664-024-11488-w" TargetMode="External"/><Relationship Id="rId655" Type="http://schemas.openxmlformats.org/officeDocument/2006/relationships/hyperlink" Target="https://doi.org/10.1016/S1474-4422(24)00038-3" TargetMode="External"/><Relationship Id="rId862" Type="http://schemas.openxmlformats.org/officeDocument/2006/relationships/hyperlink" Target="https://doi.org/10.1016/j.energy.2024.133058" TargetMode="External"/><Relationship Id="rId294" Type="http://schemas.openxmlformats.org/officeDocument/2006/relationships/hyperlink" Target="https://drive.google.com/drive/folders/1-AWXp5iq1oQUtUcGEzcT-N33zyy2-HWd?usp=sharing" TargetMode="External"/><Relationship Id="rId308" Type="http://schemas.openxmlformats.org/officeDocument/2006/relationships/hyperlink" Target="https://doi.org/10.1016/j.measurement.2023.114111" TargetMode="External"/><Relationship Id="rId515" Type="http://schemas.openxmlformats.org/officeDocument/2006/relationships/hyperlink" Target="https://drive.google.com/drive/folders/1-AWXp5iq1oQUtUcGEzcT-N33zyy2-HWd?usp=sharing" TargetMode="External"/><Relationship Id="rId722" Type="http://schemas.openxmlformats.org/officeDocument/2006/relationships/hyperlink" Target="https://doi.org/10.1109/ICWT58823.2023.10335249" TargetMode="External"/><Relationship Id="rId89" Type="http://schemas.openxmlformats.org/officeDocument/2006/relationships/hyperlink" Target="https://doi.org/10.1109/BTS-I2C63534.2024.10942123" TargetMode="External"/><Relationship Id="rId154" Type="http://schemas.openxmlformats.org/officeDocument/2006/relationships/hyperlink" Target="https://drive.google.com/drive/folders/1-AWXp5iq1oQUtUcGEzcT-N33zyy2-HWd?usp=sharing" TargetMode="External"/><Relationship Id="rId361" Type="http://schemas.openxmlformats.org/officeDocument/2006/relationships/hyperlink" Target="https://doi.org/10.1063/5.0176763" TargetMode="External"/><Relationship Id="rId599" Type="http://schemas.openxmlformats.org/officeDocument/2006/relationships/hyperlink" Target="https://doi.org/10.1016/j.jag.2024.103842" TargetMode="External"/><Relationship Id="rId459" Type="http://schemas.openxmlformats.org/officeDocument/2006/relationships/hyperlink" Target="https://drive.google.com/drive/folders/1-AWXp5iq1oQUtUcGEzcT-N33zyy2-HWd?usp=sharing" TargetMode="External"/><Relationship Id="rId666" Type="http://schemas.openxmlformats.org/officeDocument/2006/relationships/hyperlink" Target="https://doi.org/10.1016/j.csr.2024.105247" TargetMode="External"/><Relationship Id="rId873" Type="http://schemas.openxmlformats.org/officeDocument/2006/relationships/hyperlink" Target="https://doi.org/10.1109/IC3INA64086.2024.10732245" TargetMode="External"/><Relationship Id="rId16" Type="http://schemas.openxmlformats.org/officeDocument/2006/relationships/hyperlink" Target="https://doi.org/10.1109/ACCESS.2024.3355963" TargetMode="External"/><Relationship Id="rId221" Type="http://schemas.openxmlformats.org/officeDocument/2006/relationships/hyperlink" Target="http://doi.org/10.1109/ISCT62336.2024.10791236" TargetMode="External"/><Relationship Id="rId319" Type="http://schemas.openxmlformats.org/officeDocument/2006/relationships/hyperlink" Target="https://doi.org/10.29207/resti.v9i3.6397" TargetMode="External"/><Relationship Id="rId526" Type="http://schemas.openxmlformats.org/officeDocument/2006/relationships/hyperlink" Target="https://doi.org/10.1155/2024/7251691" TargetMode="External"/><Relationship Id="rId733" Type="http://schemas.openxmlformats.org/officeDocument/2006/relationships/hyperlink" Target="https://doi.org/10.18517/ijaseit.14.2.19345" TargetMode="External"/><Relationship Id="rId165" Type="http://schemas.openxmlformats.org/officeDocument/2006/relationships/hyperlink" Target="https://doi.org/10.1109/IC3INA64086.2024.10732738" TargetMode="External"/><Relationship Id="rId372" Type="http://schemas.openxmlformats.org/officeDocument/2006/relationships/hyperlink" Target="https://iopscience.iop.org/article/10.1088/1755-1315/1344/1/012024" TargetMode="External"/><Relationship Id="rId677" Type="http://schemas.openxmlformats.org/officeDocument/2006/relationships/hyperlink" Target="https://doi.org/10.1007/s10722-023-01819-x" TargetMode="External"/><Relationship Id="rId800" Type="http://schemas.openxmlformats.org/officeDocument/2006/relationships/hyperlink" Target="https://doi.org/10.1088/1755-1315/1419/1/012007" TargetMode="External"/><Relationship Id="rId232" Type="http://schemas.openxmlformats.org/officeDocument/2006/relationships/hyperlink" Target="https://doi.org/10.1016/j.asr.2025.07.083" TargetMode="External"/><Relationship Id="rId884" Type="http://schemas.openxmlformats.org/officeDocument/2006/relationships/hyperlink" Target="https://doi.org/10.1063/5.0206034" TargetMode="External"/><Relationship Id="rId27" Type="http://schemas.openxmlformats.org/officeDocument/2006/relationships/hyperlink" Target="https://doi.org/10.1108/LHTN-12-2024-0208" TargetMode="External"/><Relationship Id="rId537" Type="http://schemas.openxmlformats.org/officeDocument/2006/relationships/hyperlink" Target="https://drive.google.com/drive/folders/1-AWXp5iq1oQUtUcGEzcT-N33zyy2-HWd?usp=sharing" TargetMode="External"/><Relationship Id="rId744" Type="http://schemas.openxmlformats.org/officeDocument/2006/relationships/hyperlink" Target="https://doi.org/10.1186/s40677-024-00282-9" TargetMode="External"/><Relationship Id="rId80" Type="http://schemas.openxmlformats.org/officeDocument/2006/relationships/hyperlink" Target="https://ieeexplore.ieee.org/abstract/document/10942151" TargetMode="External"/><Relationship Id="rId176" Type="http://schemas.openxmlformats.org/officeDocument/2006/relationships/hyperlink" Target="https://ieeexplore.ieee.org/abstract/document/10932935/" TargetMode="External"/><Relationship Id="rId383" Type="http://schemas.openxmlformats.org/officeDocument/2006/relationships/hyperlink" Target="https://drive.google.com/drive/folders/1-AWXp5iq1oQUtUcGEzcT-N33zyy2-HWd?usp=sharing" TargetMode="External"/><Relationship Id="rId590" Type="http://schemas.openxmlformats.org/officeDocument/2006/relationships/hyperlink" Target="https://doi.org/10.13057/biodiv/d250439" TargetMode="External"/><Relationship Id="rId604" Type="http://schemas.openxmlformats.org/officeDocument/2006/relationships/hyperlink" Target="https://doi.org/10.1080/10106049.2024.2364726" TargetMode="External"/><Relationship Id="rId811" Type="http://schemas.openxmlformats.org/officeDocument/2006/relationships/hyperlink" Target="https://doi.org/10.1093/joccuh/uiae010" TargetMode="External"/><Relationship Id="rId243" Type="http://schemas.openxmlformats.org/officeDocument/2006/relationships/hyperlink" Target="https://doi.org/10.30880/JTET.2024.16.02.002" TargetMode="External"/><Relationship Id="rId450" Type="http://schemas.openxmlformats.org/officeDocument/2006/relationships/hyperlink" Target="https://doi.org/10.1007/978-3-031-64330-9_8" TargetMode="External"/><Relationship Id="rId688" Type="http://schemas.openxmlformats.org/officeDocument/2006/relationships/hyperlink" Target="https://doi.org/10.1063/5.0225815" TargetMode="External"/><Relationship Id="rId895" Type="http://schemas.openxmlformats.org/officeDocument/2006/relationships/hyperlink" Target="https://doi.org/10.1063/5.0184202" TargetMode="External"/><Relationship Id="rId909" Type="http://schemas.openxmlformats.org/officeDocument/2006/relationships/hyperlink" Target="https://doi.org/10.1002/adts.202301173" TargetMode="External"/><Relationship Id="rId38" Type="http://schemas.openxmlformats.org/officeDocument/2006/relationships/hyperlink" Target="https://www.emerald.com/insight/content/doi/10.1108/lhtn-12-2024-0208/full/html" TargetMode="External"/><Relationship Id="rId103" Type="http://schemas.openxmlformats.org/officeDocument/2006/relationships/hyperlink" Target="https://drive.google.com/drive/folders/1-AWXp5iq1oQUtUcGEzcT-N33zyy2-HWd?usp=sharing" TargetMode="External"/><Relationship Id="rId310" Type="http://schemas.openxmlformats.org/officeDocument/2006/relationships/hyperlink" Target="http://doi.org/10.1016/j.rechem.2023.101270" TargetMode="External"/><Relationship Id="rId548" Type="http://schemas.openxmlformats.org/officeDocument/2006/relationships/hyperlink" Target="https://doi.org/10.1117/12.3009649" TargetMode="External"/><Relationship Id="rId755" Type="http://schemas.openxmlformats.org/officeDocument/2006/relationships/hyperlink" Target="https://doi.org/10.1109/ICECOS63900.2024.10791096" TargetMode="External"/><Relationship Id="rId91" Type="http://schemas.openxmlformats.org/officeDocument/2006/relationships/hyperlink" Target="https://drive.google.com/drive/folders/1-AWXp5iq1oQUtUcGEzcT-N33zyy2-HWd?usp=sharing" TargetMode="External"/><Relationship Id="rId187" Type="http://schemas.openxmlformats.org/officeDocument/2006/relationships/hyperlink" Target="https://doi.org/10.1108/IJOES-02-2024-0058" TargetMode="External"/><Relationship Id="rId394" Type="http://schemas.openxmlformats.org/officeDocument/2006/relationships/hyperlink" Target="https://doi.org/10.1109/ICMERALDA60125.2023.10458171" TargetMode="External"/><Relationship Id="rId408" Type="http://schemas.openxmlformats.org/officeDocument/2006/relationships/hyperlink" Target="https://drive.google.com/file/d/1hwD8ENxIodBBxYbGOmM7JUmvZzuKfCdG/view?usp=sharing" TargetMode="External"/><Relationship Id="rId615" Type="http://schemas.openxmlformats.org/officeDocument/2006/relationships/hyperlink" Target="https://doi.org/10.5109/7236896" TargetMode="External"/><Relationship Id="rId822" Type="http://schemas.openxmlformats.org/officeDocument/2006/relationships/hyperlink" Target="https://doi.org/10.1051/e3sconf/202450302001" TargetMode="External"/><Relationship Id="rId254" Type="http://schemas.openxmlformats.org/officeDocument/2006/relationships/hyperlink" Target="https://www.scopus.com/pages/publications/105011607308" TargetMode="External"/><Relationship Id="rId699" Type="http://schemas.openxmlformats.org/officeDocument/2006/relationships/hyperlink" Target="https://doi.org/10.1088/1742-6596/2866/1/012077" TargetMode="External"/><Relationship Id="rId49" Type="http://schemas.openxmlformats.org/officeDocument/2006/relationships/hyperlink" Target="https://doi.org/10.1177/02663821231216687" TargetMode="External"/><Relationship Id="rId114" Type="http://schemas.openxmlformats.org/officeDocument/2006/relationships/hyperlink" Target="https://doi.org/10.1109/AGERS61027.2023.10490691" TargetMode="External"/><Relationship Id="rId461" Type="http://schemas.openxmlformats.org/officeDocument/2006/relationships/hyperlink" Target="https://drive.google.com/drive/folders/1-AWXp5iq1oQUtUcGEzcT-N33zyy2-HWd?usp=sharing" TargetMode="External"/><Relationship Id="rId559" Type="http://schemas.openxmlformats.org/officeDocument/2006/relationships/hyperlink" Target="https://drive.google.com/drive/folders/1-AWXp5iq1oQUtUcGEzcT-N33zyy2-HWd?usp=sharing" TargetMode="External"/><Relationship Id="rId766" Type="http://schemas.openxmlformats.org/officeDocument/2006/relationships/hyperlink" Target="https://doi.org/10.1080/00032719.2023.2206665" TargetMode="External"/><Relationship Id="rId198" Type="http://schemas.openxmlformats.org/officeDocument/2006/relationships/hyperlink" Target="https://drive.google.com/drive/folders/1-AWXp5iq1oQUtUcGEzcT-N33zyy2-HWd?usp=sharing" TargetMode="External"/><Relationship Id="rId321" Type="http://schemas.openxmlformats.org/officeDocument/2006/relationships/hyperlink" Target="https://drive.google.com/drive/folders/1-AWXp5iq1oQUtUcGEzcT-N33zyy2-HWd?usp=sharing" TargetMode="External"/><Relationship Id="rId419" Type="http://schemas.openxmlformats.org/officeDocument/2006/relationships/hyperlink" Target="https://doi.org/10.7717/peerj-cs.3350" TargetMode="External"/><Relationship Id="rId626" Type="http://schemas.openxmlformats.org/officeDocument/2006/relationships/hyperlink" Target="https://doi.org/10.1109/IC3INA64086.2024.10732080" TargetMode="External"/><Relationship Id="rId833" Type="http://schemas.openxmlformats.org/officeDocument/2006/relationships/hyperlink" Target="https://doi.org/10.1063/5.0205784" TargetMode="External"/><Relationship Id="rId265" Type="http://schemas.openxmlformats.org/officeDocument/2006/relationships/hyperlink" Target="https://drive.google.com/drive/folders/1-AWXp5iq1oQUtUcGEzcT-N33zyy2-HWd?usp=sharing" TargetMode="External"/><Relationship Id="rId472" Type="http://schemas.openxmlformats.org/officeDocument/2006/relationships/hyperlink" Target="https://drive.google.com/drive/folders/1-AWXp5iq1oQUtUcGEzcT-N33zyy2-HWd?usp=sharing" TargetMode="External"/><Relationship Id="rId900" Type="http://schemas.openxmlformats.org/officeDocument/2006/relationships/hyperlink" Target="http://dx.doi.org/10.2528/PIERM23103104" TargetMode="External"/><Relationship Id="rId125" Type="http://schemas.openxmlformats.org/officeDocument/2006/relationships/hyperlink" Target="https://doi.org/10.1016/B978-0-443-33871-7.00017-9" TargetMode="External"/><Relationship Id="rId332" Type="http://schemas.openxmlformats.org/officeDocument/2006/relationships/hyperlink" Target="https://drive.google.com/file/d/1DPe5Il-ryR7TGw8TWDvgs_4QiECrsXDZ/view?usp=sharing" TargetMode="External"/><Relationship Id="rId777" Type="http://schemas.openxmlformats.org/officeDocument/2006/relationships/hyperlink" Target="https://doi.org/10.1016/j.microc.2024.111538" TargetMode="External"/><Relationship Id="rId637" Type="http://schemas.openxmlformats.org/officeDocument/2006/relationships/hyperlink" Target="http://dx.doi.org/10.1016/j.heliyon.2024.e29049" TargetMode="External"/><Relationship Id="rId844" Type="http://schemas.openxmlformats.org/officeDocument/2006/relationships/hyperlink" Target="https://doi.org/10.1063/5.0206057" TargetMode="External"/><Relationship Id="rId276" Type="http://schemas.openxmlformats.org/officeDocument/2006/relationships/hyperlink" Target="https://doi.org/10.1109/IC3INA64086.2024.10732147" TargetMode="External"/><Relationship Id="rId483" Type="http://schemas.openxmlformats.org/officeDocument/2006/relationships/hyperlink" Target="https://drive.google.com/drive/folders/1-AWXp5iq1oQUtUcGEzcT-N33zyy2-HWd?usp=sharing" TargetMode="External"/><Relationship Id="rId690" Type="http://schemas.openxmlformats.org/officeDocument/2006/relationships/hyperlink" Target="https://doi.org/10.1007/s11207-024-02307-w" TargetMode="External"/><Relationship Id="rId704" Type="http://schemas.openxmlformats.org/officeDocument/2006/relationships/hyperlink" Target="https://doi.org/10.52225/narra.v4i3.968" TargetMode="External"/><Relationship Id="rId911" Type="http://schemas.openxmlformats.org/officeDocument/2006/relationships/hyperlink" Target="https://doi.org/10.1109/ICWT62080.2024.10674678" TargetMode="External"/><Relationship Id="rId40" Type="http://schemas.openxmlformats.org/officeDocument/2006/relationships/hyperlink" Target="https://doi.org/10.1109/ACCESS.2024.3368034" TargetMode="External"/><Relationship Id="rId136" Type="http://schemas.openxmlformats.org/officeDocument/2006/relationships/hyperlink" Target="https://brill.com/view/journals/fsd/aop/article-10.1163-18696945-bja00006/article-10.1163-18696945-bja00006.xml" TargetMode="External"/><Relationship Id="rId343" Type="http://schemas.openxmlformats.org/officeDocument/2006/relationships/hyperlink" Target="https://drive.google.com/drive/folders/1-AWXp5iq1oQUtUcGEzcT-N33zyy2-HWd?usp=sharing" TargetMode="External"/><Relationship Id="rId550" Type="http://schemas.openxmlformats.org/officeDocument/2006/relationships/hyperlink" Target="https://doi.org/10.1117/12.3009603" TargetMode="External"/><Relationship Id="rId788" Type="http://schemas.openxmlformats.org/officeDocument/2006/relationships/hyperlink" Target="https://doi.org/10.1109/IC3INA64086.2024.10732471" TargetMode="External"/><Relationship Id="rId203" Type="http://schemas.openxmlformats.org/officeDocument/2006/relationships/hyperlink" Target="http://dx.doi.org/10.26464/epp2025076" TargetMode="External"/><Relationship Id="rId648" Type="http://schemas.openxmlformats.org/officeDocument/2006/relationships/hyperlink" Target="https://doi.org/10.37934/cfdl.16.7.150165" TargetMode="External"/><Relationship Id="rId855" Type="http://schemas.openxmlformats.org/officeDocument/2006/relationships/hyperlink" Target="https://doi.org/10.1109/LED.2024.3454294" TargetMode="External"/><Relationship Id="rId287" Type="http://schemas.openxmlformats.org/officeDocument/2006/relationships/hyperlink" Target="https://doi.org/10.1109/IC3INA64086.2024.10732746" TargetMode="External"/><Relationship Id="rId410" Type="http://schemas.openxmlformats.org/officeDocument/2006/relationships/hyperlink" Target="https://drive.google.com/drive/folders/1-AWXp5iq1oQUtUcGEzcT-N33zyy2-HWd?usp=sharing" TargetMode="External"/><Relationship Id="rId494" Type="http://schemas.openxmlformats.org/officeDocument/2006/relationships/hyperlink" Target="https://drive.google.com/drive/folders/1-AWXp5iq1oQUtUcGEzcT-N33zyy2-HWd?usp=sharing" TargetMode="External"/><Relationship Id="rId508" Type="http://schemas.openxmlformats.org/officeDocument/2006/relationships/hyperlink" Target="http://doi.org/10.1590/2675-2824072.23154" TargetMode="External"/><Relationship Id="rId715" Type="http://schemas.openxmlformats.org/officeDocument/2006/relationships/hyperlink" Target="https://doi.org/10.1108/IJESM-08-2023-0001" TargetMode="External"/><Relationship Id="rId922" Type="http://schemas.openxmlformats.org/officeDocument/2006/relationships/hyperlink" Target="https://doi.org/10.1109/ACCESS.2024.3434976" TargetMode="External"/><Relationship Id="rId147" Type="http://schemas.openxmlformats.org/officeDocument/2006/relationships/hyperlink" Target="https://drive.google.com/drive/folders/1-AWXp5iq1oQUtUcGEzcT-N33zyy2-HWd?usp=sharing" TargetMode="External"/><Relationship Id="rId354" Type="http://schemas.openxmlformats.org/officeDocument/2006/relationships/hyperlink" Target="https://drive.google.com/drive/folders/1-AWXp5iq1oQUtUcGEzcT-N33zyy2-HWd?usp=sharing" TargetMode="External"/><Relationship Id="rId799" Type="http://schemas.openxmlformats.org/officeDocument/2006/relationships/hyperlink" Target="https://doi.org/10.1201/9781032670782" TargetMode="External"/><Relationship Id="rId51" Type="http://schemas.openxmlformats.org/officeDocument/2006/relationships/hyperlink" Target="https://kneopen.com/KnE-Social/article/view/17900/" TargetMode="External"/><Relationship Id="rId561" Type="http://schemas.openxmlformats.org/officeDocument/2006/relationships/hyperlink" Target="https://drive.google.com/drive/folders/1-AWXp5iq1oQUtUcGEzcT-N33zyy2-HWd?usp=sharing" TargetMode="External"/><Relationship Id="rId659" Type="http://schemas.openxmlformats.org/officeDocument/2006/relationships/hyperlink" Target="https://doi.org/10.22159/ijap.2024v16i2.49855" TargetMode="External"/><Relationship Id="rId866" Type="http://schemas.openxmlformats.org/officeDocument/2006/relationships/hyperlink" Target="https://doi.org/10.1109/ICoICT61617.2024.10698200" TargetMode="External"/><Relationship Id="rId214" Type="http://schemas.openxmlformats.org/officeDocument/2006/relationships/hyperlink" Target="https://ijtech.eng.ui.ac.id/article/view/6525" TargetMode="External"/><Relationship Id="rId298" Type="http://schemas.openxmlformats.org/officeDocument/2006/relationships/hyperlink" Target="https://drive.google.com/drive/folders/1-AWXp5iq1oQUtUcGEzcT-N33zyy2-HWd?usp=sharing" TargetMode="External"/><Relationship Id="rId421" Type="http://schemas.openxmlformats.org/officeDocument/2006/relationships/hyperlink" Target="https://drive.google.com/drive/folders/1-AWXp5iq1oQUtUcGEzcT-N33zyy2-HWd?usp=sharing" TargetMode="External"/><Relationship Id="rId519" Type="http://schemas.openxmlformats.org/officeDocument/2006/relationships/hyperlink" Target="https://drive.google.com/drive/folders/1-AWXp5iq1oQUtUcGEzcT-N33zyy2-HWd?usp=sharing" TargetMode="External"/><Relationship Id="rId158" Type="http://schemas.openxmlformats.org/officeDocument/2006/relationships/hyperlink" Target="https://drive.google.com/drive/folders/1-AWXp5iq1oQUtUcGEzcT-N33zyy2-HWd?usp=sharing" TargetMode="External"/><Relationship Id="rId726" Type="http://schemas.openxmlformats.org/officeDocument/2006/relationships/hyperlink" Target="https://doi.org/10.1109/TSSA59948.2023.10366938" TargetMode="External"/><Relationship Id="rId933" Type="http://schemas.openxmlformats.org/officeDocument/2006/relationships/hyperlink" Target="https://doi.org/10.11591/eei.v14i1.7800" TargetMode="External"/><Relationship Id="rId62" Type="http://schemas.openxmlformats.org/officeDocument/2006/relationships/hyperlink" Target="https://drive.google.com/drive/folders/1-AWXp5iq1oQUtUcGEzcT-N33zyy2-HWd?usp=sharing" TargetMode="External"/><Relationship Id="rId365" Type="http://schemas.openxmlformats.org/officeDocument/2006/relationships/hyperlink" Target="https://doi.org/10.17222/mit.2023.869" TargetMode="External"/><Relationship Id="rId572" Type="http://schemas.openxmlformats.org/officeDocument/2006/relationships/hyperlink" Target="https://doi.org/10.1016/j.indic.2024.100339" TargetMode="External"/><Relationship Id="rId225" Type="http://schemas.openxmlformats.org/officeDocument/2006/relationships/hyperlink" Target="https://doi.org/10.1109/IC3INA64086.2024.10732232" TargetMode="External"/><Relationship Id="rId432" Type="http://schemas.openxmlformats.org/officeDocument/2006/relationships/hyperlink" Target="https://drive.google.com/drive/folders/1-AWXp5iq1oQUtUcGEzcT-N33zyy2-HWd?usp=sharing" TargetMode="External"/><Relationship Id="rId877" Type="http://schemas.openxmlformats.org/officeDocument/2006/relationships/hyperlink" Target="https://doi.org/10.1049/tje2.70028" TargetMode="External"/><Relationship Id="rId737" Type="http://schemas.openxmlformats.org/officeDocument/2006/relationships/hyperlink" Target="https://doi.org/10.1007/978-981-97-0740-9_44" TargetMode="External"/><Relationship Id="rId73" Type="http://schemas.openxmlformats.org/officeDocument/2006/relationships/hyperlink" Target="https://doi.org/10.12928/TELKOMNIKA.v23i6.27090" TargetMode="External"/><Relationship Id="rId169" Type="http://schemas.openxmlformats.org/officeDocument/2006/relationships/hyperlink" Target="https://doi.org/10.12928/TELKOMNIKA.v22i4.26063" TargetMode="External"/><Relationship Id="rId376" Type="http://schemas.openxmlformats.org/officeDocument/2006/relationships/hyperlink" Target="https://drive.google.com/drive/folders/1-AWXp5iq1oQUtUcGEzcT-N33zyy2-HWd?usp=sharing" TargetMode="External"/><Relationship Id="rId583" Type="http://schemas.openxmlformats.org/officeDocument/2006/relationships/hyperlink" Target="https://doi.org/10.1007/978-981-97-0740-9_28" TargetMode="External"/><Relationship Id="rId790" Type="http://schemas.openxmlformats.org/officeDocument/2006/relationships/hyperlink" Target="https://doi.org/10.3390/s24227102" TargetMode="External"/><Relationship Id="rId804" Type="http://schemas.openxmlformats.org/officeDocument/2006/relationships/hyperlink" Target="https://doi.org/10.3390/economies12110285" TargetMode="External"/><Relationship Id="rId4" Type="http://schemas.openxmlformats.org/officeDocument/2006/relationships/hyperlink" Target="https://doi.org/10.11591/ijece.v14i1.pp819-829" TargetMode="External"/><Relationship Id="rId236" Type="http://schemas.openxmlformats.org/officeDocument/2006/relationships/hyperlink" Target="https://drive.google.com/drive/folders/1-AWXp5iq1oQUtUcGEzcT-N33zyy2-HWd?usp=sharing" TargetMode="External"/><Relationship Id="rId443" Type="http://schemas.openxmlformats.org/officeDocument/2006/relationships/hyperlink" Target="https://drive.google.com/drive/folders/1-AWXp5iq1oQUtUcGEzcT-N33zyy2-HWd?usp=sharing" TargetMode="External"/><Relationship Id="rId650" Type="http://schemas.openxmlformats.org/officeDocument/2006/relationships/hyperlink" Target="https://doi.org/10.7454/mss.v28i3.2140" TargetMode="External"/><Relationship Id="rId888" Type="http://schemas.openxmlformats.org/officeDocument/2006/relationships/hyperlink" Target="http://dx.doi.org/10.52549/ijeei.v12i4.5531" TargetMode="External"/><Relationship Id="rId303" Type="http://schemas.openxmlformats.org/officeDocument/2006/relationships/hyperlink" Target="https://drive.google.com/drive/folders/1-AWXp5iq1oQUtUcGEzcT-N33zyy2-HWd?usp=sharing" TargetMode="External"/><Relationship Id="rId748" Type="http://schemas.openxmlformats.org/officeDocument/2006/relationships/hyperlink" Target="https://doi.org/10.1016/j.foodchem.2024.140108" TargetMode="External"/><Relationship Id="rId84" Type="http://schemas.openxmlformats.org/officeDocument/2006/relationships/hyperlink" Target="https://ieeexplore.ieee.org/abstract/document/10941994" TargetMode="External"/><Relationship Id="rId387" Type="http://schemas.openxmlformats.org/officeDocument/2006/relationships/hyperlink" Target="https://doi.org/10.11591/ijece.v15i6.pp6001-6011" TargetMode="External"/><Relationship Id="rId510" Type="http://schemas.openxmlformats.org/officeDocument/2006/relationships/hyperlink" Target="https://drive.google.com/drive/folders/1-AWXp5iq1oQUtUcGEzcT-N33zyy2-HWd?usp=sharing" TargetMode="External"/><Relationship Id="rId594" Type="http://schemas.openxmlformats.org/officeDocument/2006/relationships/hyperlink" Target="https://doi.org/10.1051/bioconf/202410604002" TargetMode="External"/><Relationship Id="rId608" Type="http://schemas.openxmlformats.org/officeDocument/2006/relationships/hyperlink" Target="https://doi.org/10.21833/ijaas.2024.07.002" TargetMode="External"/><Relationship Id="rId815" Type="http://schemas.openxmlformats.org/officeDocument/2006/relationships/hyperlink" Target="https://doi.org/10.1007/978-981-99-8111-3_5" TargetMode="External"/><Relationship Id="rId247" Type="http://schemas.openxmlformats.org/officeDocument/2006/relationships/hyperlink" Target="https://doi.org/10.1007/s42979-025-04238-0" TargetMode="External"/><Relationship Id="rId899" Type="http://schemas.openxmlformats.org/officeDocument/2006/relationships/hyperlink" Target="https://doi.org/10.47836/pjst.32.4.22" TargetMode="External"/><Relationship Id="rId107" Type="http://schemas.openxmlformats.org/officeDocument/2006/relationships/hyperlink" Target="https://drive.google.com/drive/folders/1-AWXp5iq1oQUtUcGEzcT-N33zyy2-HWd?usp=sharing" TargetMode="External"/><Relationship Id="rId454" Type="http://schemas.openxmlformats.org/officeDocument/2006/relationships/hyperlink" Target="https://doi.org/10.3390/telecom5030038" TargetMode="External"/><Relationship Id="rId661" Type="http://schemas.openxmlformats.org/officeDocument/2006/relationships/hyperlink" Target="https://doi.org/10.7324/JAPS.2024.180291" TargetMode="External"/><Relationship Id="rId759" Type="http://schemas.openxmlformats.org/officeDocument/2006/relationships/hyperlink" Target="https://doi.org/10.1063/5.0205720" TargetMode="External"/><Relationship Id="rId11" Type="http://schemas.openxmlformats.org/officeDocument/2006/relationships/hyperlink" Target="https://doi.org/10.3390/app15010351" TargetMode="External"/><Relationship Id="rId314" Type="http://schemas.openxmlformats.org/officeDocument/2006/relationships/hyperlink" Target="http://doi.org/10.1016/j.matlet.2023.135735" TargetMode="External"/><Relationship Id="rId398" Type="http://schemas.openxmlformats.org/officeDocument/2006/relationships/hyperlink" Target="https://doi.org/10.1088/1742-6596/2696/1/012006" TargetMode="External"/><Relationship Id="rId521" Type="http://schemas.openxmlformats.org/officeDocument/2006/relationships/hyperlink" Target="https://drive.google.com/drive/folders/1-AWXp5iq1oQUtUcGEzcT-N33zyy2-HWd?usp=sharing" TargetMode="External"/><Relationship Id="rId619" Type="http://schemas.openxmlformats.org/officeDocument/2006/relationships/hyperlink" Target="https://doi.org/10.1016/j.rsase.2024.101337" TargetMode="External"/><Relationship Id="rId95" Type="http://schemas.openxmlformats.org/officeDocument/2006/relationships/hyperlink" Target="https://drive.google.com/drive/folders/1-AWXp5iq1oQUtUcGEzcT-N33zyy2-HWd?usp=sharing" TargetMode="External"/><Relationship Id="rId160" Type="http://schemas.openxmlformats.org/officeDocument/2006/relationships/hyperlink" Target="https://drive.google.com/drive/folders/1-AWXp5iq1oQUtUcGEzcT-N33zyy2-HWd?usp=sharing" TargetMode="External"/><Relationship Id="rId826" Type="http://schemas.openxmlformats.org/officeDocument/2006/relationships/hyperlink" Target="https://doi.org/10.1109/ICAMIMIA60881.2023.10427837" TargetMode="External"/><Relationship Id="rId258" Type="http://schemas.openxmlformats.org/officeDocument/2006/relationships/hyperlink" Target="https://www.trjfas.org/abstract.php?lang=en&amp;id=15146" TargetMode="External"/><Relationship Id="rId465" Type="http://schemas.openxmlformats.org/officeDocument/2006/relationships/hyperlink" Target="https://icipa.serral.org/2024/" TargetMode="External"/><Relationship Id="rId672" Type="http://schemas.openxmlformats.org/officeDocument/2006/relationships/hyperlink" Target="https://doi.org/10.1016/S1473-3099(24)00176-2" TargetMode="External"/><Relationship Id="rId22" Type="http://schemas.openxmlformats.org/officeDocument/2006/relationships/hyperlink" Target="https://www.scopus.com/record/display.uri?eid=2-s2.0-85208030650&amp;origin=resultslist" TargetMode="External"/><Relationship Id="rId118" Type="http://schemas.openxmlformats.org/officeDocument/2006/relationships/hyperlink" Target="https://doi.org/10.1177/02663821241264702" TargetMode="External"/><Relationship Id="rId325" Type="http://schemas.openxmlformats.org/officeDocument/2006/relationships/hyperlink" Target="https://drive.google.com/drive/folders/1-AWXp5iq1oQUtUcGEzcT-N33zyy2-HWd?usp=sharing" TargetMode="External"/><Relationship Id="rId532" Type="http://schemas.openxmlformats.org/officeDocument/2006/relationships/hyperlink" Target="https://doi.org/10.1016/j.kjs.2023.10.002" TargetMode="External"/><Relationship Id="rId171" Type="http://schemas.openxmlformats.org/officeDocument/2006/relationships/hyperlink" Target="https://drive.google.com/drive/folders/1-AWXp5iq1oQUtUcGEzcT-N33zyy2-HWd?usp=sharing" TargetMode="External"/><Relationship Id="rId837" Type="http://schemas.openxmlformats.org/officeDocument/2006/relationships/hyperlink" Target="https://doi.org/10.1063/5.0206652" TargetMode="External"/><Relationship Id="rId269" Type="http://schemas.openxmlformats.org/officeDocument/2006/relationships/hyperlink" Target="https://doi.org/10.1007/s44444-025-00035-5" TargetMode="External"/><Relationship Id="rId476" Type="http://schemas.openxmlformats.org/officeDocument/2006/relationships/hyperlink" Target="https://drive.google.com/drive/folders/1-AWXp5iq1oQUtUcGEzcT-N33zyy2-HWd?usp=sharing" TargetMode="External"/><Relationship Id="rId683" Type="http://schemas.openxmlformats.org/officeDocument/2006/relationships/hyperlink" Target="https://doi.org/10.1080/23802359.2024.2392742" TargetMode="External"/><Relationship Id="rId890" Type="http://schemas.openxmlformats.org/officeDocument/2006/relationships/hyperlink" Target="https://doi.org/10.3390/aerospace11010052" TargetMode="External"/><Relationship Id="rId904" Type="http://schemas.openxmlformats.org/officeDocument/2006/relationships/hyperlink" Target="https://doi.org/10.1051/e3sconf/202450101017" TargetMode="External"/><Relationship Id="rId33" Type="http://schemas.openxmlformats.org/officeDocument/2006/relationships/hyperlink" Target="https://drive.google.com/drive/folders/1-AWXp5iq1oQUtUcGEzcT-N33zyy2-HWd?usp=sharing" TargetMode="External"/><Relationship Id="rId129" Type="http://schemas.openxmlformats.org/officeDocument/2006/relationships/hyperlink" Target="https://doi.org/10.28945/5499" TargetMode="External"/><Relationship Id="rId336" Type="http://schemas.openxmlformats.org/officeDocument/2006/relationships/hyperlink" Target="https://drive.google.com/drive/folders/1-AWXp5iq1oQUtUcGEzcT-N33zyy2-HWd?usp=sharing" TargetMode="External"/><Relationship Id="rId543" Type="http://schemas.openxmlformats.org/officeDocument/2006/relationships/hyperlink" Target="https://drive.google.com/drive/folders/1-AWXp5iq1oQUtUcGEzcT-N33zyy2-HWd?usp=sharing" TargetMode="External"/><Relationship Id="rId182" Type="http://schemas.openxmlformats.org/officeDocument/2006/relationships/hyperlink" Target="https://doi.org/10.22266/IJIES2024.0831.76" TargetMode="External"/><Relationship Id="rId403" Type="http://schemas.openxmlformats.org/officeDocument/2006/relationships/hyperlink" Target="https://drive.google.com/drive/folders/1-AWXp5iq1oQUtUcGEzcT-N33zyy2-HWd?usp=sharing" TargetMode="External"/><Relationship Id="rId750" Type="http://schemas.openxmlformats.org/officeDocument/2006/relationships/hyperlink" Target="https://doi.org/10.1109/ICMRE60776.2024.10532183" TargetMode="External"/><Relationship Id="rId848" Type="http://schemas.openxmlformats.org/officeDocument/2006/relationships/hyperlink" Target="https://doi.org/10.1109/ICICoS62600.2024.10636889" TargetMode="External"/><Relationship Id="rId487" Type="http://schemas.openxmlformats.org/officeDocument/2006/relationships/hyperlink" Target="http://doi.org/10.1109/TIM.2024.3366287" TargetMode="External"/><Relationship Id="rId610" Type="http://schemas.openxmlformats.org/officeDocument/2006/relationships/hyperlink" Target="https://doi.org/10.1007/978-981-97-0740-9_15" TargetMode="External"/><Relationship Id="rId694" Type="http://schemas.openxmlformats.org/officeDocument/2006/relationships/hyperlink" Target="https://doi.org/10.5614/itbj.ict.res.appl.2023.18.2.5" TargetMode="External"/><Relationship Id="rId708" Type="http://schemas.openxmlformats.org/officeDocument/2006/relationships/hyperlink" Target="https://doi.org/10.1007/s11192-024-05040-0" TargetMode="External"/><Relationship Id="rId915" Type="http://schemas.openxmlformats.org/officeDocument/2006/relationships/hyperlink" Target="https://doi.org/10.1016/j.aaf.2024.08.002" TargetMode="External"/><Relationship Id="rId347" Type="http://schemas.openxmlformats.org/officeDocument/2006/relationships/hyperlink" Target="https://iieta.org/journals/ijsse/paper/10.18280/ijsse.150714" TargetMode="External"/><Relationship Id="rId44" Type="http://schemas.openxmlformats.org/officeDocument/2006/relationships/hyperlink" Target="https://drive.google.com/drive/folders/1-AWXp5iq1oQUtUcGEzcT-N33zyy2-HWd?usp=sharing" TargetMode="External"/><Relationship Id="rId554" Type="http://schemas.openxmlformats.org/officeDocument/2006/relationships/hyperlink" Target="https://doi.org/10.1117/12.3009696" TargetMode="External"/><Relationship Id="rId761" Type="http://schemas.openxmlformats.org/officeDocument/2006/relationships/hyperlink" Target="https://doi.org/10.47738/jads.v5i3.222" TargetMode="External"/><Relationship Id="rId859" Type="http://schemas.openxmlformats.org/officeDocument/2006/relationships/hyperlink" Target="https://doi.org/10.1201/9780429150111" TargetMode="External"/><Relationship Id="rId193" Type="http://schemas.openxmlformats.org/officeDocument/2006/relationships/hyperlink" Target="http://m.sc/" TargetMode="External"/><Relationship Id="rId207" Type="http://schemas.openxmlformats.org/officeDocument/2006/relationships/hyperlink" Target="https://drive.google.com/drive/folders/1-AWXp5iq1oQUtUcGEzcT-N33zyy2-HWd?usp=sharing" TargetMode="External"/><Relationship Id="rId414" Type="http://schemas.openxmlformats.org/officeDocument/2006/relationships/hyperlink" Target="https://drive.google.com/drive/folders/1-AWXp5iq1oQUtUcGEzcT-N33zyy2-HWd?usp=sharing" TargetMode="External"/><Relationship Id="rId498" Type="http://schemas.openxmlformats.org/officeDocument/2006/relationships/hyperlink" Target="https://drive.google.com/drive/folders/1-AWXp5iq1oQUtUcGEzcT-N33zyy2-HWd?usp=sharing" TargetMode="External"/><Relationship Id="rId621" Type="http://schemas.openxmlformats.org/officeDocument/2006/relationships/hyperlink" Target="https://doi.org/10.1016/j.acags.2024.100194" TargetMode="External"/><Relationship Id="rId260" Type="http://schemas.openxmlformats.org/officeDocument/2006/relationships/hyperlink" Target="https://doi.org/10.20473/jisebi.10.3.355-367" TargetMode="External"/><Relationship Id="rId719" Type="http://schemas.openxmlformats.org/officeDocument/2006/relationships/hyperlink" Target="https://doi.org/10.33640/2405-609X.3341" TargetMode="External"/><Relationship Id="rId926" Type="http://schemas.openxmlformats.org/officeDocument/2006/relationships/hyperlink" Target="https://doi.org/10.1088/1402-4896/ad8f6b" TargetMode="External"/><Relationship Id="rId55" Type="http://schemas.openxmlformats.org/officeDocument/2006/relationships/hyperlink" Target="https://eprints.uad.ac.id/80093/1/BOOK%20OF%20ABSTRACT-AIWEST%20DR%202024.pdf" TargetMode="External"/><Relationship Id="rId120" Type="http://schemas.openxmlformats.org/officeDocument/2006/relationships/hyperlink" Target="https://beei.org/index.php/EEI/article/view/7929/4237" TargetMode="External"/><Relationship Id="rId358" Type="http://schemas.openxmlformats.org/officeDocument/2006/relationships/hyperlink" Target="https://drive.google.com/drive/folders/1-AWXp5iq1oQUtUcGEzcT-N33zyy2-HWd?usp=sharing" TargetMode="External"/><Relationship Id="rId565" Type="http://schemas.openxmlformats.org/officeDocument/2006/relationships/hyperlink" Target="https://drive.google.com/drive/folders/1-AWXp5iq1oQUtUcGEzcT-N33zyy2-HWd?usp=sharing" TargetMode="External"/><Relationship Id="rId772" Type="http://schemas.openxmlformats.org/officeDocument/2006/relationships/hyperlink" Target="https://doi.org/10.1109/ICICoS62600.2024.10636912" TargetMode="External"/><Relationship Id="rId218" Type="http://schemas.openxmlformats.org/officeDocument/2006/relationships/hyperlink" Target="https://doi.org/10.1109/ICITRI62858.2024.10699087" TargetMode="External"/><Relationship Id="rId425" Type="http://schemas.openxmlformats.org/officeDocument/2006/relationships/hyperlink" Target="https://drive.google.com/file/d/1N8uoTr4J1mD9xoxcEarBvXiP_OHVLIX2/view?usp=sharing" TargetMode="External"/><Relationship Id="rId632" Type="http://schemas.openxmlformats.org/officeDocument/2006/relationships/hyperlink" Target="https://doi.org/10.1063/5.0226104" TargetMode="External"/><Relationship Id="rId271" Type="http://schemas.openxmlformats.org/officeDocument/2006/relationships/hyperlink" Target="https://drive.google.com/drive/folders/1-AWXp5iq1oQUtUcGEzcT-N33zyy2-HWd?usp=sharing" TargetMode="External"/><Relationship Id="rId66" Type="http://schemas.openxmlformats.org/officeDocument/2006/relationships/hyperlink" Target="https://doi.org/10.1109/ICETSIS61505.2024.10459378" TargetMode="External"/><Relationship Id="rId131" Type="http://schemas.openxmlformats.org/officeDocument/2006/relationships/hyperlink" Target="https://drive.google.com/drive/folders/1-AWXp5iq1oQUtUcGEzcT-N33zyy2-HWd?usp=sharing" TargetMode="External"/><Relationship Id="rId369" Type="http://schemas.openxmlformats.org/officeDocument/2006/relationships/hyperlink" Target="https://drive.google.com/drive/folders/1-AWXp5iq1oQUtUcGEzcT-N33zyy2-HWd?usp=sharing" TargetMode="External"/><Relationship Id="rId576" Type="http://schemas.openxmlformats.org/officeDocument/2006/relationships/hyperlink" Target="https://doi.org/10.5109/7172320" TargetMode="External"/><Relationship Id="rId783" Type="http://schemas.openxmlformats.org/officeDocument/2006/relationships/hyperlink" Target="https://doi.org/10.1109/IC3INA64086.2024.10732863" TargetMode="External"/><Relationship Id="rId229" Type="http://schemas.openxmlformats.org/officeDocument/2006/relationships/hyperlink" Target="https://doi.org/10.28945/5373" TargetMode="External"/><Relationship Id="rId436" Type="http://schemas.openxmlformats.org/officeDocument/2006/relationships/hyperlink" Target="https://drive.google.com/drive/folders/1-AWXp5iq1oQUtUcGEzcT-N33zyy2-HWd?usp=sharing" TargetMode="External"/><Relationship Id="rId643" Type="http://schemas.openxmlformats.org/officeDocument/2006/relationships/hyperlink" Target="https://doi.org/10.1007/s41060-024-00629-3" TargetMode="External"/><Relationship Id="rId850" Type="http://schemas.openxmlformats.org/officeDocument/2006/relationships/hyperlink" Target="https://doi.org/10.33438/ijdshs.1371605" TargetMode="External"/><Relationship Id="rId77" Type="http://schemas.openxmlformats.org/officeDocument/2006/relationships/hyperlink" Target="https://doi.org/10.1109/BTS-I2C63534.2024.10942123" TargetMode="External"/><Relationship Id="rId282" Type="http://schemas.openxmlformats.org/officeDocument/2006/relationships/hyperlink" Target="https://drive.google.com/drive/folders/1-AWXp5iq1oQUtUcGEzcT-N33zyy2-HWd?usp=sharing" TargetMode="External"/><Relationship Id="rId503" Type="http://schemas.openxmlformats.org/officeDocument/2006/relationships/hyperlink" Target="https://drive.google.com/drive/folders/1-AWXp5iq1oQUtUcGEzcT-N33zyy2-HWd?usp=sharing" TargetMode="External"/><Relationship Id="rId587" Type="http://schemas.openxmlformats.org/officeDocument/2006/relationships/hyperlink" Target="https://link.springer.com/article/10.1134/S1028334X23602444" TargetMode="External"/><Relationship Id="rId710" Type="http://schemas.openxmlformats.org/officeDocument/2006/relationships/hyperlink" Target="https://doi.org/10.1016/j.molliq.2024.126295" TargetMode="External"/><Relationship Id="rId808" Type="http://schemas.openxmlformats.org/officeDocument/2006/relationships/hyperlink" Target="https://doi.org/10.1016/j.measurement.2023.114111" TargetMode="External"/><Relationship Id="rId8" Type="http://schemas.openxmlformats.org/officeDocument/2006/relationships/hyperlink" Target="https://doi.org/10.1080/2150704X.2023.2299268" TargetMode="External"/><Relationship Id="rId142" Type="http://schemas.openxmlformats.org/officeDocument/2006/relationships/hyperlink" Target="https://doi.org/10.1080/07038992.2024.2368036" TargetMode="External"/><Relationship Id="rId447" Type="http://schemas.openxmlformats.org/officeDocument/2006/relationships/hyperlink" Target="https://drive.google.com/drive/folders/1-AWXp5iq1oQUtUcGEzcT-N33zyy2-HWd?usp=sharing" TargetMode="External"/><Relationship Id="rId794" Type="http://schemas.openxmlformats.org/officeDocument/2006/relationships/hyperlink" Target="https://doi.org/10.24294/jipd.v8i11.6386" TargetMode="External"/><Relationship Id="rId654" Type="http://schemas.openxmlformats.org/officeDocument/2006/relationships/hyperlink" Target="https://doi.org/10.1016/j.heliyon.2024.e29049" TargetMode="External"/><Relationship Id="rId861" Type="http://schemas.openxmlformats.org/officeDocument/2006/relationships/hyperlink" Target="https://doi.org/10.1007/978-981-97-2336-2_10" TargetMode="External"/><Relationship Id="rId293" Type="http://schemas.openxmlformats.org/officeDocument/2006/relationships/hyperlink" Target="https://doi.org/10.11591/ijaas.v13.i4.pp1009-1018" TargetMode="External"/><Relationship Id="rId307" Type="http://schemas.openxmlformats.org/officeDocument/2006/relationships/hyperlink" Target="https://drive.google.com/drive/folders/1-AWXp5iq1oQUtUcGEzcT-N33zyy2-HWd?usp=sharing" TargetMode="External"/><Relationship Id="rId514" Type="http://schemas.openxmlformats.org/officeDocument/2006/relationships/hyperlink" Target="https://drive.google.com/drive/folders/1-AWXp5iq1oQUtUcGEzcT-N33zyy2-HWd?usp=sharing" TargetMode="External"/><Relationship Id="rId721" Type="http://schemas.openxmlformats.org/officeDocument/2006/relationships/hyperlink" Target="https://doi.org/10.1109/ICoSEIT60086.2024.10497473" TargetMode="External"/><Relationship Id="rId88" Type="http://schemas.openxmlformats.org/officeDocument/2006/relationships/hyperlink" Target="https://ieeexplore.ieee.org/abstract/document/10942123" TargetMode="External"/><Relationship Id="rId153" Type="http://schemas.openxmlformats.org/officeDocument/2006/relationships/hyperlink" Target="https://doi.org/10.20473/jisebi.10.2.270-289" TargetMode="External"/><Relationship Id="rId360" Type="http://schemas.openxmlformats.org/officeDocument/2006/relationships/hyperlink" Target="https://doi.org/10.1007/s43621-025-01880-9" TargetMode="External"/><Relationship Id="rId598" Type="http://schemas.openxmlformats.org/officeDocument/2006/relationships/hyperlink" Target="https://doi.org/10.1080/01431161.2024.2421942" TargetMode="External"/><Relationship Id="rId819" Type="http://schemas.openxmlformats.org/officeDocument/2006/relationships/hyperlink" Target="https://doi.org/10.1063/5.0186240" TargetMode="External"/><Relationship Id="rId220" Type="http://schemas.openxmlformats.org/officeDocument/2006/relationships/hyperlink" Target="https://www.scopus.com/record/display.uri?eid=2-s2.0-85215306307&amp;origin=recordpage" TargetMode="External"/><Relationship Id="rId458" Type="http://schemas.openxmlformats.org/officeDocument/2006/relationships/hyperlink" Target="http://doi.org/10.1016/j.cscee.2024.100965" TargetMode="External"/><Relationship Id="rId665" Type="http://schemas.openxmlformats.org/officeDocument/2006/relationships/hyperlink" Target="https://doi.org/10.1016/j.marenvres.2024.106540" TargetMode="External"/><Relationship Id="rId872" Type="http://schemas.openxmlformats.org/officeDocument/2006/relationships/hyperlink" Target="https://doi.org/10.1109/IC3INA64086.2024.10732754" TargetMode="External"/><Relationship Id="rId15" Type="http://schemas.openxmlformats.org/officeDocument/2006/relationships/hyperlink" Target="https://doi.org/10.1016/j.jbmt.2024.11.031" TargetMode="External"/><Relationship Id="rId318" Type="http://schemas.openxmlformats.org/officeDocument/2006/relationships/hyperlink" Target="https://www.scopus.com/pages/publications/105010384373?origin=resultslist" TargetMode="External"/><Relationship Id="rId525" Type="http://schemas.openxmlformats.org/officeDocument/2006/relationships/hyperlink" Target="https://drive.google.com/drive/folders/1-AWXp5iq1oQUtUcGEzcT-N33zyy2-HWd?usp=sharing" TargetMode="External"/><Relationship Id="rId732" Type="http://schemas.openxmlformats.org/officeDocument/2006/relationships/hyperlink" Target="https://doi.org/10.18280/ijdne.190229" TargetMode="External"/><Relationship Id="rId99" Type="http://schemas.openxmlformats.org/officeDocument/2006/relationships/hyperlink" Target="https://drive.google.com/drive/folders/1-AWXp5iq1oQUtUcGEzcT-N33zyy2-HWd?usp=sharing" TargetMode="External"/><Relationship Id="rId164" Type="http://schemas.openxmlformats.org/officeDocument/2006/relationships/hyperlink" Target="https://drive.google.com/drive/folders/1-AWXp5iq1oQUtUcGEzcT-N33zyy2-HWd?usp=sharing" TargetMode="External"/><Relationship Id="rId371" Type="http://schemas.openxmlformats.org/officeDocument/2006/relationships/hyperlink" Target="https://doi.org/10.28945/5439" TargetMode="External"/><Relationship Id="rId469" Type="http://schemas.openxmlformats.org/officeDocument/2006/relationships/hyperlink" Target="https://beei.org/index.php/EEI" TargetMode="External"/><Relationship Id="rId676" Type="http://schemas.openxmlformats.org/officeDocument/2006/relationships/hyperlink" Target="https://doi.org/10.31603/ae.11082" TargetMode="External"/><Relationship Id="rId883" Type="http://schemas.openxmlformats.org/officeDocument/2006/relationships/hyperlink" Target="https://doi.org/10.1063/5.0205732" TargetMode="External"/><Relationship Id="rId26" Type="http://schemas.openxmlformats.org/officeDocument/2006/relationships/hyperlink" Target="https://www.emerald.com/insight/content/doi/10.1108/lhtn-12-2024-0208/full/html" TargetMode="External"/><Relationship Id="rId231" Type="http://schemas.openxmlformats.org/officeDocument/2006/relationships/hyperlink" Target="https://www.sciencedirect.com/science/article/pii/S0273117725008385" TargetMode="External"/><Relationship Id="rId329" Type="http://schemas.openxmlformats.org/officeDocument/2006/relationships/hyperlink" Target="http://doi.org/10.11591/ijai.v14.i6.pp5231-5239" TargetMode="External"/><Relationship Id="rId536" Type="http://schemas.openxmlformats.org/officeDocument/2006/relationships/hyperlink" Target="https://doi.org/10.1088/1755-1315/1291/1/012016" TargetMode="External"/><Relationship Id="rId175" Type="http://schemas.openxmlformats.org/officeDocument/2006/relationships/hyperlink" Target="https://drive.google.com/drive/folders/1-AWXp5iq1oQUtUcGEzcT-N33zyy2-HWd?usp=sharing" TargetMode="External"/><Relationship Id="rId743" Type="http://schemas.openxmlformats.org/officeDocument/2006/relationships/hyperlink" Target="https://doi.org/10.1007/s12524-024-01952-9" TargetMode="External"/><Relationship Id="rId382" Type="http://schemas.openxmlformats.org/officeDocument/2006/relationships/hyperlink" Target="http://m.sc/" TargetMode="External"/><Relationship Id="rId603" Type="http://schemas.openxmlformats.org/officeDocument/2006/relationships/hyperlink" Target="https://doi.org/10.29244/jpsl.14.2.267" TargetMode="External"/><Relationship Id="rId687" Type="http://schemas.openxmlformats.org/officeDocument/2006/relationships/hyperlink" Target="https://doi.org/10.1088/1748-0221/19/05/P05062" TargetMode="External"/><Relationship Id="rId810" Type="http://schemas.openxmlformats.org/officeDocument/2006/relationships/hyperlink" Target="https://doi.org/10.1016/j.mssp.2024.108156" TargetMode="External"/><Relationship Id="rId908" Type="http://schemas.openxmlformats.org/officeDocument/2006/relationships/hyperlink" Target="https://doi.org/10.1038/s41467-023-44627-8" TargetMode="External"/><Relationship Id="rId242" Type="http://schemas.openxmlformats.org/officeDocument/2006/relationships/hyperlink" Target="https://doi.org/10.2147/JMDH.S523137" TargetMode="External"/><Relationship Id="rId894" Type="http://schemas.openxmlformats.org/officeDocument/2006/relationships/hyperlink" Target="https://doi.org/10.1109/ACCESS.2024.3359168" TargetMode="External"/><Relationship Id="rId37" Type="http://schemas.openxmlformats.org/officeDocument/2006/relationships/hyperlink" Target="https://drive.google.com/drive/folders/1-AWXp5iq1oQUtUcGEzcT-N33zyy2-HWd?usp=sharing" TargetMode="External"/><Relationship Id="rId102" Type="http://schemas.openxmlformats.org/officeDocument/2006/relationships/hyperlink" Target="https://doi.org/10.1109/IC3INA64086.2024.10732524" TargetMode="External"/><Relationship Id="rId547" Type="http://schemas.openxmlformats.org/officeDocument/2006/relationships/hyperlink" Target="https://drive.google.com/drive/folders/1-AWXp5iq1oQUtUcGEzcT-N33zyy2-HWd?usp=sharing" TargetMode="External"/><Relationship Id="rId754" Type="http://schemas.openxmlformats.org/officeDocument/2006/relationships/hyperlink" Target="https://doi.org/10.1109/IC3INA64086.2024.10732432" TargetMode="External"/><Relationship Id="rId90" Type="http://schemas.openxmlformats.org/officeDocument/2006/relationships/hyperlink" Target="https://doi.org/10.5267/j.uscm.2024.5.007" TargetMode="External"/><Relationship Id="rId186" Type="http://schemas.openxmlformats.org/officeDocument/2006/relationships/hyperlink" Target="https://doi.org/10.1088/1402-4896/add966" TargetMode="External"/><Relationship Id="rId393" Type="http://schemas.openxmlformats.org/officeDocument/2006/relationships/hyperlink" Target="https://drive.google.com/drive/folders/1-AWXp5iq1oQUtUcGEzcT-N33zyy2-HWd?usp=sharing" TargetMode="External"/><Relationship Id="rId407" Type="http://schemas.openxmlformats.org/officeDocument/2006/relationships/hyperlink" Target="https://drive.google.com/drive/folders/1-AWXp5iq1oQUtUcGEzcT-N33zyy2-HWd?usp=sharing" TargetMode="External"/><Relationship Id="rId614" Type="http://schemas.openxmlformats.org/officeDocument/2006/relationships/hyperlink" Target="https://doi.org/10.1063/5.0206075" TargetMode="External"/><Relationship Id="rId821" Type="http://schemas.openxmlformats.org/officeDocument/2006/relationships/hyperlink" Target="http://doi.org/10.11591/ijece.v14i4.pp4418-4429" TargetMode="External"/><Relationship Id="rId253" Type="http://schemas.openxmlformats.org/officeDocument/2006/relationships/hyperlink" Target="https://drive.google.com/drive/folders/1-AWXp5iq1oQUtUcGEzcT-N33zyy2-HWd?usp=sharing" TargetMode="External"/><Relationship Id="rId460" Type="http://schemas.openxmlformats.org/officeDocument/2006/relationships/hyperlink" Target="http://doi.org/10.7454/mss.v28i3.1469" TargetMode="External"/><Relationship Id="rId698" Type="http://schemas.openxmlformats.org/officeDocument/2006/relationships/hyperlink" Target="https://doi.org/10.1109/IC3INA64086.2024.10732035" TargetMode="External"/><Relationship Id="rId919" Type="http://schemas.openxmlformats.org/officeDocument/2006/relationships/hyperlink" Target="https://doi.org/10.1016/j.compeleceng.2024.109830" TargetMode="External"/><Relationship Id="rId48" Type="http://schemas.openxmlformats.org/officeDocument/2006/relationships/hyperlink" Target="https://drive.google.com/drive/folders/1-AWXp5iq1oQUtUcGEzcT-N33zyy2-HWd?usp=sharing" TargetMode="External"/><Relationship Id="rId113" Type="http://schemas.openxmlformats.org/officeDocument/2006/relationships/hyperlink" Target="https://doi.org/10.53894/ijirss.v8i2.5289" TargetMode="External"/><Relationship Id="rId320" Type="http://schemas.openxmlformats.org/officeDocument/2006/relationships/hyperlink" Target="http://doi.org/10.1088/1361-6528/ad12ed" TargetMode="External"/><Relationship Id="rId558" Type="http://schemas.openxmlformats.org/officeDocument/2006/relationships/hyperlink" Target="https://doi.org/10.1016/j.rsase.2024.101212" TargetMode="External"/><Relationship Id="rId765" Type="http://schemas.openxmlformats.org/officeDocument/2006/relationships/hyperlink" Target="https://doi.org/10.1108/GKMC-12-2023-0508" TargetMode="External"/><Relationship Id="rId197" Type="http://schemas.openxmlformats.org/officeDocument/2006/relationships/hyperlink" Target="https://doi.org/10.1109/IC3INA64086.2024.10732440." TargetMode="External"/><Relationship Id="rId418" Type="http://schemas.openxmlformats.org/officeDocument/2006/relationships/hyperlink" Target="https://peerj.com/articles/cs-3350/" TargetMode="External"/><Relationship Id="rId625" Type="http://schemas.openxmlformats.org/officeDocument/2006/relationships/hyperlink" Target="https://doi.org/10.1007/s40808-024-02171-4" TargetMode="External"/><Relationship Id="rId832" Type="http://schemas.openxmlformats.org/officeDocument/2006/relationships/hyperlink" Target="https://doi.org/10.1016/j.atech.2024.100527" TargetMode="External"/><Relationship Id="rId264" Type="http://schemas.openxmlformats.org/officeDocument/2006/relationships/hyperlink" Target="https://doi.org/10.1109/ACCESS.2024.3474015" TargetMode="External"/><Relationship Id="rId471" Type="http://schemas.openxmlformats.org/officeDocument/2006/relationships/hyperlink" Target="http://doi.org/10.1109/ICARES64249.2024.1076797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drive/folders/1u-Rq3egPm_IZdmpjryXuKfLoMmTAccsE?usp=sharing" TargetMode="External"/><Relationship Id="rId18" Type="http://schemas.openxmlformats.org/officeDocument/2006/relationships/hyperlink" Target="https://drive.google.com/drive/folders/1u-Rq3egPm_IZdmpjryXuKfLoMmTAccsE?usp=sharing" TargetMode="External"/><Relationship Id="rId26" Type="http://schemas.openxmlformats.org/officeDocument/2006/relationships/hyperlink" Target="https://drive.google.com/drive/folders/1u-Rq3egPm_IZdmpjryXuKfLoMmTAccsE?usp=sharing" TargetMode="External"/><Relationship Id="rId39" Type="http://schemas.openxmlformats.org/officeDocument/2006/relationships/hyperlink" Target="https://drive.google.com/drive/folders/1u-Rq3egPm_IZdmpjryXuKfLoMmTAccsE?usp=sharing" TargetMode="External"/><Relationship Id="rId21" Type="http://schemas.openxmlformats.org/officeDocument/2006/relationships/hyperlink" Target="https://drive.google.com/drive/folders/1u-Rq3egPm_IZdmpjryXuKfLoMmTAccsE?usp=sharing" TargetMode="External"/><Relationship Id="rId34" Type="http://schemas.openxmlformats.org/officeDocument/2006/relationships/hyperlink" Target="https://drive.google.com/drive/folders/1u-Rq3egPm_IZdmpjryXuKfLoMmTAccsE?usp=sharing" TargetMode="External"/><Relationship Id="rId42" Type="http://schemas.openxmlformats.org/officeDocument/2006/relationships/hyperlink" Target="https://drive.google.com/drive/folders/1u-Rq3egPm_IZdmpjryXuKfLoMmTAccsE?usp=sharing" TargetMode="External"/><Relationship Id="rId47" Type="http://schemas.openxmlformats.org/officeDocument/2006/relationships/hyperlink" Target="https://drive.google.com/drive/folders/1u-Rq3egPm_IZdmpjryXuKfLoMmTAccsE?usp=sharing" TargetMode="External"/><Relationship Id="rId7" Type="http://schemas.openxmlformats.org/officeDocument/2006/relationships/hyperlink" Target="https://drive.google.com/drive/folders/1u-Rq3egPm_IZdmpjryXuKfLoMmTAccsE?usp=sharing" TargetMode="External"/><Relationship Id="rId2" Type="http://schemas.openxmlformats.org/officeDocument/2006/relationships/hyperlink" Target="https://drive.google.com/drive/folders/1u-Rq3egPm_IZdmpjryXuKfLoMmTAccsE?usp=sharing" TargetMode="External"/><Relationship Id="rId16" Type="http://schemas.openxmlformats.org/officeDocument/2006/relationships/hyperlink" Target="https://drive.google.com/drive/folders/1u-Rq3egPm_IZdmpjryXuKfLoMmTAccsE?usp=sharing" TargetMode="External"/><Relationship Id="rId29" Type="http://schemas.openxmlformats.org/officeDocument/2006/relationships/hyperlink" Target="https://drive.google.com/drive/folders/1u-Rq3egPm_IZdmpjryXuKfLoMmTAccsE?usp=sharing" TargetMode="External"/><Relationship Id="rId1" Type="http://schemas.openxmlformats.org/officeDocument/2006/relationships/hyperlink" Target="https://drive.google.com/drive/folders/1u-Rq3egPm_IZdmpjryXuKfLoMmTAccsE?usp=sharing" TargetMode="External"/><Relationship Id="rId6" Type="http://schemas.openxmlformats.org/officeDocument/2006/relationships/hyperlink" Target="https://drive.google.com/drive/folders/1u-Rq3egPm_IZdmpjryXuKfLoMmTAccsE?usp=sharing" TargetMode="External"/><Relationship Id="rId11" Type="http://schemas.openxmlformats.org/officeDocument/2006/relationships/hyperlink" Target="https://drive.google.com/drive/folders/1u-Rq3egPm_IZdmpjryXuKfLoMmTAccsE?usp=sharing" TargetMode="External"/><Relationship Id="rId24" Type="http://schemas.openxmlformats.org/officeDocument/2006/relationships/hyperlink" Target="https://drive.google.com/drive/folders/1u-Rq3egPm_IZdmpjryXuKfLoMmTAccsE?usp=sharing" TargetMode="External"/><Relationship Id="rId32" Type="http://schemas.openxmlformats.org/officeDocument/2006/relationships/hyperlink" Target="https://drive.google.com/drive/folders/1u-Rq3egPm_IZdmpjryXuKfLoMmTAccsE?usp=sharing" TargetMode="External"/><Relationship Id="rId37" Type="http://schemas.openxmlformats.org/officeDocument/2006/relationships/hyperlink" Target="https://drive.google.com/drive/folders/1u-Rq3egPm_IZdmpjryXuKfLoMmTAccsE?usp=sharing" TargetMode="External"/><Relationship Id="rId40" Type="http://schemas.openxmlformats.org/officeDocument/2006/relationships/hyperlink" Target="https://drive.google.com/drive/folders/1u-Rq3egPm_IZdmpjryXuKfLoMmTAccsE?usp=sharing" TargetMode="External"/><Relationship Id="rId45" Type="http://schemas.openxmlformats.org/officeDocument/2006/relationships/hyperlink" Target="https://drive.google.com/drive/folders/1u-Rq3egPm_IZdmpjryXuKfLoMmTAccsE?usp=sharing" TargetMode="External"/><Relationship Id="rId5" Type="http://schemas.openxmlformats.org/officeDocument/2006/relationships/hyperlink" Target="https://drive.google.com/drive/folders/1u-Rq3egPm_IZdmpjryXuKfLoMmTAccsE?usp=sharing" TargetMode="External"/><Relationship Id="rId15" Type="http://schemas.openxmlformats.org/officeDocument/2006/relationships/hyperlink" Target="https://drive.google.com/drive/folders/1u-Rq3egPm_IZdmpjryXuKfLoMmTAccsE?usp=sharing" TargetMode="External"/><Relationship Id="rId23" Type="http://schemas.openxmlformats.org/officeDocument/2006/relationships/hyperlink" Target="https://drive.google.com/drive/folders/1u-Rq3egPm_IZdmpjryXuKfLoMmTAccsE?usp=sharing" TargetMode="External"/><Relationship Id="rId28" Type="http://schemas.openxmlformats.org/officeDocument/2006/relationships/hyperlink" Target="https://drive.google.com/drive/folders/1u-Rq3egPm_IZdmpjryXuKfLoMmTAccsE?usp=sharing" TargetMode="External"/><Relationship Id="rId36" Type="http://schemas.openxmlformats.org/officeDocument/2006/relationships/hyperlink" Target="https://drive.google.com/drive/folders/1u-Rq3egPm_IZdmpjryXuKfLoMmTAccsE?usp=sharing" TargetMode="External"/><Relationship Id="rId10" Type="http://schemas.openxmlformats.org/officeDocument/2006/relationships/hyperlink" Target="https://drive.google.com/drive/folders/1u-Rq3egPm_IZdmpjryXuKfLoMmTAccsE?usp=sharing" TargetMode="External"/><Relationship Id="rId19" Type="http://schemas.openxmlformats.org/officeDocument/2006/relationships/hyperlink" Target="https://drive.google.com/drive/folders/1u-Rq3egPm_IZdmpjryXuKfLoMmTAccsE?usp=sharing" TargetMode="External"/><Relationship Id="rId31" Type="http://schemas.openxmlformats.org/officeDocument/2006/relationships/hyperlink" Target="https://drive.google.com/drive/folders/1u-Rq3egPm_IZdmpjryXuKfLoMmTAccsE?usp=sharing" TargetMode="External"/><Relationship Id="rId44" Type="http://schemas.openxmlformats.org/officeDocument/2006/relationships/hyperlink" Target="https://drive.google.com/drive/folders/1u-Rq3egPm_IZdmpjryXuKfLoMmTAccsE?usp=sharing" TargetMode="External"/><Relationship Id="rId4" Type="http://schemas.openxmlformats.org/officeDocument/2006/relationships/hyperlink" Target="https://drive.google.com/drive/folders/1u-Rq3egPm_IZdmpjryXuKfLoMmTAccsE?usp=sharing" TargetMode="External"/><Relationship Id="rId9" Type="http://schemas.openxmlformats.org/officeDocument/2006/relationships/hyperlink" Target="https://drive.google.com/drive/folders/1u-Rq3egPm_IZdmpjryXuKfLoMmTAccsE?usp=sharing" TargetMode="External"/><Relationship Id="rId14" Type="http://schemas.openxmlformats.org/officeDocument/2006/relationships/hyperlink" Target="https://drive.google.com/drive/folders/1u-Rq3egPm_IZdmpjryXuKfLoMmTAccsE?usp=sharing" TargetMode="External"/><Relationship Id="rId22" Type="http://schemas.openxmlformats.org/officeDocument/2006/relationships/hyperlink" Target="https://drive.google.com/drive/folders/1u-Rq3egPm_IZdmpjryXuKfLoMmTAccsE?usp=sharing" TargetMode="External"/><Relationship Id="rId27" Type="http://schemas.openxmlformats.org/officeDocument/2006/relationships/hyperlink" Target="https://drive.google.com/drive/folders/1u-Rq3egPm_IZdmpjryXuKfLoMmTAccsE?usp=sharing" TargetMode="External"/><Relationship Id="rId30" Type="http://schemas.openxmlformats.org/officeDocument/2006/relationships/hyperlink" Target="https://drive.google.com/drive/folders/1u-Rq3egPm_IZdmpjryXuKfLoMmTAccsE?usp=sharing" TargetMode="External"/><Relationship Id="rId35" Type="http://schemas.openxmlformats.org/officeDocument/2006/relationships/hyperlink" Target="https://drive.google.com/drive/folders/1u-Rq3egPm_IZdmpjryXuKfLoMmTAccsE?usp=sharing" TargetMode="External"/><Relationship Id="rId43" Type="http://schemas.openxmlformats.org/officeDocument/2006/relationships/hyperlink" Target="https://drive.google.com/drive/folders/1u-Rq3egPm_IZdmpjryXuKfLoMmTAccsE?usp=sharing" TargetMode="External"/><Relationship Id="rId48" Type="http://schemas.openxmlformats.org/officeDocument/2006/relationships/hyperlink" Target="https://drive.google.com/drive/folders/1u-Rq3egPm_IZdmpjryXuKfLoMmTAccsE?usp=sharing" TargetMode="External"/><Relationship Id="rId8" Type="http://schemas.openxmlformats.org/officeDocument/2006/relationships/hyperlink" Target="https://drive.google.com/drive/folders/1u-Rq3egPm_IZdmpjryXuKfLoMmTAccsE?usp=sharing" TargetMode="External"/><Relationship Id="rId3" Type="http://schemas.openxmlformats.org/officeDocument/2006/relationships/hyperlink" Target="https://drive.google.com/drive/folders/1u-Rq3egPm_IZdmpjryXuKfLoMmTAccsE?usp=sharing" TargetMode="External"/><Relationship Id="rId12" Type="http://schemas.openxmlformats.org/officeDocument/2006/relationships/hyperlink" Target="https://drive.google.com/drive/folders/1u-Rq3egPm_IZdmpjryXuKfLoMmTAccsE?usp=sharing" TargetMode="External"/><Relationship Id="rId17" Type="http://schemas.openxmlformats.org/officeDocument/2006/relationships/hyperlink" Target="https://drive.google.com/drive/folders/1u-Rq3egPm_IZdmpjryXuKfLoMmTAccsE?usp=sharing" TargetMode="External"/><Relationship Id="rId25" Type="http://schemas.openxmlformats.org/officeDocument/2006/relationships/hyperlink" Target="https://drive.google.com/drive/folders/1u-Rq3egPm_IZdmpjryXuKfLoMmTAccsE?usp=sharing" TargetMode="External"/><Relationship Id="rId33" Type="http://schemas.openxmlformats.org/officeDocument/2006/relationships/hyperlink" Target="https://drive.google.com/drive/folders/1u-Rq3egPm_IZdmpjryXuKfLoMmTAccsE?usp=sharing" TargetMode="External"/><Relationship Id="rId38" Type="http://schemas.openxmlformats.org/officeDocument/2006/relationships/hyperlink" Target="https://drive.google.com/drive/folders/1u-Rq3egPm_IZdmpjryXuKfLoMmTAccsE?usp=sharing" TargetMode="External"/><Relationship Id="rId46" Type="http://schemas.openxmlformats.org/officeDocument/2006/relationships/hyperlink" Target="https://drive.google.com/drive/folders/1u-Rq3egPm_IZdmpjryXuKfLoMmTAccsE?usp=sharing" TargetMode="External"/><Relationship Id="rId20" Type="http://schemas.openxmlformats.org/officeDocument/2006/relationships/hyperlink" Target="https://drive.google.com/drive/folders/1u-Rq3egPm_IZdmpjryXuKfLoMmTAccsE?usp=sharing" TargetMode="External"/><Relationship Id="rId41" Type="http://schemas.openxmlformats.org/officeDocument/2006/relationships/hyperlink" Target="https://drive.google.com/drive/folders/1u-Rq3egPm_IZdmpjryXuKfLoMmTAccsE?usp=sharing"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drive/u/1/search?q=PKS" TargetMode="External"/><Relationship Id="rId21" Type="http://schemas.openxmlformats.org/officeDocument/2006/relationships/hyperlink" Target="https://drive.google.com/drive/folders/15yx7bnkxdFoBuYQ3lLE4Bjdh7y_-9F7L?usp=sharing" TargetMode="External"/><Relationship Id="rId42" Type="http://schemas.openxmlformats.org/officeDocument/2006/relationships/hyperlink" Target="https://drive.google.com/drive/folders/15yx7bnkxdFoBuYQ3lLE4Bjdh7y_-9F7L?usp=sharing" TargetMode="External"/><Relationship Id="rId47" Type="http://schemas.openxmlformats.org/officeDocument/2006/relationships/hyperlink" Target="https://drive.google.com/drive/folders/15yx7bnkxdFoBuYQ3lLE4Bjdh7y_-9F7L?usp=sharing" TargetMode="External"/><Relationship Id="rId63" Type="http://schemas.openxmlformats.org/officeDocument/2006/relationships/hyperlink" Target="https://doi.org/10.30852/p.33903" TargetMode="External"/><Relationship Id="rId68" Type="http://schemas.openxmlformats.org/officeDocument/2006/relationships/hyperlink" Target="https://drive.google.com/drive/folders/15yx7bnkxdFoBuYQ3lLE4Bjdh7y_-9F7L?usp=sharing" TargetMode="External"/><Relationship Id="rId84" Type="http://schemas.openxmlformats.org/officeDocument/2006/relationships/hyperlink" Target="https://drive.google.com/drive/folders/15yx7bnkxdFoBuYQ3lLE4Bjdh7y_-9F7L?usp=sharing" TargetMode="External"/><Relationship Id="rId16" Type="http://schemas.openxmlformats.org/officeDocument/2006/relationships/hyperlink" Target="https://drive.google.com/drive/folders/1pfWg0y9PDMakt1iYy0pe81S0Me33MgWo?usp=drive_link" TargetMode="External"/><Relationship Id="rId11" Type="http://schemas.openxmlformats.org/officeDocument/2006/relationships/hyperlink" Target="https://drive.google.com/drive/folders/15yx7bnkxdFoBuYQ3lLE4Bjdh7y_-9F7L?usp=sharing" TargetMode="External"/><Relationship Id="rId32" Type="http://schemas.openxmlformats.org/officeDocument/2006/relationships/hyperlink" Target="https://drive.google.com/drive/folders/15yx7bnkxdFoBuYQ3lLE4Bjdh7y_-9F7L?usp=sharing" TargetMode="External"/><Relationship Id="rId37" Type="http://schemas.openxmlformats.org/officeDocument/2006/relationships/hyperlink" Target="https://drive.google.com/drive/folders/15yx7bnkxdFoBuYQ3lLE4Bjdh7y_-9F7L?usp=sharing" TargetMode="External"/><Relationship Id="rId53" Type="http://schemas.openxmlformats.org/officeDocument/2006/relationships/hyperlink" Target="https://drive.google.com/drive/folders/15yx7bnkxdFoBuYQ3lLE4Bjdh7y_-9F7L?usp=sharing" TargetMode="External"/><Relationship Id="rId58" Type="http://schemas.openxmlformats.org/officeDocument/2006/relationships/hyperlink" Target="https://drive.google.com/drive/folders/15yx7bnkxdFoBuYQ3lLE4Bjdh7y_-9F7L?usp=sharing" TargetMode="External"/><Relationship Id="rId74" Type="http://schemas.openxmlformats.org/officeDocument/2006/relationships/hyperlink" Target="https://drive.google.com/drive/folders/15yx7bnkxdFoBuYQ3lLE4Bjdh7y_-9F7L?usp=sharing" TargetMode="External"/><Relationship Id="rId79" Type="http://schemas.openxmlformats.org/officeDocument/2006/relationships/hyperlink" Target="https://drive.google.com/drive/folders/15yx7bnkxdFoBuYQ3lLE4Bjdh7y_-9F7L?usp=sharing" TargetMode="External"/><Relationship Id="rId5" Type="http://schemas.openxmlformats.org/officeDocument/2006/relationships/hyperlink" Target="http://m.sc/" TargetMode="External"/><Relationship Id="rId19" Type="http://schemas.openxmlformats.org/officeDocument/2006/relationships/hyperlink" Target="https://drive.google.com/drive/folders/15yx7bnkxdFoBuYQ3lLE4Bjdh7y_-9F7L?usp=sharing" TargetMode="External"/><Relationship Id="rId14" Type="http://schemas.openxmlformats.org/officeDocument/2006/relationships/hyperlink" Target="https://drive.google.com/drive/folders/15yx7bnkxdFoBuYQ3lLE4Bjdh7y_-9F7L?usp=sharing" TargetMode="External"/><Relationship Id="rId22" Type="http://schemas.openxmlformats.org/officeDocument/2006/relationships/hyperlink" Target="https://drive.google.com/drive/folders/15yx7bnkxdFoBuYQ3lLE4Bjdh7y_-9F7L?usp=sharing" TargetMode="External"/><Relationship Id="rId27" Type="http://schemas.openxmlformats.org/officeDocument/2006/relationships/hyperlink" Target="https://drive.google.com/drive/folders/15yx7bnkxdFoBuYQ3lLE4Bjdh7y_-9F7L?usp=sharing" TargetMode="External"/><Relationship Id="rId30" Type="http://schemas.openxmlformats.org/officeDocument/2006/relationships/hyperlink" Target="https://drive.google.com/drive/folders/15yx7bnkxdFoBuYQ3lLE4Bjdh7y_-9F7L?usp=sharing" TargetMode="External"/><Relationship Id="rId35" Type="http://schemas.openxmlformats.org/officeDocument/2006/relationships/hyperlink" Target="https://drive.google.com/drive/folders/15yx7bnkxdFoBuYQ3lLE4Bjdh7y_-9F7L?usp=sharing" TargetMode="External"/><Relationship Id="rId43" Type="http://schemas.openxmlformats.org/officeDocument/2006/relationships/hyperlink" Target="https://drive.google.com/drive/folders/15yx7bnkxdFoBuYQ3lLE4Bjdh7y_-9F7L?usp=sharing" TargetMode="External"/><Relationship Id="rId48" Type="http://schemas.openxmlformats.org/officeDocument/2006/relationships/hyperlink" Target="https://drive.google.com/drive/folders/15yx7bnkxdFoBuYQ3lLE4Bjdh7y_-9F7L?usp=sharing" TargetMode="External"/><Relationship Id="rId56" Type="http://schemas.openxmlformats.org/officeDocument/2006/relationships/hyperlink" Target="https://drive.google.com/drive/folders/15yx7bnkxdFoBuYQ3lLE4Bjdh7y_-9F7L?usp=sharing" TargetMode="External"/><Relationship Id="rId64" Type="http://schemas.openxmlformats.org/officeDocument/2006/relationships/hyperlink" Target="https://drive.google.com/drive/folders/15yx7bnkxdFoBuYQ3lLE4Bjdh7y_-9F7L?usp=sharing" TargetMode="External"/><Relationship Id="rId69" Type="http://schemas.openxmlformats.org/officeDocument/2006/relationships/hyperlink" Target="https://drive.google.com/drive/folders/15yx7bnkxdFoBuYQ3lLE4Bjdh7y_-9F7L?usp=sharing" TargetMode="External"/><Relationship Id="rId77" Type="http://schemas.openxmlformats.org/officeDocument/2006/relationships/hyperlink" Target="https://drive.google.com/drive/folders/15yx7bnkxdFoBuYQ3lLE4Bjdh7y_-9F7L?usp=sharing" TargetMode="External"/><Relationship Id="rId8" Type="http://schemas.openxmlformats.org/officeDocument/2006/relationships/hyperlink" Target="https://drive.google.com/drive/folders/15yx7bnkxdFoBuYQ3lLE4Bjdh7y_-9F7L?usp=sharing" TargetMode="External"/><Relationship Id="rId51" Type="http://schemas.openxmlformats.org/officeDocument/2006/relationships/hyperlink" Target="https://drive.google.com/drive/folders/15yx7bnkxdFoBuYQ3lLE4Bjdh7y_-9F7L?usp=sharing" TargetMode="External"/><Relationship Id="rId72" Type="http://schemas.openxmlformats.org/officeDocument/2006/relationships/hyperlink" Target="https://drive.google.com/drive/folders/15yx7bnkxdFoBuYQ3lLE4Bjdh7y_-9F7L?usp=sharing" TargetMode="External"/><Relationship Id="rId80" Type="http://schemas.openxmlformats.org/officeDocument/2006/relationships/hyperlink" Target="https://drive.google.com/drive/folders/15yx7bnkxdFoBuYQ3lLE4Bjdh7y_-9F7L?usp=sharing" TargetMode="External"/><Relationship Id="rId85" Type="http://schemas.openxmlformats.org/officeDocument/2006/relationships/hyperlink" Target="https://drive.google.com/drive/folders/15yx7bnkxdFoBuYQ3lLE4Bjdh7y_-9F7L?usp=sharing" TargetMode="External"/><Relationship Id="rId3" Type="http://schemas.openxmlformats.org/officeDocument/2006/relationships/hyperlink" Target="https://drive.google.com/drive/folders/15yx7bnkxdFoBuYQ3lLE4Bjdh7y_-9F7L?usp=sharing" TargetMode="External"/><Relationship Id="rId12" Type="http://schemas.openxmlformats.org/officeDocument/2006/relationships/hyperlink" Target="https://drive.google.com/drive/folders/15yx7bnkxdFoBuYQ3lLE4Bjdh7y_-9F7L?usp=sharing" TargetMode="External"/><Relationship Id="rId17" Type="http://schemas.openxmlformats.org/officeDocument/2006/relationships/hyperlink" Target="https://drive.google.com/drive/folders/15yx7bnkxdFoBuYQ3lLE4Bjdh7y_-9F7L?usp=sharing" TargetMode="External"/><Relationship Id="rId25" Type="http://schemas.openxmlformats.org/officeDocument/2006/relationships/hyperlink" Target="https://drive.google.com/drive/folders/15yx7bnkxdFoBuYQ3lLE4Bjdh7y_-9F7L?usp=sharing" TargetMode="External"/><Relationship Id="rId33" Type="http://schemas.openxmlformats.org/officeDocument/2006/relationships/hyperlink" Target="https://drive.google.com/drive/folders/15yx7bnkxdFoBuYQ3lLE4Bjdh7y_-9F7L?usp=sharing" TargetMode="External"/><Relationship Id="rId38" Type="http://schemas.openxmlformats.org/officeDocument/2006/relationships/hyperlink" Target="http://m.si/" TargetMode="External"/><Relationship Id="rId46" Type="http://schemas.openxmlformats.org/officeDocument/2006/relationships/hyperlink" Target="https://drive.google.com/drive/folders/15yx7bnkxdFoBuYQ3lLE4Bjdh7y_-9F7L?usp=sharing" TargetMode="External"/><Relationship Id="rId59" Type="http://schemas.openxmlformats.org/officeDocument/2006/relationships/hyperlink" Target="https://drive.google.com/drive/folders/15yx7bnkxdFoBuYQ3lLE4Bjdh7y_-9F7L?usp=sharing" TargetMode="External"/><Relationship Id="rId67" Type="http://schemas.openxmlformats.org/officeDocument/2006/relationships/hyperlink" Target="https://drive.google.com/drive/folders/15yx7bnkxdFoBuYQ3lLE4Bjdh7y_-9F7L?usp=sharing" TargetMode="External"/><Relationship Id="rId20" Type="http://schemas.openxmlformats.org/officeDocument/2006/relationships/hyperlink" Target="https://drive.google.com/drive/folders/15yx7bnkxdFoBuYQ3lLE4Bjdh7y_-9F7L?usp=sharing" TargetMode="External"/><Relationship Id="rId41" Type="http://schemas.openxmlformats.org/officeDocument/2006/relationships/hyperlink" Target="https://drive.google.com/drive/folders/15yx7bnkxdFoBuYQ3lLE4Bjdh7y_-9F7L?usp=sharing" TargetMode="External"/><Relationship Id="rId54" Type="http://schemas.openxmlformats.org/officeDocument/2006/relationships/hyperlink" Target="https://drive.google.com/drive/folders/15yx7bnkxdFoBuYQ3lLE4Bjdh7y_-9F7L?usp=sharing" TargetMode="External"/><Relationship Id="rId62" Type="http://schemas.openxmlformats.org/officeDocument/2006/relationships/hyperlink" Target="https://drive.google.com/drive/folders/15yx7bnkxdFoBuYQ3lLE4Bjdh7y_-9F7L?usp=sharing" TargetMode="External"/><Relationship Id="rId70" Type="http://schemas.openxmlformats.org/officeDocument/2006/relationships/hyperlink" Target="https://drive.google.com/drive/folders/15yx7bnkxdFoBuYQ3lLE4Bjdh7y_-9F7L?usp=sharing" TargetMode="External"/><Relationship Id="rId75" Type="http://schemas.openxmlformats.org/officeDocument/2006/relationships/hyperlink" Target="https://drive.google.com/drive/folders/15yx7bnkxdFoBuYQ3lLE4Bjdh7y_-9F7L?usp=sharing" TargetMode="External"/><Relationship Id="rId83" Type="http://schemas.openxmlformats.org/officeDocument/2006/relationships/hyperlink" Target="https://drive.google.com/drive/folders/15yx7bnkxdFoBuYQ3lLE4Bjdh7y_-9F7L?usp=sharing" TargetMode="External"/><Relationship Id="rId1" Type="http://schemas.openxmlformats.org/officeDocument/2006/relationships/hyperlink" Target="https://drive.google.com/drive/folders/15yx7bnkxdFoBuYQ3lLE4Bjdh7y_-9F7L?usp=sharing" TargetMode="External"/><Relationship Id="rId6" Type="http://schemas.openxmlformats.org/officeDocument/2006/relationships/hyperlink" Target="https://drive.google.com/drive/folders/15yx7bnkxdFoBuYQ3lLE4Bjdh7y_-9F7L?usp=sharing" TargetMode="External"/><Relationship Id="rId15" Type="http://schemas.openxmlformats.org/officeDocument/2006/relationships/hyperlink" Target="https://drive.google.com/drive/folders/15yx7bnkxdFoBuYQ3lLE4Bjdh7y_-9F7L?usp=sharing" TargetMode="External"/><Relationship Id="rId23" Type="http://schemas.openxmlformats.org/officeDocument/2006/relationships/hyperlink" Target="https://drive.google.com/drive/folders/15yx7bnkxdFoBuYQ3lLE4Bjdh7y_-9F7L?usp=sharing" TargetMode="External"/><Relationship Id="rId28" Type="http://schemas.openxmlformats.org/officeDocument/2006/relationships/hyperlink" Target="https://drive.google.com/drive/u/1/search?q=pks" TargetMode="External"/><Relationship Id="rId36" Type="http://schemas.openxmlformats.org/officeDocument/2006/relationships/hyperlink" Target="https://drive.google.com/drive/folders/15yx7bnkxdFoBuYQ3lLE4Bjdh7y_-9F7L?usp=sharing" TargetMode="External"/><Relationship Id="rId49" Type="http://schemas.openxmlformats.org/officeDocument/2006/relationships/hyperlink" Target="https://drive.google.com/drive/folders/15yx7bnkxdFoBuYQ3lLE4Bjdh7y_-9F7L?usp=sharing" TargetMode="External"/><Relationship Id="rId57" Type="http://schemas.openxmlformats.org/officeDocument/2006/relationships/hyperlink" Target="https://drive.google.com/drive/folders/15yx7bnkxdFoBuYQ3lLE4Bjdh7y_-9F7L?usp=sharing" TargetMode="External"/><Relationship Id="rId10" Type="http://schemas.openxmlformats.org/officeDocument/2006/relationships/hyperlink" Target="https://drive.google.com/drive/folders/15yx7bnkxdFoBuYQ3lLE4Bjdh7y_-9F7L?usp=sharing" TargetMode="External"/><Relationship Id="rId31" Type="http://schemas.openxmlformats.org/officeDocument/2006/relationships/hyperlink" Target="https://drive.google.com/drive/folders/15yx7bnkxdFoBuYQ3lLE4Bjdh7y_-9F7L?usp=sharing" TargetMode="External"/><Relationship Id="rId44" Type="http://schemas.openxmlformats.org/officeDocument/2006/relationships/hyperlink" Target="https://drive.google.com/drive/folders/15yx7bnkxdFoBuYQ3lLE4Bjdh7y_-9F7L?usp=sharing" TargetMode="External"/><Relationship Id="rId52" Type="http://schemas.openxmlformats.org/officeDocument/2006/relationships/hyperlink" Target="https://drive.google.com/drive/folders/15yx7bnkxdFoBuYQ3lLE4Bjdh7y_-9F7L?usp=sharing" TargetMode="External"/><Relationship Id="rId60" Type="http://schemas.openxmlformats.org/officeDocument/2006/relationships/hyperlink" Target="https://drive.google.com/file/d/1N7DXD5GgE-BJdQILEc9AG3gMjq8sALNQ/view?usp=drive_link" TargetMode="External"/><Relationship Id="rId65" Type="http://schemas.openxmlformats.org/officeDocument/2006/relationships/hyperlink" Target="https://www.apn-gcr.org/project/advancing-sdg-11-through-capacity-building-and-science-based-urban-spatial-planning-scibusp-in-southeast-asia-big-earth-data-solutions-for-sustainable-urban-planning/" TargetMode="External"/><Relationship Id="rId73" Type="http://schemas.openxmlformats.org/officeDocument/2006/relationships/hyperlink" Target="https://drive.google.com/drive/folders/15yx7bnkxdFoBuYQ3lLE4Bjdh7y_-9F7L?usp=sharing" TargetMode="External"/><Relationship Id="rId78" Type="http://schemas.openxmlformats.org/officeDocument/2006/relationships/hyperlink" Target="https://drive.google.com/drive/folders/15yx7bnkxdFoBuYQ3lLE4Bjdh7y_-9F7L?usp=sharing" TargetMode="External"/><Relationship Id="rId81" Type="http://schemas.openxmlformats.org/officeDocument/2006/relationships/hyperlink" Target="https://drive.google.com/drive/folders/15yx7bnkxdFoBuYQ3lLE4Bjdh7y_-9F7L?usp=sharing" TargetMode="External"/><Relationship Id="rId4" Type="http://schemas.openxmlformats.org/officeDocument/2006/relationships/hyperlink" Target="https://drive.google.com/drive/folders/15yx7bnkxdFoBuYQ3lLE4Bjdh7y_-9F7L?usp=sharing" TargetMode="External"/><Relationship Id="rId9" Type="http://schemas.openxmlformats.org/officeDocument/2006/relationships/hyperlink" Target="https://drive.google.com/drive/folders/15yx7bnkxdFoBuYQ3lLE4Bjdh7y_-9F7L?usp=sharing" TargetMode="External"/><Relationship Id="rId13" Type="http://schemas.openxmlformats.org/officeDocument/2006/relationships/hyperlink" Target="https://drive.google.com/drive/folders/15yx7bnkxdFoBuYQ3lLE4Bjdh7y_-9F7L?usp=sharing" TargetMode="External"/><Relationship Id="rId18" Type="http://schemas.openxmlformats.org/officeDocument/2006/relationships/hyperlink" Target="https://drive.google.com/drive/folders/15yx7bnkxdFoBuYQ3lLE4Bjdh7y_-9F7L?usp=sharing" TargetMode="External"/><Relationship Id="rId39" Type="http://schemas.openxmlformats.org/officeDocument/2006/relationships/hyperlink" Target="https://drive.google.com/drive/folders/15yx7bnkxdFoBuYQ3lLE4Bjdh7y_-9F7L?usp=sharing" TargetMode="External"/><Relationship Id="rId34" Type="http://schemas.openxmlformats.org/officeDocument/2006/relationships/hyperlink" Target="https://drive.google.com/drive/folders/15yx7bnkxdFoBuYQ3lLE4Bjdh7y_-9F7L?usp=sharing" TargetMode="External"/><Relationship Id="rId50" Type="http://schemas.openxmlformats.org/officeDocument/2006/relationships/hyperlink" Target="https://drive.google.com/drive/folders/15yx7bnkxdFoBuYQ3lLE4Bjdh7y_-9F7L?usp=sharing" TargetMode="External"/><Relationship Id="rId55" Type="http://schemas.openxmlformats.org/officeDocument/2006/relationships/hyperlink" Target="https://drive.google.com/drive/folders/15yx7bnkxdFoBuYQ3lLE4Bjdh7y_-9F7L?usp=sharing" TargetMode="External"/><Relationship Id="rId76" Type="http://schemas.openxmlformats.org/officeDocument/2006/relationships/hyperlink" Target="https://drive.google.com/drive/folders/15yx7bnkxdFoBuYQ3lLE4Bjdh7y_-9F7L?usp=sharing" TargetMode="External"/><Relationship Id="rId7" Type="http://schemas.openxmlformats.org/officeDocument/2006/relationships/hyperlink" Target="https://drive.google.com/drive/folders/15yx7bnkxdFoBuYQ3lLE4Bjdh7y_-9F7L?usp=sharing" TargetMode="External"/><Relationship Id="rId71" Type="http://schemas.openxmlformats.org/officeDocument/2006/relationships/hyperlink" Target="https://drive.google.com/drive/folders/15yx7bnkxdFoBuYQ3lLE4Bjdh7y_-9F7L?usp=sharing" TargetMode="External"/><Relationship Id="rId2" Type="http://schemas.openxmlformats.org/officeDocument/2006/relationships/hyperlink" Target="https://drive.google.com/drive/folders/15yx7bnkxdFoBuYQ3lLE4Bjdh7y_-9F7L?usp=sharing" TargetMode="External"/><Relationship Id="rId29" Type="http://schemas.openxmlformats.org/officeDocument/2006/relationships/hyperlink" Target="https://drive.google.com/drive/folders/15yx7bnkxdFoBuYQ3lLE4Bjdh7y_-9F7L?usp=sharing" TargetMode="External"/><Relationship Id="rId24" Type="http://schemas.openxmlformats.org/officeDocument/2006/relationships/hyperlink" Target="https://drive.google.com/drive/folders/15yx7bnkxdFoBuYQ3lLE4Bjdh7y_-9F7L?usp=sharing" TargetMode="External"/><Relationship Id="rId40" Type="http://schemas.openxmlformats.org/officeDocument/2006/relationships/hyperlink" Target="https://drive.google.com/drive/folders/15yx7bnkxdFoBuYQ3lLE4Bjdh7y_-9F7L?usp=sharing" TargetMode="External"/><Relationship Id="rId45" Type="http://schemas.openxmlformats.org/officeDocument/2006/relationships/hyperlink" Target="https://drive.google.com/drive/folders/15yx7bnkxdFoBuYQ3lLE4Bjdh7y_-9F7L?usp=sharing" TargetMode="External"/><Relationship Id="rId66" Type="http://schemas.openxmlformats.org/officeDocument/2006/relationships/hyperlink" Target="https://drive.google.com/drive/folders/15yx7bnkxdFoBuYQ3lLE4Bjdh7y_-9F7L?usp=sharing" TargetMode="External"/><Relationship Id="rId61" Type="http://schemas.openxmlformats.org/officeDocument/2006/relationships/hyperlink" Target="http://m.sc/" TargetMode="External"/><Relationship Id="rId82" Type="http://schemas.openxmlformats.org/officeDocument/2006/relationships/hyperlink" Target="https://drive.google.com/drive/folders/15yx7bnkxdFoBuYQ3lLE4Bjdh7y_-9F7L?usp=sharin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drive/folders/1KVcqplrfit6ymEifQZHHQBySreIr2iiQ?usp=sharing" TargetMode="External"/><Relationship Id="rId18" Type="http://schemas.openxmlformats.org/officeDocument/2006/relationships/hyperlink" Target="https://drive.google.com/drive/folders/1KVcqplrfit6ymEifQZHHQBySreIr2iiQ?usp=sharing" TargetMode="External"/><Relationship Id="rId26" Type="http://schemas.openxmlformats.org/officeDocument/2006/relationships/hyperlink" Target="https://drive.google.com/drive/folders/1KVcqplrfit6ymEifQZHHQBySreIr2iiQ?usp=sharing" TargetMode="External"/><Relationship Id="rId39" Type="http://schemas.openxmlformats.org/officeDocument/2006/relationships/hyperlink" Target="https://drive.google.com/drive/folders/1KVcqplrfit6ymEifQZHHQBySreIr2iiQ?usp=sharing" TargetMode="External"/><Relationship Id="rId21" Type="http://schemas.openxmlformats.org/officeDocument/2006/relationships/hyperlink" Target="https://drive.google.com/drive/folders/1KVcqplrfit6ymEifQZHHQBySreIr2iiQ?usp=sharing" TargetMode="External"/><Relationship Id="rId34" Type="http://schemas.openxmlformats.org/officeDocument/2006/relationships/hyperlink" Target="https://drive.google.com/drive/folders/1KVcqplrfit6ymEifQZHHQBySreIr2iiQ?usp=sharing" TargetMode="External"/><Relationship Id="rId42" Type="http://schemas.openxmlformats.org/officeDocument/2006/relationships/hyperlink" Target="https://drive.google.com/drive/folders/1KVcqplrfit6ymEifQZHHQBySreIr2iiQ?usp=sharing" TargetMode="External"/><Relationship Id="rId47" Type="http://schemas.openxmlformats.org/officeDocument/2006/relationships/hyperlink" Target="https://drive.google.com/drive/folders/1KVcqplrfit6ymEifQZHHQBySreIr2iiQ?usp=sharing" TargetMode="External"/><Relationship Id="rId50" Type="http://schemas.openxmlformats.org/officeDocument/2006/relationships/hyperlink" Target="https://drive.google.com/drive/folders/1KVcqplrfit6ymEifQZHHQBySreIr2iiQ?usp=sharing" TargetMode="External"/><Relationship Id="rId55" Type="http://schemas.openxmlformats.org/officeDocument/2006/relationships/hyperlink" Target="https://drive.google.com/drive/folders/1KVcqplrfit6ymEifQZHHQBySreIr2iiQ?usp=sharing" TargetMode="External"/><Relationship Id="rId7" Type="http://schemas.openxmlformats.org/officeDocument/2006/relationships/hyperlink" Target="https://drive.google.com/drive/folders/1KVcqplrfit6ymEifQZHHQBySreIr2iiQ?usp=sharing" TargetMode="External"/><Relationship Id="rId2" Type="http://schemas.openxmlformats.org/officeDocument/2006/relationships/hyperlink" Target="https://drive.google.com/drive/folders/1saqMiUVsZgR1VyCEvn4MASkLksLD2T6J" TargetMode="External"/><Relationship Id="rId16" Type="http://schemas.openxmlformats.org/officeDocument/2006/relationships/hyperlink" Target="https://drive.google.com/drive/folders/1KVcqplrfit6ymEifQZHHQBySreIr2iiQ?usp=sharing" TargetMode="External"/><Relationship Id="rId29" Type="http://schemas.openxmlformats.org/officeDocument/2006/relationships/hyperlink" Target="https://drive.google.com/drive/folders/1KVcqplrfit6ymEifQZHHQBySreIr2iiQ?usp=sharing" TargetMode="External"/><Relationship Id="rId11" Type="http://schemas.openxmlformats.org/officeDocument/2006/relationships/hyperlink" Target="https://drive.google.com/drive/folders/1KVcqplrfit6ymEifQZHHQBySreIr2iiQ?usp=sharing" TargetMode="External"/><Relationship Id="rId24" Type="http://schemas.openxmlformats.org/officeDocument/2006/relationships/hyperlink" Target="https://drive.google.com/drive/folders/1KVcqplrfit6ymEifQZHHQBySreIr2iiQ?usp=sharing" TargetMode="External"/><Relationship Id="rId32" Type="http://schemas.openxmlformats.org/officeDocument/2006/relationships/hyperlink" Target="https://drive.google.com/drive/folders/1KVcqplrfit6ymEifQZHHQBySreIr2iiQ?usp=sharing" TargetMode="External"/><Relationship Id="rId37" Type="http://schemas.openxmlformats.org/officeDocument/2006/relationships/hyperlink" Target="https://drive.google.com/drive/folders/1KVcqplrfit6ymEifQZHHQBySreIr2iiQ?usp=sharing" TargetMode="External"/><Relationship Id="rId40" Type="http://schemas.openxmlformats.org/officeDocument/2006/relationships/hyperlink" Target="https://drive.google.com/drive/folders/1KVcqplrfit6ymEifQZHHQBySreIr2iiQ?usp=sharing" TargetMode="External"/><Relationship Id="rId45" Type="http://schemas.openxmlformats.org/officeDocument/2006/relationships/hyperlink" Target="https://drive.google.com/drive/folders/1KVcqplrfit6ymEifQZHHQBySreIr2iiQ?usp=sharing" TargetMode="External"/><Relationship Id="rId53" Type="http://schemas.openxmlformats.org/officeDocument/2006/relationships/hyperlink" Target="https://drive.google.com/drive/folders/1KVcqplrfit6ymEifQZHHQBySreIr2iiQ?usp=sharing" TargetMode="External"/><Relationship Id="rId58" Type="http://schemas.openxmlformats.org/officeDocument/2006/relationships/hyperlink" Target="https://drive.google.com/drive/folders/1KVcqplrfit6ymEifQZHHQBySreIr2iiQ?usp=sharing" TargetMode="External"/><Relationship Id="rId5" Type="http://schemas.openxmlformats.org/officeDocument/2006/relationships/hyperlink" Target="https://drive.google.com/drive/folders/1KVcqplrfit6ymEifQZHHQBySreIr2iiQ?usp=sharing" TargetMode="External"/><Relationship Id="rId19" Type="http://schemas.openxmlformats.org/officeDocument/2006/relationships/hyperlink" Target="https://drive.google.com/drive/folders/1KVcqplrfit6ymEifQZHHQBySreIr2iiQ?usp=sharing" TargetMode="External"/><Relationship Id="rId4" Type="http://schemas.openxmlformats.org/officeDocument/2006/relationships/hyperlink" Target="https://drive.google.com/file/d/1NDR4G2ztYUm9YEl0iAsPKdc9YmL7fN-p/view?usp=sharing" TargetMode="External"/><Relationship Id="rId9" Type="http://schemas.openxmlformats.org/officeDocument/2006/relationships/hyperlink" Target="https://drive.google.com/drive/folders/1KVcqplrfit6ymEifQZHHQBySreIr2iiQ?usp=sharing" TargetMode="External"/><Relationship Id="rId14" Type="http://schemas.openxmlformats.org/officeDocument/2006/relationships/hyperlink" Target="https://drive.google.com/drive/folders/1KVcqplrfit6ymEifQZHHQBySreIr2iiQ?usp=sharing" TargetMode="External"/><Relationship Id="rId22" Type="http://schemas.openxmlformats.org/officeDocument/2006/relationships/hyperlink" Target="https://drive.google.com/drive/folders/1KVcqplrfit6ymEifQZHHQBySreIr2iiQ?usp=sharing" TargetMode="External"/><Relationship Id="rId27" Type="http://schemas.openxmlformats.org/officeDocument/2006/relationships/hyperlink" Target="https://drive.google.com/drive/folders/1KVcqplrfit6ymEifQZHHQBySreIr2iiQ?usp=sharing" TargetMode="External"/><Relationship Id="rId30" Type="http://schemas.openxmlformats.org/officeDocument/2006/relationships/hyperlink" Target="https://drive.google.com/drive/folders/1KVcqplrfit6ymEifQZHHQBySreIr2iiQ?usp=sharing" TargetMode="External"/><Relationship Id="rId35" Type="http://schemas.openxmlformats.org/officeDocument/2006/relationships/hyperlink" Target="https://drive.google.com/drive/folders/1KVcqplrfit6ymEifQZHHQBySreIr2iiQ?usp=sharing" TargetMode="External"/><Relationship Id="rId43" Type="http://schemas.openxmlformats.org/officeDocument/2006/relationships/hyperlink" Target="https://drive.google.com/drive/folders/1KVcqplrfit6ymEifQZHHQBySreIr2iiQ?usp=sharing" TargetMode="External"/><Relationship Id="rId48" Type="http://schemas.openxmlformats.org/officeDocument/2006/relationships/hyperlink" Target="https://drive.google.com/drive/folders/1KVcqplrfit6ymEifQZHHQBySreIr2iiQ?usp=sharing" TargetMode="External"/><Relationship Id="rId56" Type="http://schemas.openxmlformats.org/officeDocument/2006/relationships/hyperlink" Target="https://drive.google.com/drive/folders/1KVcqplrfit6ymEifQZHHQBySreIr2iiQ?usp=sharing" TargetMode="External"/><Relationship Id="rId8" Type="http://schemas.openxmlformats.org/officeDocument/2006/relationships/hyperlink" Target="https://1drv.ms/b/c/98c65c5114051101/EXv2lH8gaItIv9jYnkWSSwkBKXA5FVta2ccx1AinP-Vu6A?e=dSdSFL" TargetMode="External"/><Relationship Id="rId51" Type="http://schemas.openxmlformats.org/officeDocument/2006/relationships/hyperlink" Target="https://drive.google.com/drive/folders/1KVcqplrfit6ymEifQZHHQBySreIr2iiQ?usp=sharing" TargetMode="External"/><Relationship Id="rId3" Type="http://schemas.openxmlformats.org/officeDocument/2006/relationships/hyperlink" Target="https://drive.google.com/drive/folders/1KVcqplrfit6ymEifQZHHQBySreIr2iiQ?usp=sharing" TargetMode="External"/><Relationship Id="rId12" Type="http://schemas.openxmlformats.org/officeDocument/2006/relationships/hyperlink" Target="https://drive.google.com/drive/folders/1KVcqplrfit6ymEifQZHHQBySreIr2iiQ?usp=sharing" TargetMode="External"/><Relationship Id="rId17" Type="http://schemas.openxmlformats.org/officeDocument/2006/relationships/hyperlink" Target="https://drive.google.com/drive/folders/1KVcqplrfit6ymEifQZHHQBySreIr2iiQ?usp=sharing" TargetMode="External"/><Relationship Id="rId25" Type="http://schemas.openxmlformats.org/officeDocument/2006/relationships/hyperlink" Target="https://drive.google.com/drive/folders/1KVcqplrfit6ymEifQZHHQBySreIr2iiQ?usp=sharing" TargetMode="External"/><Relationship Id="rId33" Type="http://schemas.openxmlformats.org/officeDocument/2006/relationships/hyperlink" Target="https://drive.google.com/drive/folders/1KVcqplrfit6ymEifQZHHQBySreIr2iiQ?usp=sharing" TargetMode="External"/><Relationship Id="rId38" Type="http://schemas.openxmlformats.org/officeDocument/2006/relationships/hyperlink" Target="https://drive.google.com/drive/folders/1KVcqplrfit6ymEifQZHHQBySreIr2iiQ?usp=sharing" TargetMode="External"/><Relationship Id="rId46" Type="http://schemas.openxmlformats.org/officeDocument/2006/relationships/hyperlink" Target="https://drive.google.com/drive/folders/1KVcqplrfit6ymEifQZHHQBySreIr2iiQ?usp=sharing" TargetMode="External"/><Relationship Id="rId59" Type="http://schemas.openxmlformats.org/officeDocument/2006/relationships/hyperlink" Target="https://drive.google.com/drive/folders/1KVcqplrfit6ymEifQZHHQBySreIr2iiQ?usp=sharing" TargetMode="External"/><Relationship Id="rId20" Type="http://schemas.openxmlformats.org/officeDocument/2006/relationships/hyperlink" Target="https://drive.google.com/drive/folders/1KVcqplrfit6ymEifQZHHQBySreIr2iiQ?usp=sharing" TargetMode="External"/><Relationship Id="rId41" Type="http://schemas.openxmlformats.org/officeDocument/2006/relationships/hyperlink" Target="https://drive.google.com/drive/folders/1KVcqplrfit6ymEifQZHHQBySreIr2iiQ?usp=sharing" TargetMode="External"/><Relationship Id="rId54" Type="http://schemas.openxmlformats.org/officeDocument/2006/relationships/hyperlink" Target="https://drive.google.com/drive/folders/1KVcqplrfit6ymEifQZHHQBySreIr2iiQ?usp=sharing" TargetMode="External"/><Relationship Id="rId1" Type="http://schemas.openxmlformats.org/officeDocument/2006/relationships/hyperlink" Target="https://drive.google.com/drive/folders/1KVcqplrfit6ymEifQZHHQBySreIr2iiQ?usp=sharing" TargetMode="External"/><Relationship Id="rId6" Type="http://schemas.openxmlformats.org/officeDocument/2006/relationships/hyperlink" Target="https://drive.google.com/drive/folders/1BCWpu0GAYOZmKfXCjvC_raBXz06KeIc8?usp=sharing" TargetMode="External"/><Relationship Id="rId15" Type="http://schemas.openxmlformats.org/officeDocument/2006/relationships/hyperlink" Target="https://drive.google.com/drive/folders/1KVcqplrfit6ymEifQZHHQBySreIr2iiQ?usp=sharing" TargetMode="External"/><Relationship Id="rId23" Type="http://schemas.openxmlformats.org/officeDocument/2006/relationships/hyperlink" Target="https://drive.google.com/drive/folders/1KVcqplrfit6ymEifQZHHQBySreIr2iiQ?usp=sharing" TargetMode="External"/><Relationship Id="rId28" Type="http://schemas.openxmlformats.org/officeDocument/2006/relationships/hyperlink" Target="https://drive.google.com/drive/folders/1KVcqplrfit6ymEifQZHHQBySreIr2iiQ?usp=sharing" TargetMode="External"/><Relationship Id="rId36" Type="http://schemas.openxmlformats.org/officeDocument/2006/relationships/hyperlink" Target="https://drive.google.com/drive/folders/1KVcqplrfit6ymEifQZHHQBySreIr2iiQ?usp=sharing" TargetMode="External"/><Relationship Id="rId49" Type="http://schemas.openxmlformats.org/officeDocument/2006/relationships/hyperlink" Target="https://drive.google.com/drive/folders/1KVcqplrfit6ymEifQZHHQBySreIr2iiQ?usp=sharing" TargetMode="External"/><Relationship Id="rId57" Type="http://schemas.openxmlformats.org/officeDocument/2006/relationships/hyperlink" Target="https://drive.google.com/drive/folders/1KVcqplrfit6ymEifQZHHQBySreIr2iiQ?usp=sharing" TargetMode="External"/><Relationship Id="rId10" Type="http://schemas.openxmlformats.org/officeDocument/2006/relationships/hyperlink" Target="https://drive.google.com/file/d/1WXui1Lm70DSKo4Fv9Ns85l_aJMa92zNO/view?usp=drive_link" TargetMode="External"/><Relationship Id="rId31" Type="http://schemas.openxmlformats.org/officeDocument/2006/relationships/hyperlink" Target="https://drive.google.com/drive/folders/1KVcqplrfit6ymEifQZHHQBySreIr2iiQ?usp=sharing" TargetMode="External"/><Relationship Id="rId44" Type="http://schemas.openxmlformats.org/officeDocument/2006/relationships/hyperlink" Target="https://drive.google.com/drive/folders/1KVcqplrfit6ymEifQZHHQBySreIr2iiQ?usp=sharing" TargetMode="External"/><Relationship Id="rId52" Type="http://schemas.openxmlformats.org/officeDocument/2006/relationships/hyperlink" Target="https://drive.google.com/drive/folders/1KVcqplrfit6ymEifQZHHQBySreIr2iiQ?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drive/folders/1VhMo3CN_KugYpAABEiHSTZiQDAzU9jR6?usp=sharing" TargetMode="External"/><Relationship Id="rId13" Type="http://schemas.openxmlformats.org/officeDocument/2006/relationships/hyperlink" Target="https://drive.google.com/drive/folders/1VhMo3CN_KugYpAABEiHSTZiQDAzU9jR6?usp=sharing" TargetMode="External"/><Relationship Id="rId18" Type="http://schemas.openxmlformats.org/officeDocument/2006/relationships/hyperlink" Target="https://drive.google.com/drive/folders/1VhMo3CN_KugYpAABEiHSTZiQDAzU9jR6?usp=sharing" TargetMode="External"/><Relationship Id="rId26" Type="http://schemas.openxmlformats.org/officeDocument/2006/relationships/hyperlink" Target="https://drive.google.com/drive/folders/1VhMo3CN_KugYpAABEiHSTZiQDAzU9jR6?usp=sharing" TargetMode="External"/><Relationship Id="rId3" Type="http://schemas.openxmlformats.org/officeDocument/2006/relationships/hyperlink" Target="https://drive.google.com/drive/folders/1STeg-PXLaFxrd8YyzrZFABdpaBzs85gX?usp=drive_link" TargetMode="External"/><Relationship Id="rId21" Type="http://schemas.openxmlformats.org/officeDocument/2006/relationships/hyperlink" Target="https://drive.google.com/drive/folders/1VhMo3CN_KugYpAABEiHSTZiQDAzU9jR6?usp=sharing" TargetMode="External"/><Relationship Id="rId7" Type="http://schemas.openxmlformats.org/officeDocument/2006/relationships/hyperlink" Target="https://drive.google.com/drive/folders/1KU_HSviyY7GwOFnq5jRG36JTwG2jEh8z?usp=sharing" TargetMode="External"/><Relationship Id="rId12" Type="http://schemas.openxmlformats.org/officeDocument/2006/relationships/hyperlink" Target="https://drive.google.com/drive/folders/19SFg3rXH-s4XqqJhv9TeF0I57m8dFUIg?usp=drive_link" TargetMode="External"/><Relationship Id="rId17" Type="http://schemas.openxmlformats.org/officeDocument/2006/relationships/hyperlink" Target="https://drive.google.com/drive/folders/1VhMo3CN_KugYpAABEiHSTZiQDAzU9jR6?usp=sharing" TargetMode="External"/><Relationship Id="rId25" Type="http://schemas.openxmlformats.org/officeDocument/2006/relationships/hyperlink" Target="https://drive.google.com/drive/folders/1VhMo3CN_KugYpAABEiHSTZiQDAzU9jR6?usp=sharing" TargetMode="External"/><Relationship Id="rId2" Type="http://schemas.openxmlformats.org/officeDocument/2006/relationships/hyperlink" Target="https://drive.google.com/drive/folders/1VhMo3CN_KugYpAABEiHSTZiQDAzU9jR6?usp=sharing" TargetMode="External"/><Relationship Id="rId16" Type="http://schemas.openxmlformats.org/officeDocument/2006/relationships/hyperlink" Target="https://drive.google.com/drive/folders/1VhMo3CN_KugYpAABEiHSTZiQDAzU9jR6?usp=sharing" TargetMode="External"/><Relationship Id="rId20" Type="http://schemas.openxmlformats.org/officeDocument/2006/relationships/hyperlink" Target="https://drive.google.com/drive/folders/1VhMo3CN_KugYpAABEiHSTZiQDAzU9jR6?usp=sharing" TargetMode="External"/><Relationship Id="rId29" Type="http://schemas.openxmlformats.org/officeDocument/2006/relationships/hyperlink" Target="https://drive.google.com/drive/folders/1VhMo3CN_KugYpAABEiHSTZiQDAzU9jR6?usp=sharing" TargetMode="External"/><Relationship Id="rId1" Type="http://schemas.openxmlformats.org/officeDocument/2006/relationships/hyperlink" Target="https://drive.google.com/drive/folders/1G3L4xSzBFN-e5PExfv21tmzgkSmXabNK?usp=drive_link" TargetMode="External"/><Relationship Id="rId6" Type="http://schemas.openxmlformats.org/officeDocument/2006/relationships/hyperlink" Target="https://drive.google.com/drive/folders/1VhMo3CN_KugYpAABEiHSTZiQDAzU9jR6?usp=sharing" TargetMode="External"/><Relationship Id="rId11" Type="http://schemas.openxmlformats.org/officeDocument/2006/relationships/hyperlink" Target="https://drive.google.com/drive/folders/1VhMo3CN_KugYpAABEiHSTZiQDAzU9jR6?usp=sharing" TargetMode="External"/><Relationship Id="rId24" Type="http://schemas.openxmlformats.org/officeDocument/2006/relationships/hyperlink" Target="https://drive.google.com/drive/folders/1VhMo3CN_KugYpAABEiHSTZiQDAzU9jR6?usp=sharing" TargetMode="External"/><Relationship Id="rId32" Type="http://schemas.openxmlformats.org/officeDocument/2006/relationships/hyperlink" Target="https://drive.google.com/drive/folders/1VhMo3CN_KugYpAABEiHSTZiQDAzU9jR6?usp=sharing" TargetMode="External"/><Relationship Id="rId5" Type="http://schemas.openxmlformats.org/officeDocument/2006/relationships/hyperlink" Target="https://drive.google.com/drive/folders/1VhMo3CN_KugYpAABEiHSTZiQDAzU9jR6?usp=sharing" TargetMode="External"/><Relationship Id="rId15" Type="http://schemas.openxmlformats.org/officeDocument/2006/relationships/hyperlink" Target="https://drive.google.com/drive/folders/1VhMo3CN_KugYpAABEiHSTZiQDAzU9jR6?usp=sharing" TargetMode="External"/><Relationship Id="rId23" Type="http://schemas.openxmlformats.org/officeDocument/2006/relationships/hyperlink" Target="https://drive.google.com/drive/folders/1VhMo3CN_KugYpAABEiHSTZiQDAzU9jR6?usp=sharing" TargetMode="External"/><Relationship Id="rId28" Type="http://schemas.openxmlformats.org/officeDocument/2006/relationships/hyperlink" Target="https://drive.google.com/drive/folders/1VhMo3CN_KugYpAABEiHSTZiQDAzU9jR6?usp=sharing" TargetMode="External"/><Relationship Id="rId10" Type="http://schemas.openxmlformats.org/officeDocument/2006/relationships/hyperlink" Target="https://drive.google.com/drive/folders/1VhMo3CN_KugYpAABEiHSTZiQDAzU9jR6?usp=sharing" TargetMode="External"/><Relationship Id="rId19" Type="http://schemas.openxmlformats.org/officeDocument/2006/relationships/hyperlink" Target="https://drive.google.com/drive/folders/1VhMo3CN_KugYpAABEiHSTZiQDAzU9jR6?usp=sharing" TargetMode="External"/><Relationship Id="rId31" Type="http://schemas.openxmlformats.org/officeDocument/2006/relationships/hyperlink" Target="https://drive.google.com/drive/folders/1VhMo3CN_KugYpAABEiHSTZiQDAzU9jR6?usp=sharing" TargetMode="External"/><Relationship Id="rId4" Type="http://schemas.openxmlformats.org/officeDocument/2006/relationships/hyperlink" Target="https://drive.google.com/drive/folders/1VhMo3CN_KugYpAABEiHSTZiQDAzU9jR6?usp=sharing" TargetMode="External"/><Relationship Id="rId9" Type="http://schemas.openxmlformats.org/officeDocument/2006/relationships/hyperlink" Target="https://drive.google.com/drive/folders/1doPlC0r5yxcWI-vP26eycRFARQBaiPgH?usp=sharing" TargetMode="External"/><Relationship Id="rId14" Type="http://schemas.openxmlformats.org/officeDocument/2006/relationships/hyperlink" Target="https://awan.brin.go.id/s/KnPsbC3WqPW65d2" TargetMode="External"/><Relationship Id="rId22" Type="http://schemas.openxmlformats.org/officeDocument/2006/relationships/hyperlink" Target="https://drive.google.com/drive/folders/1VhMo3CN_KugYpAABEiHSTZiQDAzU9jR6?usp=sharing" TargetMode="External"/><Relationship Id="rId27" Type="http://schemas.openxmlformats.org/officeDocument/2006/relationships/hyperlink" Target="https://drive.google.com/drive/folders/1VhMo3CN_KugYpAABEiHSTZiQDAzU9jR6?usp=sharing" TargetMode="External"/><Relationship Id="rId30" Type="http://schemas.openxmlformats.org/officeDocument/2006/relationships/hyperlink" Target="https://drive.google.com/drive/folders/1VhMo3CN_KugYpAABEiHSTZiQDAzU9jR6?usp=sharing"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pdki-indonesia.dgip.go.id/detail/e3b0c44298fc1c149afbf4c8996fb92427ae41e4649b934ca495991b7852b855" TargetMode="External"/><Relationship Id="rId117" Type="http://schemas.openxmlformats.org/officeDocument/2006/relationships/hyperlink" Target="https://drive.google.com/drive/folders/1PJhRr8JWP1ImktOjanI8MVrFzyEoPnTb?usp=sharing" TargetMode="External"/><Relationship Id="rId21" Type="http://schemas.openxmlformats.org/officeDocument/2006/relationships/hyperlink" Target="https://drive.google.com/drive/folders/1PJhRr8JWP1ImktOjanI8MVrFzyEoPnTb?usp=sharing" TargetMode="External"/><Relationship Id="rId42" Type="http://schemas.openxmlformats.org/officeDocument/2006/relationships/hyperlink" Target="https://drive.google.com/drive/folders/1PJhRr8JWP1ImktOjanI8MVrFzyEoPnTb?usp=sharing" TargetMode="External"/><Relationship Id="rId47" Type="http://schemas.openxmlformats.org/officeDocument/2006/relationships/hyperlink" Target="https://drive.google.com/drive/folders/1PJhRr8JWP1ImktOjanI8MVrFzyEoPnTb?usp=sharing" TargetMode="External"/><Relationship Id="rId63" Type="http://schemas.openxmlformats.org/officeDocument/2006/relationships/hyperlink" Target="https://drive.google.com/drive/folders/1PJhRr8JWP1ImktOjanI8MVrFzyEoPnTb?usp=sharing" TargetMode="External"/><Relationship Id="rId68" Type="http://schemas.openxmlformats.org/officeDocument/2006/relationships/hyperlink" Target="https://drive.google.com/drive/folders/1PJhRr8JWP1ImktOjanI8MVrFzyEoPnTb?usp=sharing" TargetMode="External"/><Relationship Id="rId84" Type="http://schemas.openxmlformats.org/officeDocument/2006/relationships/hyperlink" Target="https://drive.google.com/drive/folders/1PJhRr8JWP1ImktOjanI8MVrFzyEoPnTb?usp=sharing" TargetMode="External"/><Relationship Id="rId89" Type="http://schemas.openxmlformats.org/officeDocument/2006/relationships/hyperlink" Target="https://drive.google.com/drive/folders/1PJhRr8JWP1ImktOjanI8MVrFzyEoPnTb?usp=sharing" TargetMode="External"/><Relationship Id="rId112" Type="http://schemas.openxmlformats.org/officeDocument/2006/relationships/hyperlink" Target="https://drive.google.com/drive/folders/1PJhRr8JWP1ImktOjanI8MVrFzyEoPnTb?usp=sharing" TargetMode="External"/><Relationship Id="rId16" Type="http://schemas.openxmlformats.org/officeDocument/2006/relationships/hyperlink" Target="https://pdki-indonesia.dgip.go.id/detail/e3b0c44298fc1c149afbf4c8996fb92427ae41e4649b934ca495991b7852b855" TargetMode="External"/><Relationship Id="rId107" Type="http://schemas.openxmlformats.org/officeDocument/2006/relationships/hyperlink" Target="https://drive.google.com/drive/folders/1PJhRr8JWP1ImktOjanI8MVrFzyEoPnTb?usp=sharing" TargetMode="External"/><Relationship Id="rId11" Type="http://schemas.openxmlformats.org/officeDocument/2006/relationships/hyperlink" Target="https://drive.google.com/drive/folders/1PJhRr8JWP1ImktOjanI8MVrFzyEoPnTb?usp=sharing" TargetMode="External"/><Relationship Id="rId32" Type="http://schemas.openxmlformats.org/officeDocument/2006/relationships/hyperlink" Target="https://pdki-indonesia.dgip.go.id/detail/e3b0c44298fc1c149afbf4c8996fb92427ae41e4649b934ca495991b7852b855" TargetMode="External"/><Relationship Id="rId37" Type="http://schemas.openxmlformats.org/officeDocument/2006/relationships/hyperlink" Target="https://drive.google.com/drive/folders/1PJhRr8JWP1ImktOjanI8MVrFzyEoPnTb?usp=sharing" TargetMode="External"/><Relationship Id="rId53" Type="http://schemas.openxmlformats.org/officeDocument/2006/relationships/hyperlink" Target="https://pdki-indonesia.dgip.go.id/detail/e3b0c44298fc1c149afbf4c8996fb92427ae41e4649b934ca495991b7852b855" TargetMode="External"/><Relationship Id="rId58" Type="http://schemas.openxmlformats.org/officeDocument/2006/relationships/hyperlink" Target="https://pdki-indonesia.dgip.go.id/detail/e3b0c44298fc1c149afbf4c8996fb92427ae41e4649b934ca495991b7852b855" TargetMode="External"/><Relationship Id="rId74" Type="http://schemas.openxmlformats.org/officeDocument/2006/relationships/hyperlink" Target="https://drive.google.com/drive/folders/1PJhRr8JWP1ImktOjanI8MVrFzyEoPnTb?usp=sharing" TargetMode="External"/><Relationship Id="rId79" Type="http://schemas.openxmlformats.org/officeDocument/2006/relationships/hyperlink" Target="https://drive.google.com/drive/folders/1PJhRr8JWP1ImktOjanI8MVrFzyEoPnTb?usp=sharing" TargetMode="External"/><Relationship Id="rId102" Type="http://schemas.openxmlformats.org/officeDocument/2006/relationships/hyperlink" Target="https://drive.google.com/drive/folders/1PJhRr8JWP1ImktOjanI8MVrFzyEoPnTb?usp=sharing" TargetMode="External"/><Relationship Id="rId5" Type="http://schemas.openxmlformats.org/officeDocument/2006/relationships/hyperlink" Target="https://drive.google.com/drive/folders/1PJhRr8JWP1ImktOjanI8MVrFzyEoPnTb?usp=sharing" TargetMode="External"/><Relationship Id="rId90" Type="http://schemas.openxmlformats.org/officeDocument/2006/relationships/hyperlink" Target="https://drive.google.com/drive/folders/1PJhRr8JWP1ImktOjanI8MVrFzyEoPnTb?usp=sharing" TargetMode="External"/><Relationship Id="rId95" Type="http://schemas.openxmlformats.org/officeDocument/2006/relationships/hyperlink" Target="https://drive.google.com/drive/folders/1PJhRr8JWP1ImktOjanI8MVrFzyEoPnTb?usp=sharing" TargetMode="External"/><Relationship Id="rId22" Type="http://schemas.openxmlformats.org/officeDocument/2006/relationships/hyperlink" Target="https://pdki-indonesia.dgip.go.id/detail/e3b0c44298fc1c149afbf4c8996fb92427ae41e4649b934ca495991b7852b855" TargetMode="External"/><Relationship Id="rId27" Type="http://schemas.openxmlformats.org/officeDocument/2006/relationships/hyperlink" Target="https://drive.google.com/drive/folders/1PJhRr8JWP1ImktOjanI8MVrFzyEoPnTb?usp=sharing" TargetMode="External"/><Relationship Id="rId43" Type="http://schemas.openxmlformats.org/officeDocument/2006/relationships/hyperlink" Target="http://m.sc/" TargetMode="External"/><Relationship Id="rId48" Type="http://schemas.openxmlformats.org/officeDocument/2006/relationships/hyperlink" Target="https://drive.google.com/drive/folders/1PJhRr8JWP1ImktOjanI8MVrFzyEoPnTb?usp=sharing" TargetMode="External"/><Relationship Id="rId64" Type="http://schemas.openxmlformats.org/officeDocument/2006/relationships/hyperlink" Target="https://pdki-indonesia.dgip.go.id/detail/e3b0c44298fc1c149afbf4c8996fb92427ae41e4649b934ca495991b7852b855" TargetMode="External"/><Relationship Id="rId69" Type="http://schemas.openxmlformats.org/officeDocument/2006/relationships/hyperlink" Target="https://pdki-indonesia.dgip.go.id/detail/e3b0c44298fc1c149afbf4c8996fb92427ae41e4649b934ca495991b7852b855" TargetMode="External"/><Relationship Id="rId113" Type="http://schemas.openxmlformats.org/officeDocument/2006/relationships/hyperlink" Target="https://drive.google.com/drive/folders/1PJhRr8JWP1ImktOjanI8MVrFzyEoPnTb?usp=sharing" TargetMode="External"/><Relationship Id="rId118" Type="http://schemas.openxmlformats.org/officeDocument/2006/relationships/hyperlink" Target="https://drive.google.com/drive/folders/1PJhRr8JWP1ImktOjanI8MVrFzyEoPnTb?usp=sharing" TargetMode="External"/><Relationship Id="rId80" Type="http://schemas.openxmlformats.org/officeDocument/2006/relationships/hyperlink" Target="https://pdki-indonesia.dgip.go.id/detail/e3b0c44298fc1c149afbf4c8996fb92427ae41e4649b934ca495991b7852b855" TargetMode="External"/><Relationship Id="rId85" Type="http://schemas.openxmlformats.org/officeDocument/2006/relationships/hyperlink" Target="https://drive.google.com/drive/folders/1PJhRr8JWP1ImktOjanI8MVrFzyEoPnTb?usp=sharing" TargetMode="External"/><Relationship Id="rId12" Type="http://schemas.openxmlformats.org/officeDocument/2006/relationships/hyperlink" Target="http://m.si/" TargetMode="External"/><Relationship Id="rId17" Type="http://schemas.openxmlformats.org/officeDocument/2006/relationships/hyperlink" Target="https://drive.google.com/drive/folders/1PJhRr8JWP1ImktOjanI8MVrFzyEoPnTb?usp=sharing" TargetMode="External"/><Relationship Id="rId33" Type="http://schemas.openxmlformats.org/officeDocument/2006/relationships/hyperlink" Target="https://drive.google.com/drive/folders/1PJhRr8JWP1ImktOjanI8MVrFzyEoPnTb?usp=sharing" TargetMode="External"/><Relationship Id="rId38" Type="http://schemas.openxmlformats.org/officeDocument/2006/relationships/hyperlink" Target="https://pdki-indonesia.dgip.go.id/detail/e3b0c44298fc1c149afbf4c8996fb92427ae41e4649b934ca495991b7852b855" TargetMode="External"/><Relationship Id="rId59" Type="http://schemas.openxmlformats.org/officeDocument/2006/relationships/hyperlink" Target="https://drive.google.com/drive/folders/1PJhRr8JWP1ImktOjanI8MVrFzyEoPnTb?usp=sharing" TargetMode="External"/><Relationship Id="rId103" Type="http://schemas.openxmlformats.org/officeDocument/2006/relationships/hyperlink" Target="https://drive.google.com/drive/folders/1PJhRr8JWP1ImktOjanI8MVrFzyEoPnTb?usp=sharing" TargetMode="External"/><Relationship Id="rId108" Type="http://schemas.openxmlformats.org/officeDocument/2006/relationships/hyperlink" Target="https://drive.google.com/drive/folders/1PJhRr8JWP1ImktOjanI8MVrFzyEoPnTb?usp=sharing" TargetMode="External"/><Relationship Id="rId54" Type="http://schemas.openxmlformats.org/officeDocument/2006/relationships/hyperlink" Target="https://drive.google.com/drive/folders/1PJhRr8JWP1ImktOjanI8MVrFzyEoPnTb?usp=sharing" TargetMode="External"/><Relationship Id="rId70" Type="http://schemas.openxmlformats.org/officeDocument/2006/relationships/hyperlink" Target="https://drive.google.com/drive/folders/1PJhRr8JWP1ImktOjanI8MVrFzyEoPnTb?usp=sharing" TargetMode="External"/><Relationship Id="rId75" Type="http://schemas.openxmlformats.org/officeDocument/2006/relationships/hyperlink" Target="https://drive.google.com/drive/folders/1PJhRr8JWP1ImktOjanI8MVrFzyEoPnTb" TargetMode="External"/><Relationship Id="rId91" Type="http://schemas.openxmlformats.org/officeDocument/2006/relationships/hyperlink" Target="https://drive.google.com/drive/folders/1PJhRr8JWP1ImktOjanI8MVrFzyEoPnTb?usp=sharing" TargetMode="External"/><Relationship Id="rId96" Type="http://schemas.openxmlformats.org/officeDocument/2006/relationships/hyperlink" Target="https://drive.google.com/drive/folders/1PJhRr8JWP1ImktOjanI8MVrFzyEoPnTb?usp=sharing" TargetMode="External"/><Relationship Id="rId1" Type="http://schemas.openxmlformats.org/officeDocument/2006/relationships/hyperlink" Target="https://drive.google.com/drive/folders/1PJhRr8JWP1ImktOjanI8MVrFzyEoPnTb?usp=sharing" TargetMode="External"/><Relationship Id="rId6" Type="http://schemas.openxmlformats.org/officeDocument/2006/relationships/hyperlink" Target="https://pdki-indonesia.dgip.go.id/detail/e3b0c44298fc1c149afbf4c8996fb92427ae41e4649b934ca495991b7852b855" TargetMode="External"/><Relationship Id="rId23" Type="http://schemas.openxmlformats.org/officeDocument/2006/relationships/hyperlink" Target="https://drive.google.com/drive/folders/1PJhRr8JWP1ImktOjanI8MVrFzyEoPnTb?usp=sharing" TargetMode="External"/><Relationship Id="rId28" Type="http://schemas.openxmlformats.org/officeDocument/2006/relationships/hyperlink" Target="https://drive.google.com/drive/folders/1PJhRr8JWP1ImktOjanI8MVrFzyEoPnTb?usp=sharing" TargetMode="External"/><Relationship Id="rId49" Type="http://schemas.openxmlformats.org/officeDocument/2006/relationships/hyperlink" Target="https://drive.google.com/drive/folders/1PJhRr8JWP1ImktOjanI8MVrFzyEoPnTb?usp=sharing" TargetMode="External"/><Relationship Id="rId114" Type="http://schemas.openxmlformats.org/officeDocument/2006/relationships/hyperlink" Target="https://drive.google.com/drive/folders/1PJhRr8JWP1ImktOjanI8MVrFzyEoPnTb?usp=sharing" TargetMode="External"/><Relationship Id="rId119" Type="http://schemas.openxmlformats.org/officeDocument/2006/relationships/hyperlink" Target="https://drive.google.com/drive/folders/1PJhRr8JWP1ImktOjanI8MVrFzyEoPnTb?usp=sharing" TargetMode="External"/><Relationship Id="rId10" Type="http://schemas.openxmlformats.org/officeDocument/2006/relationships/hyperlink" Target="https://drive.google.com/drive/folders/1PJhRr8JWP1ImktOjanI8MVrFzyEoPnTb?usp=sharing" TargetMode="External"/><Relationship Id="rId31" Type="http://schemas.openxmlformats.org/officeDocument/2006/relationships/hyperlink" Target="https://drive.google.com/drive/folders/1PJhRr8JWP1ImktOjanI8MVrFzyEoPnTb?usp=sharing" TargetMode="External"/><Relationship Id="rId44" Type="http://schemas.openxmlformats.org/officeDocument/2006/relationships/hyperlink" Target="https://drive.google.com/drive/folders/1PJhRr8JWP1ImktOjanI8MVrFzyEoPnTb?usp=sharing" TargetMode="External"/><Relationship Id="rId52" Type="http://schemas.openxmlformats.org/officeDocument/2006/relationships/hyperlink" Target="https://drive.google.com/drive/folders/1PJhRr8JWP1ImktOjanI8MVrFzyEoPnTb?usp=sharing" TargetMode="External"/><Relationship Id="rId60" Type="http://schemas.openxmlformats.org/officeDocument/2006/relationships/hyperlink" Target="http://m.sc/" TargetMode="External"/><Relationship Id="rId65" Type="http://schemas.openxmlformats.org/officeDocument/2006/relationships/hyperlink" Target="https://drive.google.com/drive/folders/1PJhRr8JWP1ImktOjanI8MVrFzyEoPnTb?usp=sharing" TargetMode="External"/><Relationship Id="rId73" Type="http://schemas.openxmlformats.org/officeDocument/2006/relationships/hyperlink" Target="https://drive.google.com/file/d/1RYfxpVBJw2_BOuDxt3mR5aoSxzqMLeMn/view?usp=sharing" TargetMode="External"/><Relationship Id="rId78" Type="http://schemas.openxmlformats.org/officeDocument/2006/relationships/hyperlink" Target="http://m.sc/" TargetMode="External"/><Relationship Id="rId81" Type="http://schemas.openxmlformats.org/officeDocument/2006/relationships/hyperlink" Target="https://drive.google.com/drive/folders/1PJhRr8JWP1ImktOjanI8MVrFzyEoPnTb?usp=sharing" TargetMode="External"/><Relationship Id="rId86" Type="http://schemas.openxmlformats.org/officeDocument/2006/relationships/hyperlink" Target="https://drive.google.com/drive/folders/1PJhRr8JWP1ImktOjanI8MVrFzyEoPnTb?usp=sharing" TargetMode="External"/><Relationship Id="rId94" Type="http://schemas.openxmlformats.org/officeDocument/2006/relationships/hyperlink" Target="https://drive.google.com/drive/folders/1PJhRr8JWP1ImktOjanI8MVrFzyEoPnTb?usp=sharing" TargetMode="External"/><Relationship Id="rId99" Type="http://schemas.openxmlformats.org/officeDocument/2006/relationships/hyperlink" Target="https://drive.google.com/drive/folders/1PJhRr8JWP1ImktOjanI8MVrFzyEoPnTb?usp=sharing" TargetMode="External"/><Relationship Id="rId101" Type="http://schemas.openxmlformats.org/officeDocument/2006/relationships/hyperlink" Target="https://drive.google.com/drive/folders/1PJhRr8JWP1ImktOjanI8MVrFzyEoPnTb?usp=sharing" TargetMode="External"/><Relationship Id="rId4" Type="http://schemas.openxmlformats.org/officeDocument/2006/relationships/hyperlink" Target="https://pdki-indonesia.dgip.go.id/detail/e3b0c44298fc1c149afbf4c8996fb92427ae41e4649b934ca495991b7852b855" TargetMode="External"/><Relationship Id="rId9" Type="http://schemas.openxmlformats.org/officeDocument/2006/relationships/hyperlink" Target="https://drive.google.com/drive/folders/1PJhRr8JWP1ImktOjanI8MVrFzyEoPnTb?usp=sharing" TargetMode="External"/><Relationship Id="rId13" Type="http://schemas.openxmlformats.org/officeDocument/2006/relationships/hyperlink" Target="https://drive.google.com/drive/folders/1PJhRr8JWP1ImktOjanI8MVrFzyEoPnTb?usp=sharing" TargetMode="External"/><Relationship Id="rId18" Type="http://schemas.openxmlformats.org/officeDocument/2006/relationships/hyperlink" Target="https://pdki-indonesia.dgip.go.id/detail/e3b0c44298fc1c149afbf4c8996fb92427ae41e4649b934ca495991b7852b855" TargetMode="External"/><Relationship Id="rId39" Type="http://schemas.openxmlformats.org/officeDocument/2006/relationships/hyperlink" Target="https://drive.google.com/drive/folders/1PJhRr8JWP1ImktOjanI8MVrFzyEoPnTb?usp=sharing" TargetMode="External"/><Relationship Id="rId109" Type="http://schemas.openxmlformats.org/officeDocument/2006/relationships/hyperlink" Target="https://drive.google.com/drive/folders/1PJhRr8JWP1ImktOjanI8MVrFzyEoPnTb?usp=sharing" TargetMode="External"/><Relationship Id="rId34" Type="http://schemas.openxmlformats.org/officeDocument/2006/relationships/hyperlink" Target="http://m.si/" TargetMode="External"/><Relationship Id="rId50" Type="http://schemas.openxmlformats.org/officeDocument/2006/relationships/hyperlink" Target="https://drive.google.com/drive/folders/1PJhRr8JWP1ImktOjanI8MVrFzyEoPnTb?usp=sharing" TargetMode="External"/><Relationship Id="rId55" Type="http://schemas.openxmlformats.org/officeDocument/2006/relationships/hyperlink" Target="https://pdki-indonesia.dgip.go.id/detail/e3b0c44298fc1c149afbf4c8996fb92427ae41e4649b934ca495991b7852b855" TargetMode="External"/><Relationship Id="rId76" Type="http://schemas.openxmlformats.org/officeDocument/2006/relationships/hyperlink" Target="https://drive.google.com/drive/folders/1PJhRr8JWP1ImktOjanI8MVrFzyEoPnTb?usp=sharing" TargetMode="External"/><Relationship Id="rId97" Type="http://schemas.openxmlformats.org/officeDocument/2006/relationships/hyperlink" Target="https://drive.google.com/drive/folders/1PJhRr8JWP1ImktOjanI8MVrFzyEoPnTb?usp=sharing" TargetMode="External"/><Relationship Id="rId104" Type="http://schemas.openxmlformats.org/officeDocument/2006/relationships/hyperlink" Target="https://drive.google.com/drive/folders/1PJhRr8JWP1ImktOjanI8MVrFzyEoPnTb?usp=sharing" TargetMode="External"/><Relationship Id="rId120" Type="http://schemas.openxmlformats.org/officeDocument/2006/relationships/hyperlink" Target="https://drive.google.com/drive/folders/1PJhRr8JWP1ImktOjanI8MVrFzyEoPnTb?usp=sharing" TargetMode="External"/><Relationship Id="rId7" Type="http://schemas.openxmlformats.org/officeDocument/2006/relationships/hyperlink" Target="https://drive.google.com/drive/folders/1PJhRr8JWP1ImktOjanI8MVrFzyEoPnTb?usp=sharing" TargetMode="External"/><Relationship Id="rId71" Type="http://schemas.openxmlformats.org/officeDocument/2006/relationships/hyperlink" Target="https://pdki-indonesia.dgip.go.id/detail/e3b0c44298fc1c149afbf4c8996fb92427ae41e4649b934ca495991b7852b855" TargetMode="External"/><Relationship Id="rId92" Type="http://schemas.openxmlformats.org/officeDocument/2006/relationships/hyperlink" Target="https://drive.google.com/drive/folders/1PJhRr8JWP1ImktOjanI8MVrFzyEoPnTb?usp=sharing" TargetMode="External"/><Relationship Id="rId2" Type="http://schemas.openxmlformats.org/officeDocument/2006/relationships/hyperlink" Target="https://drive.google.com/drive/folders/1PJhRr8JWP1ImktOjanI8MVrFzyEoPnTb?usp=sharing" TargetMode="External"/><Relationship Id="rId29" Type="http://schemas.openxmlformats.org/officeDocument/2006/relationships/hyperlink" Target="https://pdki-indonesia.dgip.go.id/detail/e3b0c44298fc1c149afbf4c8996fb92427ae41e4649b934ca495991b7852b855" TargetMode="External"/><Relationship Id="rId24" Type="http://schemas.openxmlformats.org/officeDocument/2006/relationships/hyperlink" Target="https://pdki-indonesia.dgip.go.id/detail/e3b0c44298fc1c149afbf4c8996fb92427ae41e4649b934ca495991b7852b855" TargetMode="External"/><Relationship Id="rId40" Type="http://schemas.openxmlformats.org/officeDocument/2006/relationships/hyperlink" Target="https://pdki-indonesia.dgip.go.id/detail/e3b0c44298fc1c149afbf4c8996fb92427ae41e4649b934ca495991b7852b855" TargetMode="External"/><Relationship Id="rId45" Type="http://schemas.openxmlformats.org/officeDocument/2006/relationships/hyperlink" Target="https://drive.google.com/drive/folders/1PJhRr8JWP1ImktOjanI8MVrFzyEoPnTb?usp=sharing" TargetMode="External"/><Relationship Id="rId66" Type="http://schemas.openxmlformats.org/officeDocument/2006/relationships/hyperlink" Target="https://drive.google.com/drive/folders/1PJhRr8JWP1ImktOjanI8MVrFzyEoPnTb?usp=sharing" TargetMode="External"/><Relationship Id="rId87" Type="http://schemas.openxmlformats.org/officeDocument/2006/relationships/hyperlink" Target="https://drive.google.com/drive/folders/1PJhRr8JWP1ImktOjanI8MVrFzyEoPnTb?usp=sharing" TargetMode="External"/><Relationship Id="rId110" Type="http://schemas.openxmlformats.org/officeDocument/2006/relationships/hyperlink" Target="https://drive.google.com/drive/folders/1PJhRr8JWP1ImktOjanI8MVrFzyEoPnTb?usp=sharing" TargetMode="External"/><Relationship Id="rId115" Type="http://schemas.openxmlformats.org/officeDocument/2006/relationships/hyperlink" Target="https://drive.google.com/drive/folders/1PJhRr8JWP1ImktOjanI8MVrFzyEoPnTb?usp=sharing" TargetMode="External"/><Relationship Id="rId61" Type="http://schemas.openxmlformats.org/officeDocument/2006/relationships/hyperlink" Target="https://drive.google.com/drive/folders/1PJhRr8JWP1ImktOjanI8MVrFzyEoPnTb?usp=sharing" TargetMode="External"/><Relationship Id="rId82" Type="http://schemas.openxmlformats.org/officeDocument/2006/relationships/hyperlink" Target="https://drive.google.com/drive/folders/1PJhRr8JWP1ImktOjanI8MVrFzyEoPnTb?usp=sharing" TargetMode="External"/><Relationship Id="rId19" Type="http://schemas.openxmlformats.org/officeDocument/2006/relationships/hyperlink" Target="https://drive.google.com/drive/folders/1PJhRr8JWP1ImktOjanI8MVrFzyEoPnTb?usp=sharing" TargetMode="External"/><Relationship Id="rId14" Type="http://schemas.openxmlformats.org/officeDocument/2006/relationships/hyperlink" Target="https://pdki-indonesia.dgip.go.id/detail/e3b0c44298fc1c149afbf4c8996fb92427ae41e4649b934ca495991b7852b855" TargetMode="External"/><Relationship Id="rId30" Type="http://schemas.openxmlformats.org/officeDocument/2006/relationships/hyperlink" Target="http://m.sc/" TargetMode="External"/><Relationship Id="rId35" Type="http://schemas.openxmlformats.org/officeDocument/2006/relationships/hyperlink" Target="https://drive.google.com/drive/folders/1PJhRr8JWP1ImktOjanI8MVrFzyEoPnTb?usp=sharing" TargetMode="External"/><Relationship Id="rId56" Type="http://schemas.openxmlformats.org/officeDocument/2006/relationships/hyperlink" Target="https://drive.google.com/drive/folders/1PJhRr8JWP1ImktOjanI8MVrFzyEoPnTb?usp=sharing" TargetMode="External"/><Relationship Id="rId77" Type="http://schemas.openxmlformats.org/officeDocument/2006/relationships/hyperlink" Target="https://drive.google.com/drive/folders/1PJhRr8JWP1ImktOjanI8MVrFzyEoPnTb?usp=sharing" TargetMode="External"/><Relationship Id="rId100" Type="http://schemas.openxmlformats.org/officeDocument/2006/relationships/hyperlink" Target="https://drive.google.com/drive/folders/1PJhRr8JWP1ImktOjanI8MVrFzyEoPnTb?usp=sharing" TargetMode="External"/><Relationship Id="rId105" Type="http://schemas.openxmlformats.org/officeDocument/2006/relationships/hyperlink" Target="https://drive.google.com/drive/folders/1PJhRr8JWP1ImktOjanI8MVrFzyEoPnTb?usp=sharing" TargetMode="External"/><Relationship Id="rId8" Type="http://schemas.openxmlformats.org/officeDocument/2006/relationships/hyperlink" Target="https://drive.google.com/drive/folders/1PJhRr8JWP1ImktOjanI8MVrFzyEoPnTb?usp=sharing" TargetMode="External"/><Relationship Id="rId51" Type="http://schemas.openxmlformats.org/officeDocument/2006/relationships/hyperlink" Target="https://drive.google.com/drive/folders/1PJhRr8JWP1ImktOjanI8MVrFzyEoPnTb?usp=sharing" TargetMode="External"/><Relationship Id="rId72" Type="http://schemas.openxmlformats.org/officeDocument/2006/relationships/hyperlink" Target="https://drive.google.com/drive/folders/1PJhRr8JWP1ImktOjanI8MVrFzyEoPnTb?usp=sharing" TargetMode="External"/><Relationship Id="rId93" Type="http://schemas.openxmlformats.org/officeDocument/2006/relationships/hyperlink" Target="https://drive.google.com/drive/folders/1PJhRr8JWP1ImktOjanI8MVrFzyEoPnTb?usp=sharing" TargetMode="External"/><Relationship Id="rId98" Type="http://schemas.openxmlformats.org/officeDocument/2006/relationships/hyperlink" Target="https://drive.google.com/drive/folders/1PJhRr8JWP1ImktOjanI8MVrFzyEoPnTb?usp=sharing" TargetMode="External"/><Relationship Id="rId3" Type="http://schemas.openxmlformats.org/officeDocument/2006/relationships/hyperlink" Target="https://drive.google.com/drive/folders/1PJhRr8JWP1ImktOjanI8MVrFzyEoPnTb?usp=sharing" TargetMode="External"/><Relationship Id="rId25" Type="http://schemas.openxmlformats.org/officeDocument/2006/relationships/hyperlink" Target="https://drive.google.com/drive/folders/1PJhRr8JWP1ImktOjanI8MVrFzyEoPnTb?usp=sharing" TargetMode="External"/><Relationship Id="rId46" Type="http://schemas.openxmlformats.org/officeDocument/2006/relationships/hyperlink" Target="https://pdki-indonesia.dgip.go.id/detail/e3b0c44298fc1c149afbf4c8996fb92427ae41e4649b934ca495991b7852b855" TargetMode="External"/><Relationship Id="rId67" Type="http://schemas.openxmlformats.org/officeDocument/2006/relationships/hyperlink" Target="https://pdki-indonesia.dgip.go.id/detail/e3b0c44298fc1c149afbf4c8996fb92427ae41e4649b934ca495991b7852b855" TargetMode="External"/><Relationship Id="rId116" Type="http://schemas.openxmlformats.org/officeDocument/2006/relationships/hyperlink" Target="https://drive.google.com/drive/folders/1PJhRr8JWP1ImktOjanI8MVrFzyEoPnTb?usp=sharing" TargetMode="External"/><Relationship Id="rId20" Type="http://schemas.openxmlformats.org/officeDocument/2006/relationships/hyperlink" Target="https://pdki-indonesia.dgip.go.id/detail/e3b0c44298fc1c149afbf4c8996fb92427ae41e4649b934ca495991b7852b855" TargetMode="External"/><Relationship Id="rId41" Type="http://schemas.openxmlformats.org/officeDocument/2006/relationships/hyperlink" Target="https://drive.google.com/drive/folders/1PJhRr8JWP1ImktOjanI8MVrFzyEoPnTb?usp=sharing" TargetMode="External"/><Relationship Id="rId62" Type="http://schemas.openxmlformats.org/officeDocument/2006/relationships/hyperlink" Target="http://m.sc/" TargetMode="External"/><Relationship Id="rId83" Type="http://schemas.openxmlformats.org/officeDocument/2006/relationships/hyperlink" Target="https://drive.google.com/drive/folders/1PJhRr8JWP1ImktOjanI8MVrFzyEoPnTb?usp=sharing" TargetMode="External"/><Relationship Id="rId88" Type="http://schemas.openxmlformats.org/officeDocument/2006/relationships/hyperlink" Target="https://drive.google.com/drive/folders/1PJhRr8JWP1ImktOjanI8MVrFzyEoPnTb?usp=sharing" TargetMode="External"/><Relationship Id="rId111" Type="http://schemas.openxmlformats.org/officeDocument/2006/relationships/hyperlink" Target="https://drive.google.com/drive/folders/1PJhRr8JWP1ImktOjanI8MVrFzyEoPnTb?usp=sharing" TargetMode="External"/><Relationship Id="rId15" Type="http://schemas.openxmlformats.org/officeDocument/2006/relationships/hyperlink" Target="https://drive.google.com/drive/folders/1PJhRr8JWP1ImktOjanI8MVrFzyEoPnTb?usp=sharing" TargetMode="External"/><Relationship Id="rId36" Type="http://schemas.openxmlformats.org/officeDocument/2006/relationships/hyperlink" Target="https://pdki-indonesia.dgip.go.id/detail/e3b0c44298fc1c149afbf4c8996fb92427ae41e4649b934ca495991b7852b855" TargetMode="External"/><Relationship Id="rId57" Type="http://schemas.openxmlformats.org/officeDocument/2006/relationships/hyperlink" Target="https://drive.google.com/drive/folders/1PJhRr8JWP1ImktOjanI8MVrFzyEoPnTb?usp=sharing" TargetMode="External"/><Relationship Id="rId106" Type="http://schemas.openxmlformats.org/officeDocument/2006/relationships/hyperlink" Target="https://drive.google.com/drive/folders/1PJhRr8JWP1ImktOjanI8MVrFzyEoPnTb?usp=sharin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rive.google.com/drive/folders/187gkXhNwZvrnSgdhQEvWP2QCI6yDFLMV?usp=sharing" TargetMode="External"/><Relationship Id="rId21" Type="http://schemas.openxmlformats.org/officeDocument/2006/relationships/hyperlink" Target="https://drive.google.com/drive/folders/187gkXhNwZvrnSgdhQEvWP2QCI6yDFLMV?usp=sharing" TargetMode="External"/><Relationship Id="rId42" Type="http://schemas.openxmlformats.org/officeDocument/2006/relationships/hyperlink" Target="https://drive.google.com/drive/folders/187gkXhNwZvrnSgdhQEvWP2QCI6yDFLMV?usp=sharing" TargetMode="External"/><Relationship Id="rId63" Type="http://schemas.openxmlformats.org/officeDocument/2006/relationships/hyperlink" Target="https://drive.google.com/drive/folders/187gkXhNwZvrnSgdhQEvWP2QCI6yDFLMV?usp=sharing" TargetMode="External"/><Relationship Id="rId84" Type="http://schemas.openxmlformats.org/officeDocument/2006/relationships/hyperlink" Target="https://drive.google.com/drive/folders/187gkXhNwZvrnSgdhQEvWP2QCI6yDFLMV?usp=sharing" TargetMode="External"/><Relationship Id="rId138" Type="http://schemas.openxmlformats.org/officeDocument/2006/relationships/hyperlink" Target="https://drive.google.com/drive/folders/187gkXhNwZvrnSgdhQEvWP2QCI6yDFLMV?usp=sharing" TargetMode="External"/><Relationship Id="rId159" Type="http://schemas.openxmlformats.org/officeDocument/2006/relationships/hyperlink" Target="https://drive.google.com/drive/folders/187gkXhNwZvrnSgdhQEvWP2QCI6yDFLMV?usp=sharing" TargetMode="External"/><Relationship Id="rId170" Type="http://schemas.openxmlformats.org/officeDocument/2006/relationships/hyperlink" Target="https://drive.google.com/drive/folders/187gkXhNwZvrnSgdhQEvWP2QCI6yDFLMV?usp=sharing" TargetMode="External"/><Relationship Id="rId191" Type="http://schemas.openxmlformats.org/officeDocument/2006/relationships/hyperlink" Target="https://drive.google.com/drive/folders/187gkXhNwZvrnSgdhQEvWP2QCI6yDFLMV?usp=sharing" TargetMode="External"/><Relationship Id="rId205" Type="http://schemas.openxmlformats.org/officeDocument/2006/relationships/hyperlink" Target="https://drive.google.com/drive/folders/187gkXhNwZvrnSgdhQEvWP2QCI6yDFLMV?usp=sharing" TargetMode="External"/><Relationship Id="rId107" Type="http://schemas.openxmlformats.org/officeDocument/2006/relationships/hyperlink" Target="https://drive.google.com/drive/folders/187gkXhNwZvrnSgdhQEvWP2QCI6yDFLMV?usp=sharing" TargetMode="External"/><Relationship Id="rId11" Type="http://schemas.openxmlformats.org/officeDocument/2006/relationships/hyperlink" Target="https://drive.google.com/drive/folders/187gkXhNwZvrnSgdhQEvWP2QCI6yDFLMV?usp=sharing" TargetMode="External"/><Relationship Id="rId32" Type="http://schemas.openxmlformats.org/officeDocument/2006/relationships/hyperlink" Target="https://drive.google.com/drive/folders/187gkXhNwZvrnSgdhQEvWP2QCI6yDFLMV?usp=sharing" TargetMode="External"/><Relationship Id="rId53" Type="http://schemas.openxmlformats.org/officeDocument/2006/relationships/hyperlink" Target="https://drive.google.com/drive/folders/187gkXhNwZvrnSgdhQEvWP2QCI6yDFLMV?usp=sharing" TargetMode="External"/><Relationship Id="rId74" Type="http://schemas.openxmlformats.org/officeDocument/2006/relationships/hyperlink" Target="https://drive.google.com/drive/folders/187gkXhNwZvrnSgdhQEvWP2QCI6yDFLMV?usp=sharing" TargetMode="External"/><Relationship Id="rId128" Type="http://schemas.openxmlformats.org/officeDocument/2006/relationships/hyperlink" Target="https://drive.google.com/drive/folders/187gkXhNwZvrnSgdhQEvWP2QCI6yDFLMV?usp=sharing" TargetMode="External"/><Relationship Id="rId149" Type="http://schemas.openxmlformats.org/officeDocument/2006/relationships/hyperlink" Target="https://drive.google.com/drive/folders/187gkXhNwZvrnSgdhQEvWP2QCI6yDFLMV?usp=sharing" TargetMode="External"/><Relationship Id="rId5" Type="http://schemas.openxmlformats.org/officeDocument/2006/relationships/hyperlink" Target="https://drive.google.com/drive/folders/187gkXhNwZvrnSgdhQEvWP2QCI6yDFLMV?usp=sharing" TargetMode="External"/><Relationship Id="rId95" Type="http://schemas.openxmlformats.org/officeDocument/2006/relationships/hyperlink" Target="https://drive.google.com/drive/folders/187gkXhNwZvrnSgdhQEvWP2QCI6yDFLMV?usp=sharing" TargetMode="External"/><Relationship Id="rId160" Type="http://schemas.openxmlformats.org/officeDocument/2006/relationships/hyperlink" Target="https://drive.google.com/drive/folders/187gkXhNwZvrnSgdhQEvWP2QCI6yDFLMV?usp=sharing" TargetMode="External"/><Relationship Id="rId181" Type="http://schemas.openxmlformats.org/officeDocument/2006/relationships/hyperlink" Target="https://drive.google.com/drive/folders/187gkXhNwZvrnSgdhQEvWP2QCI6yDFLMV?usp=sharing" TargetMode="External"/><Relationship Id="rId22" Type="http://schemas.openxmlformats.org/officeDocument/2006/relationships/hyperlink" Target="https://books.google.co.id/books?id=LpWNEQAAQBAJ" TargetMode="External"/><Relationship Id="rId43" Type="http://schemas.openxmlformats.org/officeDocument/2006/relationships/hyperlink" Target="https://drive.google.com/drive/folders/187gkXhNwZvrnSgdhQEvWP2QCI6yDFLMV?usp=sharing" TargetMode="External"/><Relationship Id="rId64" Type="http://schemas.openxmlformats.org/officeDocument/2006/relationships/hyperlink" Target="https://drive.google.com/drive/folders/187gkXhNwZvrnSgdhQEvWP2QCI6yDFLMV?usp=sharing" TargetMode="External"/><Relationship Id="rId118" Type="http://schemas.openxmlformats.org/officeDocument/2006/relationships/hyperlink" Target="https://drive.google.com/drive/folders/187gkXhNwZvrnSgdhQEvWP2QCI6yDFLMV?usp=sharing" TargetMode="External"/><Relationship Id="rId139" Type="http://schemas.openxmlformats.org/officeDocument/2006/relationships/hyperlink" Target="https://drive.google.com/drive/folders/187gkXhNwZvrnSgdhQEvWP2QCI6yDFLMV?usp=sharing" TargetMode="External"/><Relationship Id="rId85" Type="http://schemas.openxmlformats.org/officeDocument/2006/relationships/hyperlink" Target="https://drive.google.com/drive/folders/187gkXhNwZvrnSgdhQEvWP2QCI6yDFLMV?usp=sharing" TargetMode="External"/><Relationship Id="rId150" Type="http://schemas.openxmlformats.org/officeDocument/2006/relationships/hyperlink" Target="https://drive.google.com/drive/folders/187gkXhNwZvrnSgdhQEvWP2QCI6yDFLMV?usp=sharing" TargetMode="External"/><Relationship Id="rId171" Type="http://schemas.openxmlformats.org/officeDocument/2006/relationships/hyperlink" Target="https://drive.google.com/drive/folders/187gkXhNwZvrnSgdhQEvWP2QCI6yDFLMV?usp=sharing" TargetMode="External"/><Relationship Id="rId192" Type="http://schemas.openxmlformats.org/officeDocument/2006/relationships/hyperlink" Target="https://drive.google.com/drive/folders/187gkXhNwZvrnSgdhQEvWP2QCI6yDFLMV?usp=sharing" TargetMode="External"/><Relationship Id="rId206" Type="http://schemas.openxmlformats.org/officeDocument/2006/relationships/hyperlink" Target="https://drive.google.com/drive/folders/187gkXhNwZvrnSgdhQEvWP2QCI6yDFLMV?usp=sharing" TargetMode="External"/><Relationship Id="rId12" Type="http://schemas.openxmlformats.org/officeDocument/2006/relationships/hyperlink" Target="https://ejournal.brin.go.id/baca/article/view/8966" TargetMode="External"/><Relationship Id="rId33" Type="http://schemas.openxmlformats.org/officeDocument/2006/relationships/hyperlink" Target="https://drive.google.com/drive/folders/187gkXhNwZvrnSgdhQEvWP2QCI6yDFLMV?usp=sharing" TargetMode="External"/><Relationship Id="rId108" Type="http://schemas.openxmlformats.org/officeDocument/2006/relationships/hyperlink" Target="https://drive.google.com/drive/folders/187gkXhNwZvrnSgdhQEvWP2QCI6yDFLMV?usp=sharing" TargetMode="External"/><Relationship Id="rId129" Type="http://schemas.openxmlformats.org/officeDocument/2006/relationships/hyperlink" Target="https://drive.google.com/drive/folders/187gkXhNwZvrnSgdhQEvWP2QCI6yDFLMV?usp=sharing" TargetMode="External"/><Relationship Id="rId54" Type="http://schemas.openxmlformats.org/officeDocument/2006/relationships/hyperlink" Target="https://drive.google.com/drive/folders/187gkXhNwZvrnSgdhQEvWP2QCI6yDFLMV?usp=sharing" TargetMode="External"/><Relationship Id="rId75" Type="http://schemas.openxmlformats.org/officeDocument/2006/relationships/hyperlink" Target="https://drive.google.com/drive/folders/187gkXhNwZvrnSgdhQEvWP2QCI6yDFLMV?usp=sharing" TargetMode="External"/><Relationship Id="rId96" Type="http://schemas.openxmlformats.org/officeDocument/2006/relationships/hyperlink" Target="https://drive.google.com/drive/folders/187gkXhNwZvrnSgdhQEvWP2QCI6yDFLMV?usp=sharing" TargetMode="External"/><Relationship Id="rId140" Type="http://schemas.openxmlformats.org/officeDocument/2006/relationships/hyperlink" Target="https://drive.google.com/drive/folders/187gkXhNwZvrnSgdhQEvWP2QCI6yDFLMV?usp=sharing" TargetMode="External"/><Relationship Id="rId161" Type="http://schemas.openxmlformats.org/officeDocument/2006/relationships/hyperlink" Target="https://drive.google.com/drive/folders/187gkXhNwZvrnSgdhQEvWP2QCI6yDFLMV?usp=sharing" TargetMode="External"/><Relationship Id="rId182" Type="http://schemas.openxmlformats.org/officeDocument/2006/relationships/hyperlink" Target="https://drive.google.com/drive/folders/187gkXhNwZvrnSgdhQEvWP2QCI6yDFLMV?usp=sharing" TargetMode="External"/><Relationship Id="rId6" Type="http://schemas.openxmlformats.org/officeDocument/2006/relationships/hyperlink" Target="https://dinastirev.org/JMPIS/article/view/4780" TargetMode="External"/><Relationship Id="rId23" Type="http://schemas.openxmlformats.org/officeDocument/2006/relationships/hyperlink" Target="https://drive.google.com/drive/folders/187gkXhNwZvrnSgdhQEvWP2QCI6yDFLMV?usp=sharing" TargetMode="External"/><Relationship Id="rId119" Type="http://schemas.openxmlformats.org/officeDocument/2006/relationships/hyperlink" Target="https://drive.google.com/drive/folders/187gkXhNwZvrnSgdhQEvWP2QCI6yDFLMV?usp=sharing" TargetMode="External"/><Relationship Id="rId44" Type="http://schemas.openxmlformats.org/officeDocument/2006/relationships/hyperlink" Target="https://drive.google.com/drive/folders/187gkXhNwZvrnSgdhQEvWP2QCI6yDFLMV?usp=sharing" TargetMode="External"/><Relationship Id="rId65" Type="http://schemas.openxmlformats.org/officeDocument/2006/relationships/hyperlink" Target="https://drive.google.com/drive/folders/187gkXhNwZvrnSgdhQEvWP2QCI6yDFLMV?usp=sharing" TargetMode="External"/><Relationship Id="rId86" Type="http://schemas.openxmlformats.org/officeDocument/2006/relationships/hyperlink" Target="https://drive.google.com/drive/folders/187gkXhNwZvrnSgdhQEvWP2QCI6yDFLMV?usp=sharing" TargetMode="External"/><Relationship Id="rId130" Type="http://schemas.openxmlformats.org/officeDocument/2006/relationships/hyperlink" Target="https://drive.google.com/drive/folders/187gkXhNwZvrnSgdhQEvWP2QCI6yDFLMV?usp=sharing" TargetMode="External"/><Relationship Id="rId151" Type="http://schemas.openxmlformats.org/officeDocument/2006/relationships/hyperlink" Target="https://drive.google.com/drive/folders/187gkXhNwZvrnSgdhQEvWP2QCI6yDFLMV?usp=sharing" TargetMode="External"/><Relationship Id="rId172" Type="http://schemas.openxmlformats.org/officeDocument/2006/relationships/hyperlink" Target="https://drive.google.com/drive/folders/187gkXhNwZvrnSgdhQEvWP2QCI6yDFLMV?usp=sharing" TargetMode="External"/><Relationship Id="rId193" Type="http://schemas.openxmlformats.org/officeDocument/2006/relationships/hyperlink" Target="https://drive.google.com/drive/folders/187gkXhNwZvrnSgdhQEvWP2QCI6yDFLMV?usp=sharing" TargetMode="External"/><Relationship Id="rId207" Type="http://schemas.openxmlformats.org/officeDocument/2006/relationships/hyperlink" Target="https://drive.google.com/drive/folders/187gkXhNwZvrnSgdhQEvWP2QCI6yDFLMV?usp=sharing" TargetMode="External"/><Relationship Id="rId13" Type="http://schemas.openxmlformats.org/officeDocument/2006/relationships/hyperlink" Target="https://drive.google.com/drive/folders/187gkXhNwZvrnSgdhQEvWP2QCI6yDFLMV?usp=sharing" TargetMode="External"/><Relationship Id="rId109" Type="http://schemas.openxmlformats.org/officeDocument/2006/relationships/hyperlink" Target="https://drive.google.com/drive/folders/187gkXhNwZvrnSgdhQEvWP2QCI6yDFLMV?usp=sharing" TargetMode="External"/><Relationship Id="rId34" Type="http://schemas.openxmlformats.org/officeDocument/2006/relationships/hyperlink" Target="https://drive.google.com/drive/folders/187gkXhNwZvrnSgdhQEvWP2QCI6yDFLMV?usp=sharing" TargetMode="External"/><Relationship Id="rId55" Type="http://schemas.openxmlformats.org/officeDocument/2006/relationships/hyperlink" Target="https://drive.google.com/drive/folders/187gkXhNwZvrnSgdhQEvWP2QCI6yDFLMV?usp=sharing" TargetMode="External"/><Relationship Id="rId76" Type="http://schemas.openxmlformats.org/officeDocument/2006/relationships/hyperlink" Target="https://drive.google.com/drive/folders/187gkXhNwZvrnSgdhQEvWP2QCI6yDFLMV?usp=sharing" TargetMode="External"/><Relationship Id="rId97" Type="http://schemas.openxmlformats.org/officeDocument/2006/relationships/hyperlink" Target="https://drive.google.com/drive/folders/187gkXhNwZvrnSgdhQEvWP2QCI6yDFLMV?usp=sharing" TargetMode="External"/><Relationship Id="rId120" Type="http://schemas.openxmlformats.org/officeDocument/2006/relationships/hyperlink" Target="https://drive.google.com/drive/folders/187gkXhNwZvrnSgdhQEvWP2QCI6yDFLMV?usp=sharing" TargetMode="External"/><Relationship Id="rId141" Type="http://schemas.openxmlformats.org/officeDocument/2006/relationships/hyperlink" Target="https://drive.google.com/drive/folders/187gkXhNwZvrnSgdhQEvWP2QCI6yDFLMV?usp=sharing" TargetMode="External"/><Relationship Id="rId7" Type="http://schemas.openxmlformats.org/officeDocument/2006/relationships/hyperlink" Target="https://doi.org/10.38035/jmpis.v6i3.4780" TargetMode="External"/><Relationship Id="rId162" Type="http://schemas.openxmlformats.org/officeDocument/2006/relationships/hyperlink" Target="https://drive.google.com/drive/folders/187gkXhNwZvrnSgdhQEvWP2QCI6yDFLMV?usp=sharing" TargetMode="External"/><Relationship Id="rId183" Type="http://schemas.openxmlformats.org/officeDocument/2006/relationships/hyperlink" Target="https://drive.google.com/drive/folders/187gkXhNwZvrnSgdhQEvWP2QCI6yDFLMV?usp=sharing" TargetMode="External"/><Relationship Id="rId24" Type="http://schemas.openxmlformats.org/officeDocument/2006/relationships/hyperlink" Target="https://dx.doi.org/10.15575/join.v10i2.1557" TargetMode="External"/><Relationship Id="rId45" Type="http://schemas.openxmlformats.org/officeDocument/2006/relationships/hyperlink" Target="https://drive.google.com/drive/folders/187gkXhNwZvrnSgdhQEvWP2QCI6yDFLMV?usp=sharing" TargetMode="External"/><Relationship Id="rId66" Type="http://schemas.openxmlformats.org/officeDocument/2006/relationships/hyperlink" Target="https://drive.google.com/drive/folders/187gkXhNwZvrnSgdhQEvWP2QCI6yDFLMV?usp=sharing" TargetMode="External"/><Relationship Id="rId87" Type="http://schemas.openxmlformats.org/officeDocument/2006/relationships/hyperlink" Target="https://drive.google.com/drive/folders/187gkXhNwZvrnSgdhQEvWP2QCI6yDFLMV?usp=sharing" TargetMode="External"/><Relationship Id="rId110" Type="http://schemas.openxmlformats.org/officeDocument/2006/relationships/hyperlink" Target="https://drive.google.com/drive/folders/187gkXhNwZvrnSgdhQEvWP2QCI6yDFLMV?usp=sharing" TargetMode="External"/><Relationship Id="rId131" Type="http://schemas.openxmlformats.org/officeDocument/2006/relationships/hyperlink" Target="https://drive.google.com/drive/folders/187gkXhNwZvrnSgdhQEvWP2QCI6yDFLMV?usp=sharing" TargetMode="External"/><Relationship Id="rId61" Type="http://schemas.openxmlformats.org/officeDocument/2006/relationships/hyperlink" Target="https://drive.google.com/drive/folders/187gkXhNwZvrnSgdhQEvWP2QCI6yDFLMV?usp=sharing" TargetMode="External"/><Relationship Id="rId82" Type="http://schemas.openxmlformats.org/officeDocument/2006/relationships/hyperlink" Target="https://drive.google.com/drive/folders/187gkXhNwZvrnSgdhQEvWP2QCI6yDFLMV?usp=sharing" TargetMode="External"/><Relationship Id="rId152" Type="http://schemas.openxmlformats.org/officeDocument/2006/relationships/hyperlink" Target="https://drive.google.com/drive/folders/187gkXhNwZvrnSgdhQEvWP2QCI6yDFLMV?usp=sharing" TargetMode="External"/><Relationship Id="rId173" Type="http://schemas.openxmlformats.org/officeDocument/2006/relationships/hyperlink" Target="https://drive.google.com/drive/folders/187gkXhNwZvrnSgdhQEvWP2QCI6yDFLMV?usp=sharing" TargetMode="External"/><Relationship Id="rId194" Type="http://schemas.openxmlformats.org/officeDocument/2006/relationships/hyperlink" Target="https://drive.google.com/drive/folders/187gkXhNwZvrnSgdhQEvWP2QCI6yDFLMV?usp=sharing" TargetMode="External"/><Relationship Id="rId199" Type="http://schemas.openxmlformats.org/officeDocument/2006/relationships/hyperlink" Target="https://drive.google.com/drive/folders/187gkXhNwZvrnSgdhQEvWP2QCI6yDFLMV?usp=sharing" TargetMode="External"/><Relationship Id="rId203" Type="http://schemas.openxmlformats.org/officeDocument/2006/relationships/hyperlink" Target="https://drive.google.com/drive/folders/187gkXhNwZvrnSgdhQEvWP2QCI6yDFLMV?usp=sharing" TargetMode="External"/><Relationship Id="rId208" Type="http://schemas.openxmlformats.org/officeDocument/2006/relationships/hyperlink" Target="https://drive.google.com/drive/folders/187gkXhNwZvrnSgdhQEvWP2QCI6yDFLMV?usp=sharing" TargetMode="External"/><Relationship Id="rId19" Type="http://schemas.openxmlformats.org/officeDocument/2006/relationships/hyperlink" Target="https://tunasbangsa.ac.id/pkm/index.php/kesatria/article/view/593/588" TargetMode="External"/><Relationship Id="rId14" Type="http://schemas.openxmlformats.org/officeDocument/2006/relationships/hyperlink" Target="https://ejournal.brin.go.id/baca/article/view/8240" TargetMode="External"/><Relationship Id="rId30" Type="http://schemas.openxmlformats.org/officeDocument/2006/relationships/hyperlink" Target="https://drive.google.com/drive/folders/187gkXhNwZvrnSgdhQEvWP2QCI6yDFLMV?usp=sharing" TargetMode="External"/><Relationship Id="rId35" Type="http://schemas.openxmlformats.org/officeDocument/2006/relationships/hyperlink" Target="https://drive.google.com/drive/folders/187gkXhNwZvrnSgdhQEvWP2QCI6yDFLMV?usp=sharing" TargetMode="External"/><Relationship Id="rId56" Type="http://schemas.openxmlformats.org/officeDocument/2006/relationships/hyperlink" Target="https://drive.google.com/drive/folders/187gkXhNwZvrnSgdhQEvWP2QCI6yDFLMV?usp=sharing" TargetMode="External"/><Relationship Id="rId77" Type="http://schemas.openxmlformats.org/officeDocument/2006/relationships/hyperlink" Target="https://drive.google.com/drive/folders/187gkXhNwZvrnSgdhQEvWP2QCI6yDFLMV?usp=sharing" TargetMode="External"/><Relationship Id="rId100" Type="http://schemas.openxmlformats.org/officeDocument/2006/relationships/hyperlink" Target="https://drive.google.com/drive/folders/187gkXhNwZvrnSgdhQEvWP2QCI6yDFLMV?usp=sharing" TargetMode="External"/><Relationship Id="rId105" Type="http://schemas.openxmlformats.org/officeDocument/2006/relationships/hyperlink" Target="https://drive.google.com/drive/folders/187gkXhNwZvrnSgdhQEvWP2QCI6yDFLMV?usp=sharing" TargetMode="External"/><Relationship Id="rId126" Type="http://schemas.openxmlformats.org/officeDocument/2006/relationships/hyperlink" Target="https://drive.google.com/drive/folders/187gkXhNwZvrnSgdhQEvWP2QCI6yDFLMV?usp=sharing" TargetMode="External"/><Relationship Id="rId147" Type="http://schemas.openxmlformats.org/officeDocument/2006/relationships/hyperlink" Target="https://drive.google.com/drive/folders/187gkXhNwZvrnSgdhQEvWP2QCI6yDFLMV?usp=sharing" TargetMode="External"/><Relationship Id="rId168" Type="http://schemas.openxmlformats.org/officeDocument/2006/relationships/hyperlink" Target="https://drive.google.com/drive/folders/187gkXhNwZvrnSgdhQEvWP2QCI6yDFLMV?usp=sharing" TargetMode="External"/><Relationship Id="rId8" Type="http://schemas.openxmlformats.org/officeDocument/2006/relationships/hyperlink" Target="https://drive.google.com/drive/folders/187gkXhNwZvrnSgdhQEvWP2QCI6yDFLMV?usp=sharing" TargetMode="External"/><Relationship Id="rId51" Type="http://schemas.openxmlformats.org/officeDocument/2006/relationships/hyperlink" Target="https://drive.google.com/drive/folders/187gkXhNwZvrnSgdhQEvWP2QCI6yDFLMV?usp=sharing" TargetMode="External"/><Relationship Id="rId72" Type="http://schemas.openxmlformats.org/officeDocument/2006/relationships/hyperlink" Target="https://drive.google.com/drive/folders/187gkXhNwZvrnSgdhQEvWP2QCI6yDFLMV?usp=sharing" TargetMode="External"/><Relationship Id="rId93" Type="http://schemas.openxmlformats.org/officeDocument/2006/relationships/hyperlink" Target="https://drive.google.com/drive/folders/187gkXhNwZvrnSgdhQEvWP2QCI6yDFLMV?usp=sharing" TargetMode="External"/><Relationship Id="rId98" Type="http://schemas.openxmlformats.org/officeDocument/2006/relationships/hyperlink" Target="https://drive.google.com/drive/folders/187gkXhNwZvrnSgdhQEvWP2QCI6yDFLMV?usp=sharing" TargetMode="External"/><Relationship Id="rId121" Type="http://schemas.openxmlformats.org/officeDocument/2006/relationships/hyperlink" Target="https://drive.google.com/drive/folders/187gkXhNwZvrnSgdhQEvWP2QCI6yDFLMV?usp=sharing" TargetMode="External"/><Relationship Id="rId142" Type="http://schemas.openxmlformats.org/officeDocument/2006/relationships/hyperlink" Target="https://drive.google.com/drive/folders/187gkXhNwZvrnSgdhQEvWP2QCI6yDFLMV?usp=sharing" TargetMode="External"/><Relationship Id="rId163" Type="http://schemas.openxmlformats.org/officeDocument/2006/relationships/hyperlink" Target="https://drive.google.com/drive/folders/187gkXhNwZvrnSgdhQEvWP2QCI6yDFLMV?usp=sharing" TargetMode="External"/><Relationship Id="rId184" Type="http://schemas.openxmlformats.org/officeDocument/2006/relationships/hyperlink" Target="https://drive.google.com/drive/folders/187gkXhNwZvrnSgdhQEvWP2QCI6yDFLMV?usp=sharing" TargetMode="External"/><Relationship Id="rId189" Type="http://schemas.openxmlformats.org/officeDocument/2006/relationships/hyperlink" Target="https://drive.google.com/drive/folders/187gkXhNwZvrnSgdhQEvWP2QCI6yDFLMV?usp=sharing" TargetMode="External"/><Relationship Id="rId3" Type="http://schemas.openxmlformats.org/officeDocument/2006/relationships/hyperlink" Target="https://www.researchgate.net/publication/391722086_DIGITAL_REPRESENTATION_OF_WOMEN_POLITICIANS_IN_INDONESIA_YOUTH_PERSPECTIVES_AND_SELF-PORTRAYAL_ON_SOCIAL_MEDIA" TargetMode="External"/><Relationship Id="rId25" Type="http://schemas.openxmlformats.org/officeDocument/2006/relationships/hyperlink" Target="https://drive.google.com/drive/folders/187gkXhNwZvrnSgdhQEvWP2QCI6yDFLMV?usp=sharing" TargetMode="External"/><Relationship Id="rId46" Type="http://schemas.openxmlformats.org/officeDocument/2006/relationships/hyperlink" Target="https://drive.google.com/drive/folders/187gkXhNwZvrnSgdhQEvWP2QCI6yDFLMV?usp=sharing" TargetMode="External"/><Relationship Id="rId67" Type="http://schemas.openxmlformats.org/officeDocument/2006/relationships/hyperlink" Target="https://drive.google.com/drive/folders/187gkXhNwZvrnSgdhQEvWP2QCI6yDFLMV?usp=sharing" TargetMode="External"/><Relationship Id="rId116" Type="http://schemas.openxmlformats.org/officeDocument/2006/relationships/hyperlink" Target="https://drive.google.com/drive/folders/187gkXhNwZvrnSgdhQEvWP2QCI6yDFLMV?usp=sharing" TargetMode="External"/><Relationship Id="rId137" Type="http://schemas.openxmlformats.org/officeDocument/2006/relationships/hyperlink" Target="https://drive.google.com/drive/folders/187gkXhNwZvrnSgdhQEvWP2QCI6yDFLMV?usp=sharing" TargetMode="External"/><Relationship Id="rId158" Type="http://schemas.openxmlformats.org/officeDocument/2006/relationships/hyperlink" Target="https://drive.google.com/drive/folders/187gkXhNwZvrnSgdhQEvWP2QCI6yDFLMV?usp=sharing" TargetMode="External"/><Relationship Id="rId20" Type="http://schemas.openxmlformats.org/officeDocument/2006/relationships/hyperlink" Target="https://dx.doi.org/10.30645/kesatria.v6i2.593" TargetMode="External"/><Relationship Id="rId41" Type="http://schemas.openxmlformats.org/officeDocument/2006/relationships/hyperlink" Target="https://drive.google.com/drive/folders/187gkXhNwZvrnSgdhQEvWP2QCI6yDFLMV?usp=sharing" TargetMode="External"/><Relationship Id="rId62" Type="http://schemas.openxmlformats.org/officeDocument/2006/relationships/hyperlink" Target="https://drive.google.com/drive/folders/187gkXhNwZvrnSgdhQEvWP2QCI6yDFLMV?usp=sharing" TargetMode="External"/><Relationship Id="rId83" Type="http://schemas.openxmlformats.org/officeDocument/2006/relationships/hyperlink" Target="https://drive.google.com/drive/folders/187gkXhNwZvrnSgdhQEvWP2QCI6yDFLMV?usp=sharing" TargetMode="External"/><Relationship Id="rId88" Type="http://schemas.openxmlformats.org/officeDocument/2006/relationships/hyperlink" Target="https://drive.google.com/drive/folders/187gkXhNwZvrnSgdhQEvWP2QCI6yDFLMV?usp=sharing" TargetMode="External"/><Relationship Id="rId111" Type="http://schemas.openxmlformats.org/officeDocument/2006/relationships/hyperlink" Target="https://drive.google.com/drive/folders/187gkXhNwZvrnSgdhQEvWP2QCI6yDFLMV?usp=sharing" TargetMode="External"/><Relationship Id="rId132" Type="http://schemas.openxmlformats.org/officeDocument/2006/relationships/hyperlink" Target="https://drive.google.com/drive/folders/187gkXhNwZvrnSgdhQEvWP2QCI6yDFLMV?usp=sharing" TargetMode="External"/><Relationship Id="rId153" Type="http://schemas.openxmlformats.org/officeDocument/2006/relationships/hyperlink" Target="https://drive.google.com/drive/folders/187gkXhNwZvrnSgdhQEvWP2QCI6yDFLMV?usp=sharing" TargetMode="External"/><Relationship Id="rId174" Type="http://schemas.openxmlformats.org/officeDocument/2006/relationships/hyperlink" Target="https://drive.google.com/drive/folders/187gkXhNwZvrnSgdhQEvWP2QCI6yDFLMV?usp=sharing" TargetMode="External"/><Relationship Id="rId179" Type="http://schemas.openxmlformats.org/officeDocument/2006/relationships/hyperlink" Target="https://drive.google.com/drive/folders/187gkXhNwZvrnSgdhQEvWP2QCI6yDFLMV?usp=sharing" TargetMode="External"/><Relationship Id="rId195" Type="http://schemas.openxmlformats.org/officeDocument/2006/relationships/hyperlink" Target="https://drive.google.com/drive/folders/187gkXhNwZvrnSgdhQEvWP2QCI6yDFLMV?usp=sharing" TargetMode="External"/><Relationship Id="rId209" Type="http://schemas.openxmlformats.org/officeDocument/2006/relationships/hyperlink" Target="https://drive.google.com/drive/folders/187gkXhNwZvrnSgdhQEvWP2QCI6yDFLMV?usp=sharing" TargetMode="External"/><Relationship Id="rId190" Type="http://schemas.openxmlformats.org/officeDocument/2006/relationships/hyperlink" Target="https://drive.google.com/drive/folders/187gkXhNwZvrnSgdhQEvWP2QCI6yDFLMV?usp=sharing" TargetMode="External"/><Relationship Id="rId204" Type="http://schemas.openxmlformats.org/officeDocument/2006/relationships/hyperlink" Target="https://drive.google.com/drive/folders/187gkXhNwZvrnSgdhQEvWP2QCI6yDFLMV?usp=sharing" TargetMode="External"/><Relationship Id="rId15" Type="http://schemas.openxmlformats.org/officeDocument/2006/relationships/hyperlink" Target="https://drive.google.com/drive/folders/187gkXhNwZvrnSgdhQEvWP2QCI6yDFLMV?usp=sharing" TargetMode="External"/><Relationship Id="rId36" Type="http://schemas.openxmlformats.org/officeDocument/2006/relationships/hyperlink" Target="https://drive.google.com/drive/folders/187gkXhNwZvrnSgdhQEvWP2QCI6yDFLMV?usp=sharing" TargetMode="External"/><Relationship Id="rId57" Type="http://schemas.openxmlformats.org/officeDocument/2006/relationships/hyperlink" Target="https://drive.google.com/drive/folders/187gkXhNwZvrnSgdhQEvWP2QCI6yDFLMV?usp=sharing" TargetMode="External"/><Relationship Id="rId106" Type="http://schemas.openxmlformats.org/officeDocument/2006/relationships/hyperlink" Target="https://drive.google.com/drive/folders/187gkXhNwZvrnSgdhQEvWP2QCI6yDFLMV?usp=sharing" TargetMode="External"/><Relationship Id="rId127" Type="http://schemas.openxmlformats.org/officeDocument/2006/relationships/hyperlink" Target="https://drive.google.com/drive/folders/187gkXhNwZvrnSgdhQEvWP2QCI6yDFLMV?usp=sharing" TargetMode="External"/><Relationship Id="rId10" Type="http://schemas.openxmlformats.org/officeDocument/2006/relationships/hyperlink" Target="https://doi.org/10.59188/eduvest.v5i5.51234" TargetMode="External"/><Relationship Id="rId31" Type="http://schemas.openxmlformats.org/officeDocument/2006/relationships/hyperlink" Target="https://drive.google.com/drive/folders/187gkXhNwZvrnSgdhQEvWP2QCI6yDFLMV?usp=sharing" TargetMode="External"/><Relationship Id="rId52" Type="http://schemas.openxmlformats.org/officeDocument/2006/relationships/hyperlink" Target="https://drive.google.com/drive/folders/187gkXhNwZvrnSgdhQEvWP2QCI6yDFLMV?usp=sharing" TargetMode="External"/><Relationship Id="rId73" Type="http://schemas.openxmlformats.org/officeDocument/2006/relationships/hyperlink" Target="https://drive.google.com/drive/folders/187gkXhNwZvrnSgdhQEvWP2QCI6yDFLMV?usp=sharing" TargetMode="External"/><Relationship Id="rId78" Type="http://schemas.openxmlformats.org/officeDocument/2006/relationships/hyperlink" Target="https://drive.google.com/drive/folders/187gkXhNwZvrnSgdhQEvWP2QCI6yDFLMV?usp=sharing" TargetMode="External"/><Relationship Id="rId94" Type="http://schemas.openxmlformats.org/officeDocument/2006/relationships/hyperlink" Target="https://drive.google.com/drive/folders/187gkXhNwZvrnSgdhQEvWP2QCI6yDFLMV?usp=sharing" TargetMode="External"/><Relationship Id="rId99" Type="http://schemas.openxmlformats.org/officeDocument/2006/relationships/hyperlink" Target="https://drive.google.com/drive/folders/187gkXhNwZvrnSgdhQEvWP2QCI6yDFLMV?usp=sharing" TargetMode="External"/><Relationship Id="rId101" Type="http://schemas.openxmlformats.org/officeDocument/2006/relationships/hyperlink" Target="https://drive.google.com/drive/folders/187gkXhNwZvrnSgdhQEvWP2QCI6yDFLMV?usp=sharing" TargetMode="External"/><Relationship Id="rId122" Type="http://schemas.openxmlformats.org/officeDocument/2006/relationships/hyperlink" Target="https://drive.google.com/drive/folders/187gkXhNwZvrnSgdhQEvWP2QCI6yDFLMV?usp=sharing" TargetMode="External"/><Relationship Id="rId143" Type="http://schemas.openxmlformats.org/officeDocument/2006/relationships/hyperlink" Target="https://drive.google.com/drive/folders/187gkXhNwZvrnSgdhQEvWP2QCI6yDFLMV?usp=sharing" TargetMode="External"/><Relationship Id="rId148" Type="http://schemas.openxmlformats.org/officeDocument/2006/relationships/hyperlink" Target="https://drive.google.com/drive/folders/187gkXhNwZvrnSgdhQEvWP2QCI6yDFLMV?usp=sharing" TargetMode="External"/><Relationship Id="rId164" Type="http://schemas.openxmlformats.org/officeDocument/2006/relationships/hyperlink" Target="https://drive.google.com/drive/folders/187gkXhNwZvrnSgdhQEvWP2QCI6yDFLMV?usp=sharing" TargetMode="External"/><Relationship Id="rId169" Type="http://schemas.openxmlformats.org/officeDocument/2006/relationships/hyperlink" Target="https://drive.google.com/drive/folders/187gkXhNwZvrnSgdhQEvWP2QCI6yDFLMV?usp=sharing" TargetMode="External"/><Relationship Id="rId185" Type="http://schemas.openxmlformats.org/officeDocument/2006/relationships/hyperlink" Target="https://drive.google.com/drive/folders/187gkXhNwZvrnSgdhQEvWP2QCI6yDFLMV?usp=sharing" TargetMode="External"/><Relationship Id="rId4" Type="http://schemas.openxmlformats.org/officeDocument/2006/relationships/hyperlink" Target="https://doi.org/10.24198/jwp.v10i2.59148" TargetMode="External"/><Relationship Id="rId9" Type="http://schemas.openxmlformats.org/officeDocument/2006/relationships/hyperlink" Target="http://www.eduvest.greenvest.co.id.submitjurnal.id/index.php/edv/article/view/51234" TargetMode="External"/><Relationship Id="rId180" Type="http://schemas.openxmlformats.org/officeDocument/2006/relationships/hyperlink" Target="https://drive.google.com/drive/folders/187gkXhNwZvrnSgdhQEvWP2QCI6yDFLMV?usp=sharing" TargetMode="External"/><Relationship Id="rId210" Type="http://schemas.openxmlformats.org/officeDocument/2006/relationships/hyperlink" Target="https://drive.google.com/drive/folders/187gkXhNwZvrnSgdhQEvWP2QCI6yDFLMV?usp=sharing" TargetMode="External"/><Relationship Id="rId26" Type="http://schemas.openxmlformats.org/officeDocument/2006/relationships/hyperlink" Target="https://drive.google.com/drive/folders/187gkXhNwZvrnSgdhQEvWP2QCI6yDFLMV?usp=sharing" TargetMode="External"/><Relationship Id="rId47" Type="http://schemas.openxmlformats.org/officeDocument/2006/relationships/hyperlink" Target="https://drive.google.com/drive/folders/187gkXhNwZvrnSgdhQEvWP2QCI6yDFLMV?usp=sharing" TargetMode="External"/><Relationship Id="rId68" Type="http://schemas.openxmlformats.org/officeDocument/2006/relationships/hyperlink" Target="https://drive.google.com/drive/folders/187gkXhNwZvrnSgdhQEvWP2QCI6yDFLMV?usp=sharing" TargetMode="External"/><Relationship Id="rId89" Type="http://schemas.openxmlformats.org/officeDocument/2006/relationships/hyperlink" Target="https://drive.google.com/drive/folders/187gkXhNwZvrnSgdhQEvWP2QCI6yDFLMV?usp=sharing" TargetMode="External"/><Relationship Id="rId112" Type="http://schemas.openxmlformats.org/officeDocument/2006/relationships/hyperlink" Target="https://drive.google.com/drive/folders/187gkXhNwZvrnSgdhQEvWP2QCI6yDFLMV?usp=sharing" TargetMode="External"/><Relationship Id="rId133" Type="http://schemas.openxmlformats.org/officeDocument/2006/relationships/hyperlink" Target="https://drive.google.com/drive/folders/187gkXhNwZvrnSgdhQEvWP2QCI6yDFLMV?usp=sharing" TargetMode="External"/><Relationship Id="rId154" Type="http://schemas.openxmlformats.org/officeDocument/2006/relationships/hyperlink" Target="https://drive.google.com/drive/folders/187gkXhNwZvrnSgdhQEvWP2QCI6yDFLMV?usp=sharing" TargetMode="External"/><Relationship Id="rId175" Type="http://schemas.openxmlformats.org/officeDocument/2006/relationships/hyperlink" Target="https://drive.google.com/drive/folders/187gkXhNwZvrnSgdhQEvWP2QCI6yDFLMV?usp=sharing" TargetMode="External"/><Relationship Id="rId196" Type="http://schemas.openxmlformats.org/officeDocument/2006/relationships/hyperlink" Target="https://drive.google.com/drive/folders/187gkXhNwZvrnSgdhQEvWP2QCI6yDFLMV?usp=sharing" TargetMode="External"/><Relationship Id="rId200" Type="http://schemas.openxmlformats.org/officeDocument/2006/relationships/hyperlink" Target="https://drive.google.com/drive/folders/187gkXhNwZvrnSgdhQEvWP2QCI6yDFLMV?usp=sharing" TargetMode="External"/><Relationship Id="rId16" Type="http://schemas.openxmlformats.org/officeDocument/2006/relationships/hyperlink" Target="https://jtiik.ub.ac.id/index.php/jtiik/article/view/9738" TargetMode="External"/><Relationship Id="rId37" Type="http://schemas.openxmlformats.org/officeDocument/2006/relationships/hyperlink" Target="https://drive.google.com/drive/folders/187gkXhNwZvrnSgdhQEvWP2QCI6yDFLMV?usp=sharing" TargetMode="External"/><Relationship Id="rId58" Type="http://schemas.openxmlformats.org/officeDocument/2006/relationships/hyperlink" Target="https://drive.google.com/drive/folders/187gkXhNwZvrnSgdhQEvWP2QCI6yDFLMV?usp=sharing" TargetMode="External"/><Relationship Id="rId79" Type="http://schemas.openxmlformats.org/officeDocument/2006/relationships/hyperlink" Target="https://drive.google.com/drive/folders/187gkXhNwZvrnSgdhQEvWP2QCI6yDFLMV?usp=sharing" TargetMode="External"/><Relationship Id="rId102" Type="http://schemas.openxmlformats.org/officeDocument/2006/relationships/hyperlink" Target="https://drive.google.com/drive/folders/187gkXhNwZvrnSgdhQEvWP2QCI6yDFLMV?usp=sharing" TargetMode="External"/><Relationship Id="rId123" Type="http://schemas.openxmlformats.org/officeDocument/2006/relationships/hyperlink" Target="https://drive.google.com/drive/folders/187gkXhNwZvrnSgdhQEvWP2QCI6yDFLMV?usp=sharing" TargetMode="External"/><Relationship Id="rId144" Type="http://schemas.openxmlformats.org/officeDocument/2006/relationships/hyperlink" Target="https://drive.google.com/drive/folders/187gkXhNwZvrnSgdhQEvWP2QCI6yDFLMV?usp=sharing" TargetMode="External"/><Relationship Id="rId90" Type="http://schemas.openxmlformats.org/officeDocument/2006/relationships/hyperlink" Target="https://drive.google.com/drive/folders/187gkXhNwZvrnSgdhQEvWP2QCI6yDFLMV?usp=sharing" TargetMode="External"/><Relationship Id="rId165" Type="http://schemas.openxmlformats.org/officeDocument/2006/relationships/hyperlink" Target="https://drive.google.com/drive/folders/187gkXhNwZvrnSgdhQEvWP2QCI6yDFLMV?usp=sharing" TargetMode="External"/><Relationship Id="rId186" Type="http://schemas.openxmlformats.org/officeDocument/2006/relationships/hyperlink" Target="https://drive.google.com/drive/folders/187gkXhNwZvrnSgdhQEvWP2QCI6yDFLMV?usp=sharing" TargetMode="External"/><Relationship Id="rId27" Type="http://schemas.openxmlformats.org/officeDocument/2006/relationships/hyperlink" Target="https://jurnal.iaii.or.id/index.php/RESTI/article/view/6397/1060" TargetMode="External"/><Relationship Id="rId48" Type="http://schemas.openxmlformats.org/officeDocument/2006/relationships/hyperlink" Target="https://drive.google.com/drive/folders/187gkXhNwZvrnSgdhQEvWP2QCI6yDFLMV?usp=sharing" TargetMode="External"/><Relationship Id="rId69" Type="http://schemas.openxmlformats.org/officeDocument/2006/relationships/hyperlink" Target="https://drive.google.com/drive/folders/187gkXhNwZvrnSgdhQEvWP2QCI6yDFLMV?usp=sharing" TargetMode="External"/><Relationship Id="rId113" Type="http://schemas.openxmlformats.org/officeDocument/2006/relationships/hyperlink" Target="https://drive.google.com/drive/folders/187gkXhNwZvrnSgdhQEvWP2QCI6yDFLMV?usp=sharing" TargetMode="External"/><Relationship Id="rId134" Type="http://schemas.openxmlformats.org/officeDocument/2006/relationships/hyperlink" Target="https://drive.google.com/drive/folders/187gkXhNwZvrnSgdhQEvWP2QCI6yDFLMV?usp=sharing" TargetMode="External"/><Relationship Id="rId80" Type="http://schemas.openxmlformats.org/officeDocument/2006/relationships/hyperlink" Target="https://drive.google.com/drive/folders/187gkXhNwZvrnSgdhQEvWP2QCI6yDFLMV?usp=sharing" TargetMode="External"/><Relationship Id="rId155" Type="http://schemas.openxmlformats.org/officeDocument/2006/relationships/hyperlink" Target="https://drive.google.com/drive/folders/187gkXhNwZvrnSgdhQEvWP2QCI6yDFLMV?usp=sharing" TargetMode="External"/><Relationship Id="rId176" Type="http://schemas.openxmlformats.org/officeDocument/2006/relationships/hyperlink" Target="https://drive.google.com/drive/folders/187gkXhNwZvrnSgdhQEvWP2QCI6yDFLMV?usp=sharing" TargetMode="External"/><Relationship Id="rId197" Type="http://schemas.openxmlformats.org/officeDocument/2006/relationships/hyperlink" Target="https://drive.google.com/drive/folders/187gkXhNwZvrnSgdhQEvWP2QCI6yDFLMV?usp=sharing" TargetMode="External"/><Relationship Id="rId201" Type="http://schemas.openxmlformats.org/officeDocument/2006/relationships/hyperlink" Target="https://drive.google.com/drive/folders/187gkXhNwZvrnSgdhQEvWP2QCI6yDFLMV?usp=sharing" TargetMode="External"/><Relationship Id="rId17" Type="http://schemas.openxmlformats.org/officeDocument/2006/relationships/hyperlink" Target="https://doi.org/10.25126/jtiik.124" TargetMode="External"/><Relationship Id="rId38" Type="http://schemas.openxmlformats.org/officeDocument/2006/relationships/hyperlink" Target="https://drive.google.com/drive/folders/187gkXhNwZvrnSgdhQEvWP2QCI6yDFLMV?usp=sharing" TargetMode="External"/><Relationship Id="rId59" Type="http://schemas.openxmlformats.org/officeDocument/2006/relationships/hyperlink" Target="https://drive.google.com/drive/folders/187gkXhNwZvrnSgdhQEvWP2QCI6yDFLMV?usp=sharing" TargetMode="External"/><Relationship Id="rId103" Type="http://schemas.openxmlformats.org/officeDocument/2006/relationships/hyperlink" Target="https://drive.google.com/drive/folders/187gkXhNwZvrnSgdhQEvWP2QCI6yDFLMV?usp=sharing" TargetMode="External"/><Relationship Id="rId124" Type="http://schemas.openxmlformats.org/officeDocument/2006/relationships/hyperlink" Target="https://drive.google.com/drive/folders/187gkXhNwZvrnSgdhQEvWP2QCI6yDFLMV?usp=sharing" TargetMode="External"/><Relationship Id="rId70" Type="http://schemas.openxmlformats.org/officeDocument/2006/relationships/hyperlink" Target="https://drive.google.com/drive/folders/187gkXhNwZvrnSgdhQEvWP2QCI6yDFLMV?usp=sharing" TargetMode="External"/><Relationship Id="rId91" Type="http://schemas.openxmlformats.org/officeDocument/2006/relationships/hyperlink" Target="https://drive.google.com/drive/folders/187gkXhNwZvrnSgdhQEvWP2QCI6yDFLMV?usp=sharing" TargetMode="External"/><Relationship Id="rId145" Type="http://schemas.openxmlformats.org/officeDocument/2006/relationships/hyperlink" Target="https://drive.google.com/drive/folders/187gkXhNwZvrnSgdhQEvWP2QCI6yDFLMV?usp=sharing" TargetMode="External"/><Relationship Id="rId166" Type="http://schemas.openxmlformats.org/officeDocument/2006/relationships/hyperlink" Target="https://drive.google.com/drive/folders/187gkXhNwZvrnSgdhQEvWP2QCI6yDFLMV?usp=sharing" TargetMode="External"/><Relationship Id="rId187" Type="http://schemas.openxmlformats.org/officeDocument/2006/relationships/hyperlink" Target="https://drive.google.com/drive/folders/187gkXhNwZvrnSgdhQEvWP2QCI6yDFLMV?usp=sharing" TargetMode="External"/><Relationship Id="rId1" Type="http://schemas.openxmlformats.org/officeDocument/2006/relationships/hyperlink" Target="https://drive.google.com/drive/folders/187gkXhNwZvrnSgdhQEvWP2QCI6yDFLMV?usp=sharing" TargetMode="External"/><Relationship Id="rId28" Type="http://schemas.openxmlformats.org/officeDocument/2006/relationships/hyperlink" Target="https://doi.org/10.29207/resti.v9i3.6397" TargetMode="External"/><Relationship Id="rId49" Type="http://schemas.openxmlformats.org/officeDocument/2006/relationships/hyperlink" Target="https://drive.google.com/drive/folders/187gkXhNwZvrnSgdhQEvWP2QCI6yDFLMV?usp=sharing" TargetMode="External"/><Relationship Id="rId114" Type="http://schemas.openxmlformats.org/officeDocument/2006/relationships/hyperlink" Target="https://drive.google.com/drive/folders/187gkXhNwZvrnSgdhQEvWP2QCI6yDFLMV?usp=sharing" TargetMode="External"/><Relationship Id="rId60" Type="http://schemas.openxmlformats.org/officeDocument/2006/relationships/hyperlink" Target="https://drive.google.com/drive/folders/187gkXhNwZvrnSgdhQEvWP2QCI6yDFLMV?usp=sharing" TargetMode="External"/><Relationship Id="rId81" Type="http://schemas.openxmlformats.org/officeDocument/2006/relationships/hyperlink" Target="https://drive.google.com/drive/folders/187gkXhNwZvrnSgdhQEvWP2QCI6yDFLMV?usp=sharing" TargetMode="External"/><Relationship Id="rId135" Type="http://schemas.openxmlformats.org/officeDocument/2006/relationships/hyperlink" Target="https://drive.google.com/drive/folders/187gkXhNwZvrnSgdhQEvWP2QCI6yDFLMV?usp=sharing" TargetMode="External"/><Relationship Id="rId156" Type="http://schemas.openxmlformats.org/officeDocument/2006/relationships/hyperlink" Target="https://drive.google.com/drive/folders/187gkXhNwZvrnSgdhQEvWP2QCI6yDFLMV?usp=sharing" TargetMode="External"/><Relationship Id="rId177" Type="http://schemas.openxmlformats.org/officeDocument/2006/relationships/hyperlink" Target="https://drive.google.com/drive/folders/187gkXhNwZvrnSgdhQEvWP2QCI6yDFLMV?usp=sharing" TargetMode="External"/><Relationship Id="rId198" Type="http://schemas.openxmlformats.org/officeDocument/2006/relationships/hyperlink" Target="https://drive.google.com/drive/folders/187gkXhNwZvrnSgdhQEvWP2QCI6yDFLMV?usp=sharing" TargetMode="External"/><Relationship Id="rId202" Type="http://schemas.openxmlformats.org/officeDocument/2006/relationships/hyperlink" Target="https://drive.google.com/drive/folders/187gkXhNwZvrnSgdhQEvWP2QCI6yDFLMV?usp=sharing" TargetMode="External"/><Relationship Id="rId18" Type="http://schemas.openxmlformats.org/officeDocument/2006/relationships/hyperlink" Target="https://drive.google.com/drive/folders/187gkXhNwZvrnSgdhQEvWP2QCI6yDFLMV?usp=sharing" TargetMode="External"/><Relationship Id="rId39" Type="http://schemas.openxmlformats.org/officeDocument/2006/relationships/hyperlink" Target="https://drive.google.com/drive/folders/187gkXhNwZvrnSgdhQEvWP2QCI6yDFLMV?usp=sharing" TargetMode="External"/><Relationship Id="rId50" Type="http://schemas.openxmlformats.org/officeDocument/2006/relationships/hyperlink" Target="https://drive.google.com/drive/folders/187gkXhNwZvrnSgdhQEvWP2QCI6yDFLMV?usp=sharing" TargetMode="External"/><Relationship Id="rId104" Type="http://schemas.openxmlformats.org/officeDocument/2006/relationships/hyperlink" Target="https://drive.google.com/drive/folders/187gkXhNwZvrnSgdhQEvWP2QCI6yDFLMV?usp=sharing" TargetMode="External"/><Relationship Id="rId125" Type="http://schemas.openxmlformats.org/officeDocument/2006/relationships/hyperlink" Target="https://drive.google.com/drive/folders/187gkXhNwZvrnSgdhQEvWP2QCI6yDFLMV?usp=sharing" TargetMode="External"/><Relationship Id="rId146" Type="http://schemas.openxmlformats.org/officeDocument/2006/relationships/hyperlink" Target="https://drive.google.com/drive/folders/187gkXhNwZvrnSgdhQEvWP2QCI6yDFLMV?usp=sharing" TargetMode="External"/><Relationship Id="rId167" Type="http://schemas.openxmlformats.org/officeDocument/2006/relationships/hyperlink" Target="https://drive.google.com/drive/folders/187gkXhNwZvrnSgdhQEvWP2QCI6yDFLMV?usp=sharing" TargetMode="External"/><Relationship Id="rId188" Type="http://schemas.openxmlformats.org/officeDocument/2006/relationships/hyperlink" Target="https://drive.google.com/drive/folders/187gkXhNwZvrnSgdhQEvWP2QCI6yDFLMV?usp=sharing" TargetMode="External"/><Relationship Id="rId71" Type="http://schemas.openxmlformats.org/officeDocument/2006/relationships/hyperlink" Target="https://drive.google.com/drive/folders/187gkXhNwZvrnSgdhQEvWP2QCI6yDFLMV?usp=sharing" TargetMode="External"/><Relationship Id="rId92" Type="http://schemas.openxmlformats.org/officeDocument/2006/relationships/hyperlink" Target="https://drive.google.com/drive/folders/187gkXhNwZvrnSgdhQEvWP2QCI6yDFLMV?usp=sharing" TargetMode="External"/><Relationship Id="rId2" Type="http://schemas.openxmlformats.org/officeDocument/2006/relationships/hyperlink" Target="https://drive.google.com/drive/folders/187gkXhNwZvrnSgdhQEvWP2QCI6yDFLMV?usp=sharing" TargetMode="External"/><Relationship Id="rId29" Type="http://schemas.openxmlformats.org/officeDocument/2006/relationships/hyperlink" Target="https://drive.google.com/drive/folders/187gkXhNwZvrnSgdhQEvWP2QCI6yDFLMV?usp=sharing" TargetMode="External"/><Relationship Id="rId40" Type="http://schemas.openxmlformats.org/officeDocument/2006/relationships/hyperlink" Target="https://drive.google.com/drive/folders/187gkXhNwZvrnSgdhQEvWP2QCI6yDFLMV?usp=sharing" TargetMode="External"/><Relationship Id="rId115" Type="http://schemas.openxmlformats.org/officeDocument/2006/relationships/hyperlink" Target="https://drive.google.com/drive/folders/187gkXhNwZvrnSgdhQEvWP2QCI6yDFLMV?usp=sharing" TargetMode="External"/><Relationship Id="rId136" Type="http://schemas.openxmlformats.org/officeDocument/2006/relationships/hyperlink" Target="https://drive.google.com/drive/folders/187gkXhNwZvrnSgdhQEvWP2QCI6yDFLMV?usp=sharing" TargetMode="External"/><Relationship Id="rId157" Type="http://schemas.openxmlformats.org/officeDocument/2006/relationships/hyperlink" Target="https://drive.google.com/drive/folders/187gkXhNwZvrnSgdhQEvWP2QCI6yDFLMV?usp=sharing" TargetMode="External"/><Relationship Id="rId178" Type="http://schemas.openxmlformats.org/officeDocument/2006/relationships/hyperlink" Target="https://drive.google.com/drive/folders/187gkXhNwZvrnSgdhQEvWP2QCI6yDFLMV?usp=sharing"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scopus.com/authid/detail.uri?authorId=58552992300" TargetMode="External"/><Relationship Id="rId18" Type="http://schemas.openxmlformats.org/officeDocument/2006/relationships/hyperlink" Target="https://www.scopus.com/authid/detail.uri?authorId=57939904500" TargetMode="External"/><Relationship Id="rId26" Type="http://schemas.openxmlformats.org/officeDocument/2006/relationships/hyperlink" Target="https://www.scopus.com/authid/detail.uri?authorId=57211254409" TargetMode="External"/><Relationship Id="rId39" Type="http://schemas.openxmlformats.org/officeDocument/2006/relationships/hyperlink" Target="https://www.scopus.com/authid/detail.uri?authorId=57190489490" TargetMode="External"/><Relationship Id="rId21" Type="http://schemas.openxmlformats.org/officeDocument/2006/relationships/hyperlink" Target="https://www.scopus.com/authid/detail.uri?authorId=57771609600" TargetMode="External"/><Relationship Id="rId34" Type="http://schemas.openxmlformats.org/officeDocument/2006/relationships/hyperlink" Target="https://www.scopus.com/authid/detail.uri?authorId=58689542000" TargetMode="External"/><Relationship Id="rId42" Type="http://schemas.openxmlformats.org/officeDocument/2006/relationships/hyperlink" Target="https://www.scopus.com/authid/detail.uri?authorId=57383807300" TargetMode="External"/><Relationship Id="rId47" Type="http://schemas.openxmlformats.org/officeDocument/2006/relationships/hyperlink" Target="https://www.scopus.com/authid/detail.uri?authorId=58575328800" TargetMode="External"/><Relationship Id="rId50" Type="http://schemas.openxmlformats.org/officeDocument/2006/relationships/hyperlink" Target="https://www.scopus.com/authid/detail.uri?authorId=58126025300" TargetMode="External"/><Relationship Id="rId55" Type="http://schemas.openxmlformats.org/officeDocument/2006/relationships/hyperlink" Target="https://www.scopus.com/authid/detail.uri?authorId=58934808100" TargetMode="External"/><Relationship Id="rId7" Type="http://schemas.openxmlformats.org/officeDocument/2006/relationships/hyperlink" Target="https://www.scopus.com/results/authorNamesList.uri?name=name&amp;st1=Grahitandaru&amp;st2=&amp;origin=searchauthorlookup" TargetMode="External"/><Relationship Id="rId2" Type="http://schemas.openxmlformats.org/officeDocument/2006/relationships/hyperlink" Target="https://www.scopus.com/authid/detail.uri?authorId=56410803300" TargetMode="External"/><Relationship Id="rId16" Type="http://schemas.openxmlformats.org/officeDocument/2006/relationships/hyperlink" Target="https://www.scopus.com/authid/detail.uri?authorId=36930410300" TargetMode="External"/><Relationship Id="rId29" Type="http://schemas.openxmlformats.org/officeDocument/2006/relationships/hyperlink" Target="https://www.scopus.com/authid/detail.uri?authorId=57202836985" TargetMode="External"/><Relationship Id="rId11" Type="http://schemas.openxmlformats.org/officeDocument/2006/relationships/hyperlink" Target="https://www.scopus.com/authid/detail.uri?authorId=57194604391" TargetMode="External"/><Relationship Id="rId24" Type="http://schemas.openxmlformats.org/officeDocument/2006/relationships/hyperlink" Target="https://www.scopus.com/authid/detail.uri?authorId=56669695700" TargetMode="External"/><Relationship Id="rId32" Type="http://schemas.openxmlformats.org/officeDocument/2006/relationships/hyperlink" Target="https://www.scopus.com/authid/detail.uri?authorId=36816663700" TargetMode="External"/><Relationship Id="rId37" Type="http://schemas.openxmlformats.org/officeDocument/2006/relationships/hyperlink" Target="https://www.scopus.com/authid/detail.uri?authorId=54790887100" TargetMode="External"/><Relationship Id="rId40" Type="http://schemas.openxmlformats.org/officeDocument/2006/relationships/hyperlink" Target="https://www.scopus.com/authid/detail.uri?authorId=58127234400" TargetMode="External"/><Relationship Id="rId45" Type="http://schemas.openxmlformats.org/officeDocument/2006/relationships/hyperlink" Target="https://www.scopus.com/authid/detail.uri?authorId=57208013659" TargetMode="External"/><Relationship Id="rId53" Type="http://schemas.openxmlformats.org/officeDocument/2006/relationships/hyperlink" Target="https://www.scopus.com/authid/detail.uri?authorId=58035708000" TargetMode="External"/><Relationship Id="rId58" Type="http://schemas.openxmlformats.org/officeDocument/2006/relationships/hyperlink" Target="https://www.scopus.com/authid/detail.uri?authorId=57190004503" TargetMode="External"/><Relationship Id="rId5" Type="http://schemas.openxmlformats.org/officeDocument/2006/relationships/hyperlink" Target="https://www.scopus.com/authid/detail.uri?authorId=15925429100" TargetMode="External"/><Relationship Id="rId19" Type="http://schemas.openxmlformats.org/officeDocument/2006/relationships/hyperlink" Target="https://www.scopus.com/authid/detail.uri?authorId=54791173900" TargetMode="External"/><Relationship Id="rId4" Type="http://schemas.openxmlformats.org/officeDocument/2006/relationships/hyperlink" Target="https://www.scopus.com/authid/detail.uri?authorId=57192639461" TargetMode="External"/><Relationship Id="rId9" Type="http://schemas.openxmlformats.org/officeDocument/2006/relationships/hyperlink" Target="https://www.scopus.com/authid/detail.uri?authorId=57193707432" TargetMode="External"/><Relationship Id="rId14" Type="http://schemas.openxmlformats.org/officeDocument/2006/relationships/hyperlink" Target="https://www.scopus.com/authid/detail.uri?authorId=57193448158" TargetMode="External"/><Relationship Id="rId22" Type="http://schemas.openxmlformats.org/officeDocument/2006/relationships/hyperlink" Target="https://www.scopus.com/authid/detail.uri?authorId=54791372300" TargetMode="External"/><Relationship Id="rId27" Type="http://schemas.openxmlformats.org/officeDocument/2006/relationships/hyperlink" Target="https://www.scopus.com/authid/detail.uri?authorId=57188977950" TargetMode="External"/><Relationship Id="rId30" Type="http://schemas.openxmlformats.org/officeDocument/2006/relationships/hyperlink" Target="https://www.scopus.com/authid/detail.uri?authorId=57210913843" TargetMode="External"/><Relationship Id="rId35" Type="http://schemas.openxmlformats.org/officeDocument/2006/relationships/hyperlink" Target="https://www.scopus.com/authid/detail.uri?authorId=57221594540" TargetMode="External"/><Relationship Id="rId43" Type="http://schemas.openxmlformats.org/officeDocument/2006/relationships/hyperlink" Target="https://www.scopus.com/authid/detail.uri?authorId=58918900000" TargetMode="External"/><Relationship Id="rId48" Type="http://schemas.openxmlformats.org/officeDocument/2006/relationships/hyperlink" Target="https://www.scopus.com/authid/detail.uri?authorId=57189242768" TargetMode="External"/><Relationship Id="rId56" Type="http://schemas.openxmlformats.org/officeDocument/2006/relationships/hyperlink" Target="https://www.scopus.com/authid/detail.uri?authorId=57204890242" TargetMode="External"/><Relationship Id="rId8" Type="http://schemas.openxmlformats.org/officeDocument/2006/relationships/hyperlink" Target="https://www.scopus.com/authid/detail.uri?authorId=57216459699" TargetMode="External"/><Relationship Id="rId51" Type="http://schemas.openxmlformats.org/officeDocument/2006/relationships/hyperlink" Target="https://www.scopus.com/results/authorNamesList.uri?name=name&amp;st1=saifullah&amp;st2=zain&amp;origin=searchauthorlookup" TargetMode="External"/><Relationship Id="rId3" Type="http://schemas.openxmlformats.org/officeDocument/2006/relationships/hyperlink" Target="https://www.scopus.com/authid/detail.uri?authorId=57190007332" TargetMode="External"/><Relationship Id="rId12" Type="http://schemas.openxmlformats.org/officeDocument/2006/relationships/hyperlink" Target="https://www.scopus.com/authid/detail.uri?authorId=57197798404" TargetMode="External"/><Relationship Id="rId17" Type="http://schemas.openxmlformats.org/officeDocument/2006/relationships/hyperlink" Target="https://www.scopus.com/authid/detail.uri?authorId=53264599900" TargetMode="External"/><Relationship Id="rId25" Type="http://schemas.openxmlformats.org/officeDocument/2006/relationships/hyperlink" Target="https://www.scopus.com/authid/detail.uri?authorId=57189999642" TargetMode="External"/><Relationship Id="rId33" Type="http://schemas.openxmlformats.org/officeDocument/2006/relationships/hyperlink" Target="https://www.scopus.com/authid/detail.uri?authorId=57197837216" TargetMode="External"/><Relationship Id="rId38" Type="http://schemas.openxmlformats.org/officeDocument/2006/relationships/hyperlink" Target="https://www.scopus.com/authid/detail.uri?authorId=57956375200" TargetMode="External"/><Relationship Id="rId46" Type="http://schemas.openxmlformats.org/officeDocument/2006/relationships/hyperlink" Target="https://www.scopus.com/authid/detail.uri?authorId=57261462900" TargetMode="External"/><Relationship Id="rId59" Type="http://schemas.openxmlformats.org/officeDocument/2006/relationships/hyperlink" Target="https://www.scopus.com/authid/detail.uri?authorId=57216355031" TargetMode="External"/><Relationship Id="rId20" Type="http://schemas.openxmlformats.org/officeDocument/2006/relationships/hyperlink" Target="https://www.scopus.com/authid/detail.uri?authorId=57201685035" TargetMode="External"/><Relationship Id="rId41" Type="http://schemas.openxmlformats.org/officeDocument/2006/relationships/hyperlink" Target="https://www.scopus.com/authid/detail.uri?authorId=55331105300" TargetMode="External"/><Relationship Id="rId54" Type="http://schemas.openxmlformats.org/officeDocument/2006/relationships/hyperlink" Target="https://www.scopus.com/authid/detail.uri?authorId=57202293368" TargetMode="External"/><Relationship Id="rId1" Type="http://schemas.openxmlformats.org/officeDocument/2006/relationships/hyperlink" Target="https://www.scopus.com/authid/detail.uri?authorId=35424564900" TargetMode="External"/><Relationship Id="rId6" Type="http://schemas.openxmlformats.org/officeDocument/2006/relationships/hyperlink" Target="https://www.scopus.com/authid/detail.uri?authorId=57205125029" TargetMode="External"/><Relationship Id="rId15" Type="http://schemas.openxmlformats.org/officeDocument/2006/relationships/hyperlink" Target="https://www.scopus.com/authid/detail.uri?authorId=54797353100" TargetMode="External"/><Relationship Id="rId23" Type="http://schemas.openxmlformats.org/officeDocument/2006/relationships/hyperlink" Target="https://www.scopus.com/authid/detail.uri?authorId=57189998792" TargetMode="External"/><Relationship Id="rId28" Type="http://schemas.openxmlformats.org/officeDocument/2006/relationships/hyperlink" Target="https://www.scopus.com/authid/detail.uri?authorId=57221730719" TargetMode="External"/><Relationship Id="rId36" Type="http://schemas.openxmlformats.org/officeDocument/2006/relationships/hyperlink" Target="https://www.scopus.com/authid/detail.uri?authorId=57220783577" TargetMode="External"/><Relationship Id="rId49" Type="http://schemas.openxmlformats.org/officeDocument/2006/relationships/hyperlink" Target="https://www.scopus.com/authid/detail.uri?authorId=56516977800" TargetMode="External"/><Relationship Id="rId57" Type="http://schemas.openxmlformats.org/officeDocument/2006/relationships/hyperlink" Target="https://www.scopus.com/authid/detail.uri?authorId=57204889974" TargetMode="External"/><Relationship Id="rId10" Type="http://schemas.openxmlformats.org/officeDocument/2006/relationships/hyperlink" Target="https://www.scopus.com/authid/detail.uri?authorId=57194008191" TargetMode="External"/><Relationship Id="rId31" Type="http://schemas.openxmlformats.org/officeDocument/2006/relationships/hyperlink" Target="https://www.scopus.com/authid/detail.uri?authorId=57207760083" TargetMode="External"/><Relationship Id="rId44" Type="http://schemas.openxmlformats.org/officeDocument/2006/relationships/hyperlink" Target="https://www.scopus.com/authid/detail.uri?authorId=57200534945" TargetMode="External"/><Relationship Id="rId52" Type="http://schemas.openxmlformats.org/officeDocument/2006/relationships/hyperlink" Target="https://www.scopus.com/results/authorNamesList.uri?name=name&amp;st1=Prastowo&amp;st2=Rahardito+Dio&amp;origin=searchauthorlookup" TargetMode="External"/><Relationship Id="rId60"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54"/>
  <sheetViews>
    <sheetView tabSelected="1" topLeftCell="A129" workbookViewId="0">
      <pane xSplit="6" topLeftCell="P1" activePane="topRight" state="frozen"/>
      <selection pane="topRight" activeCell="Q134" sqref="Q134"/>
    </sheetView>
  </sheetViews>
  <sheetFormatPr defaultColWidth="11.23046875" defaultRowHeight="15" customHeight="1"/>
  <cols>
    <col min="1" max="1" width="3" customWidth="1"/>
    <col min="2" max="2" width="13.07421875" customWidth="1"/>
    <col min="3" max="4" width="12.07421875" customWidth="1"/>
    <col min="5" max="5" width="41.07421875" customWidth="1"/>
    <col min="6" max="6" width="22.07421875" customWidth="1"/>
    <col min="7" max="7" width="24.53515625" customWidth="1"/>
    <col min="8" max="8" width="19.07421875" customWidth="1"/>
    <col min="9" max="9" width="18.765625" customWidth="1"/>
    <col min="10" max="16" width="11" customWidth="1"/>
    <col min="17" max="17" width="23.53515625" customWidth="1"/>
    <col min="18" max="18" width="11.69140625" customWidth="1"/>
    <col min="19" max="19" width="11.765625" customWidth="1"/>
    <col min="20" max="20" width="33.84375" customWidth="1"/>
    <col min="21" max="21" width="10.23046875" customWidth="1"/>
    <col min="22" max="22" width="13.07421875" customWidth="1"/>
    <col min="23" max="23" width="7.53515625" customWidth="1"/>
    <col min="24" max="24" width="24.07421875" customWidth="1"/>
    <col min="25" max="25" width="27.765625" customWidth="1"/>
    <col min="26" max="26" width="50.765625" customWidth="1"/>
    <col min="27" max="27" width="11.765625" customWidth="1"/>
    <col min="28" max="29" width="6.23046875" hidden="1" customWidth="1"/>
    <col min="30" max="31" width="12.84375" hidden="1" customWidth="1"/>
    <col min="32" max="41" width="12.84375" customWidth="1"/>
  </cols>
  <sheetData>
    <row r="1" spans="1:41" ht="27">
      <c r="A1" s="1177" t="s">
        <v>0</v>
      </c>
      <c r="B1" s="1176"/>
      <c r="C1" s="1176"/>
      <c r="D1" s="1176"/>
      <c r="E1" s="1176"/>
      <c r="F1" s="1176"/>
      <c r="G1" s="1"/>
      <c r="H1" s="1"/>
      <c r="I1" s="1"/>
      <c r="J1" s="1"/>
      <c r="K1" s="1"/>
      <c r="L1" s="1"/>
      <c r="M1" s="1"/>
      <c r="N1" s="1"/>
      <c r="O1" s="1"/>
      <c r="P1" s="1"/>
      <c r="Q1" s="1"/>
      <c r="R1" s="2"/>
      <c r="S1" s="1"/>
      <c r="T1" s="1"/>
      <c r="U1" s="1"/>
      <c r="V1" s="1"/>
      <c r="W1" s="1"/>
      <c r="X1" s="1"/>
      <c r="Y1" s="1"/>
      <c r="Z1" s="1"/>
      <c r="AA1" s="3"/>
      <c r="AB1" s="3"/>
      <c r="AC1" s="3"/>
      <c r="AD1" s="3"/>
      <c r="AE1" s="3"/>
      <c r="AF1" s="3"/>
      <c r="AG1" s="3"/>
      <c r="AH1" s="3"/>
      <c r="AI1" s="3"/>
      <c r="AJ1" s="3"/>
      <c r="AK1" s="3"/>
      <c r="AL1" s="3"/>
      <c r="AM1" s="3"/>
      <c r="AN1" s="3"/>
      <c r="AO1" s="3"/>
    </row>
    <row r="2" spans="1:41" ht="27">
      <c r="A2" s="1176"/>
      <c r="B2" s="1176"/>
      <c r="C2" s="1176"/>
      <c r="D2" s="1176"/>
      <c r="E2" s="1176"/>
      <c r="F2" s="1176"/>
      <c r="G2" s="1"/>
      <c r="H2" s="1"/>
      <c r="I2" s="1"/>
      <c r="J2" s="1"/>
      <c r="K2" s="1"/>
      <c r="L2" s="1"/>
      <c r="M2" s="1"/>
      <c r="N2" s="1"/>
      <c r="O2" s="1"/>
      <c r="P2" s="1"/>
      <c r="Q2" s="1"/>
      <c r="R2" s="2"/>
      <c r="S2" s="1"/>
      <c r="T2" s="1"/>
      <c r="U2" s="1"/>
      <c r="V2" s="1"/>
      <c r="W2" s="1"/>
      <c r="X2" s="1"/>
      <c r="Y2" s="1"/>
      <c r="Z2" s="1"/>
      <c r="AA2" s="3"/>
      <c r="AB2" s="3"/>
      <c r="AC2" s="3"/>
      <c r="AD2" s="3"/>
      <c r="AE2" s="3"/>
      <c r="AF2" s="3"/>
      <c r="AG2" s="3"/>
      <c r="AH2" s="3"/>
      <c r="AI2" s="3"/>
      <c r="AJ2" s="3"/>
      <c r="AK2" s="3"/>
      <c r="AL2" s="3"/>
      <c r="AM2" s="3"/>
      <c r="AN2" s="3"/>
      <c r="AO2" s="3"/>
    </row>
    <row r="3" spans="1:41" ht="3.75" customHeight="1">
      <c r="A3" s="1176"/>
      <c r="B3" s="1176"/>
      <c r="C3" s="1176"/>
      <c r="D3" s="1176"/>
      <c r="E3" s="1176"/>
      <c r="F3" s="1176"/>
      <c r="G3" s="1"/>
      <c r="H3" s="1"/>
      <c r="I3" s="1"/>
      <c r="J3" s="1"/>
      <c r="K3" s="1"/>
      <c r="L3" s="1"/>
      <c r="M3" s="1"/>
      <c r="N3" s="1"/>
      <c r="O3" s="1"/>
      <c r="P3" s="1"/>
      <c r="Q3" s="1"/>
      <c r="R3" s="2"/>
      <c r="S3" s="1"/>
      <c r="T3" s="1"/>
      <c r="U3" s="1"/>
      <c r="V3" s="1"/>
      <c r="W3" s="1"/>
      <c r="X3" s="1"/>
      <c r="Y3" s="1"/>
      <c r="Z3" s="1"/>
      <c r="AA3" s="3"/>
      <c r="AB3" s="3"/>
      <c r="AC3" s="3"/>
      <c r="AD3" s="3"/>
      <c r="AE3" s="3"/>
      <c r="AF3" s="3"/>
      <c r="AG3" s="3"/>
      <c r="AH3" s="3"/>
      <c r="AI3" s="3"/>
      <c r="AJ3" s="3"/>
      <c r="AK3" s="3"/>
      <c r="AL3" s="3"/>
      <c r="AM3" s="3"/>
      <c r="AN3" s="3"/>
      <c r="AO3" s="3"/>
    </row>
    <row r="4" spans="1:41" ht="43.5" customHeight="1">
      <c r="A4" s="1178" t="s">
        <v>1</v>
      </c>
      <c r="B4" s="1179"/>
      <c r="C4" s="1179"/>
      <c r="D4" s="1180"/>
      <c r="E4" s="1181" t="s">
        <v>2</v>
      </c>
      <c r="F4" s="1182"/>
      <c r="G4" s="1183" t="s">
        <v>3</v>
      </c>
      <c r="H4" s="1184"/>
      <c r="I4" s="1184"/>
      <c r="J4" s="1184"/>
      <c r="K4" s="1184"/>
      <c r="L4" s="1184"/>
      <c r="M4" s="1184"/>
      <c r="N4" s="1184"/>
      <c r="O4" s="1184"/>
      <c r="P4" s="1184"/>
      <c r="Q4" s="4"/>
      <c r="R4" s="5"/>
      <c r="S4" s="3"/>
      <c r="T4" s="3"/>
      <c r="U4" s="3"/>
      <c r="V4" s="3"/>
      <c r="W4" s="1185" t="s">
        <v>4</v>
      </c>
      <c r="X4" s="1186"/>
      <c r="Y4" s="1187"/>
      <c r="Z4" s="3"/>
      <c r="AA4" s="3"/>
      <c r="AB4" s="3"/>
      <c r="AC4" s="3"/>
      <c r="AD4" s="3"/>
      <c r="AE4" s="3"/>
      <c r="AF4" s="3"/>
      <c r="AG4" s="3"/>
      <c r="AH4" s="3"/>
      <c r="AI4" s="3"/>
      <c r="AJ4" s="3"/>
      <c r="AK4" s="3"/>
      <c r="AL4" s="3"/>
      <c r="AM4" s="3"/>
      <c r="AN4" s="3"/>
      <c r="AO4" s="3"/>
    </row>
    <row r="5" spans="1:41" ht="22.5" customHeight="1">
      <c r="A5" s="6" t="s">
        <v>5</v>
      </c>
      <c r="B5" s="7" t="s">
        <v>6</v>
      </c>
      <c r="C5" s="7" t="s">
        <v>7</v>
      </c>
      <c r="D5" s="7" t="s">
        <v>8</v>
      </c>
      <c r="E5" s="7" t="s">
        <v>9</v>
      </c>
      <c r="F5" s="8" t="s">
        <v>10</v>
      </c>
      <c r="G5" s="7" t="s">
        <v>11</v>
      </c>
      <c r="H5" s="7" t="s">
        <v>12</v>
      </c>
      <c r="I5" s="7" t="s">
        <v>13</v>
      </c>
      <c r="J5" s="7" t="s">
        <v>14</v>
      </c>
      <c r="K5" s="7" t="s">
        <v>15</v>
      </c>
      <c r="L5" s="7" t="s">
        <v>16</v>
      </c>
      <c r="M5" s="7" t="s">
        <v>17</v>
      </c>
      <c r="N5" s="7" t="s">
        <v>18</v>
      </c>
      <c r="O5" s="7" t="s">
        <v>19</v>
      </c>
      <c r="P5" s="7" t="s">
        <v>20</v>
      </c>
      <c r="Q5" s="7" t="s">
        <v>21</v>
      </c>
      <c r="R5" s="8" t="s">
        <v>22</v>
      </c>
      <c r="S5" s="7" t="s">
        <v>23</v>
      </c>
      <c r="T5" s="7" t="s">
        <v>24</v>
      </c>
      <c r="U5" s="7" t="s">
        <v>25</v>
      </c>
      <c r="V5" s="7" t="s">
        <v>26</v>
      </c>
      <c r="W5" s="9" t="s">
        <v>27</v>
      </c>
      <c r="X5" s="10" t="s">
        <v>28</v>
      </c>
      <c r="Y5" s="10" t="s">
        <v>29</v>
      </c>
      <c r="Z5" s="11" t="s">
        <v>30</v>
      </c>
      <c r="AA5" s="3"/>
      <c r="AB5" s="1175"/>
      <c r="AC5" s="1176"/>
      <c r="AD5" s="1176"/>
      <c r="AE5" s="12"/>
      <c r="AF5" s="12"/>
      <c r="AG5" s="12"/>
      <c r="AH5" s="12"/>
      <c r="AI5" s="12"/>
      <c r="AJ5" s="12"/>
      <c r="AK5" s="12"/>
      <c r="AL5" s="12"/>
      <c r="AM5" s="12"/>
      <c r="AN5" s="12"/>
      <c r="AO5" s="12"/>
    </row>
    <row r="6" spans="1:41" ht="30" customHeight="1">
      <c r="A6" s="13">
        <v>1</v>
      </c>
      <c r="B6" s="14">
        <f t="shared" ref="B6:B231" ca="1" si="0">IF(OR(E6&lt;&gt;"",F6&lt;&gt;""),IF(B6="",NOW(),B6),"")</f>
        <v>45722.400580000001</v>
      </c>
      <c r="C6" s="15"/>
      <c r="D6" s="16"/>
      <c r="E6" s="17" t="s">
        <v>31</v>
      </c>
      <c r="F6" s="18" t="s">
        <v>32</v>
      </c>
      <c r="G6" s="19" t="s">
        <v>33</v>
      </c>
      <c r="H6" s="20"/>
      <c r="I6" s="20"/>
      <c r="J6" s="21"/>
      <c r="K6" s="21"/>
      <c r="L6" s="21"/>
      <c r="M6" s="21"/>
      <c r="N6" s="21"/>
      <c r="O6" s="21"/>
      <c r="P6" s="21"/>
      <c r="Q6" s="22" t="s">
        <v>34</v>
      </c>
      <c r="R6" s="23" t="s">
        <v>35</v>
      </c>
      <c r="S6" s="20" t="s">
        <v>36</v>
      </c>
      <c r="T6" s="20" t="s">
        <v>37</v>
      </c>
      <c r="U6" s="19" t="s">
        <v>38</v>
      </c>
      <c r="V6" s="20" t="s">
        <v>39</v>
      </c>
      <c r="W6" s="24" t="s">
        <v>40</v>
      </c>
      <c r="X6" s="25" t="s">
        <v>41</v>
      </c>
      <c r="Y6" s="26" t="s">
        <v>42</v>
      </c>
      <c r="Z6" s="27" t="s">
        <v>43</v>
      </c>
      <c r="AA6" s="3"/>
      <c r="AB6" s="28" t="s">
        <v>44</v>
      </c>
      <c r="AC6" s="21" t="s">
        <v>36</v>
      </c>
      <c r="AD6" s="29" t="s">
        <v>45</v>
      </c>
      <c r="AE6" s="30" t="s">
        <v>46</v>
      </c>
      <c r="AF6" s="30"/>
      <c r="AG6" s="30"/>
      <c r="AH6" s="30"/>
      <c r="AI6" s="30"/>
      <c r="AJ6" s="30"/>
      <c r="AK6" s="30"/>
      <c r="AL6" s="30"/>
      <c r="AM6" s="30"/>
      <c r="AN6" s="30"/>
      <c r="AO6" s="30"/>
    </row>
    <row r="7" spans="1:41" ht="30" customHeight="1">
      <c r="A7" s="31">
        <v>2</v>
      </c>
      <c r="B7" s="32">
        <f t="shared" ca="1" si="0"/>
        <v>45722.400580000001</v>
      </c>
      <c r="C7" s="33" t="s">
        <v>47</v>
      </c>
      <c r="D7" s="34"/>
      <c r="E7" s="35" t="s">
        <v>48</v>
      </c>
      <c r="F7" s="36" t="s">
        <v>49</v>
      </c>
      <c r="G7" s="37" t="s">
        <v>50</v>
      </c>
      <c r="H7" s="38"/>
      <c r="I7" s="38"/>
      <c r="J7" s="21"/>
      <c r="K7" s="21"/>
      <c r="L7" s="21"/>
      <c r="M7" s="21"/>
      <c r="N7" s="21"/>
      <c r="O7" s="21"/>
      <c r="P7" s="21"/>
      <c r="Q7" s="39" t="s">
        <v>51</v>
      </c>
      <c r="R7" s="40" t="s">
        <v>35</v>
      </c>
      <c r="S7" s="38" t="s">
        <v>36</v>
      </c>
      <c r="T7" s="38" t="s">
        <v>52</v>
      </c>
      <c r="U7" s="37" t="s">
        <v>38</v>
      </c>
      <c r="V7" s="38" t="s">
        <v>39</v>
      </c>
      <c r="W7" s="24" t="s">
        <v>40</v>
      </c>
      <c r="X7" s="41" t="s">
        <v>53</v>
      </c>
      <c r="Y7" s="42" t="s">
        <v>54</v>
      </c>
      <c r="Z7" s="43"/>
      <c r="AA7" s="3"/>
      <c r="AB7" s="44" t="s">
        <v>55</v>
      </c>
      <c r="AC7" s="21" t="s">
        <v>36</v>
      </c>
      <c r="AD7" s="29" t="s">
        <v>56</v>
      </c>
      <c r="AE7" s="3"/>
      <c r="AF7" s="3"/>
      <c r="AG7" s="3"/>
      <c r="AH7" s="3"/>
      <c r="AI7" s="3"/>
      <c r="AJ7" s="3"/>
      <c r="AK7" s="3"/>
      <c r="AL7" s="3"/>
      <c r="AM7" s="3"/>
      <c r="AN7" s="3"/>
      <c r="AO7" s="3"/>
    </row>
    <row r="8" spans="1:41" ht="30" customHeight="1">
      <c r="A8" s="31">
        <v>3</v>
      </c>
      <c r="B8" s="32">
        <f t="shared" ca="1" si="0"/>
        <v>45722.400580000001</v>
      </c>
      <c r="C8" s="33" t="s">
        <v>47</v>
      </c>
      <c r="D8" s="45"/>
      <c r="E8" s="35" t="s">
        <v>57</v>
      </c>
      <c r="F8" s="36" t="s">
        <v>58</v>
      </c>
      <c r="G8" s="37" t="s">
        <v>59</v>
      </c>
      <c r="H8" s="38"/>
      <c r="I8" s="38"/>
      <c r="J8" s="21"/>
      <c r="K8" s="21"/>
      <c r="L8" s="21"/>
      <c r="M8" s="21"/>
      <c r="N8" s="21"/>
      <c r="O8" s="21"/>
      <c r="P8" s="21"/>
      <c r="Q8" s="39" t="s">
        <v>60</v>
      </c>
      <c r="R8" s="40" t="s">
        <v>35</v>
      </c>
      <c r="S8" s="38" t="s">
        <v>36</v>
      </c>
      <c r="T8" s="38" t="s">
        <v>61</v>
      </c>
      <c r="U8" s="37" t="s">
        <v>38</v>
      </c>
      <c r="V8" s="38" t="s">
        <v>39</v>
      </c>
      <c r="W8" s="24" t="s">
        <v>40</v>
      </c>
      <c r="X8" s="41" t="s">
        <v>62</v>
      </c>
      <c r="Y8" s="42" t="s">
        <v>63</v>
      </c>
      <c r="Z8" s="27"/>
      <c r="AA8" s="3"/>
      <c r="AB8" s="44" t="s">
        <v>64</v>
      </c>
      <c r="AC8" s="21" t="s">
        <v>36</v>
      </c>
      <c r="AD8" s="29" t="s">
        <v>65</v>
      </c>
      <c r="AE8" s="30"/>
      <c r="AF8" s="30"/>
      <c r="AG8" s="30"/>
      <c r="AH8" s="30"/>
      <c r="AI8" s="30"/>
      <c r="AJ8" s="30"/>
      <c r="AK8" s="30"/>
      <c r="AL8" s="30"/>
      <c r="AM8" s="30"/>
      <c r="AN8" s="30"/>
      <c r="AO8" s="30"/>
    </row>
    <row r="9" spans="1:41" ht="30" customHeight="1">
      <c r="A9" s="31">
        <v>4</v>
      </c>
      <c r="B9" s="32">
        <f t="shared" ca="1" si="0"/>
        <v>45722.400580000001</v>
      </c>
      <c r="C9" s="33" t="s">
        <v>47</v>
      </c>
      <c r="D9" s="34"/>
      <c r="E9" s="35" t="s">
        <v>66</v>
      </c>
      <c r="F9" s="36" t="s">
        <v>67</v>
      </c>
      <c r="G9" s="37" t="s">
        <v>68</v>
      </c>
      <c r="H9" s="38"/>
      <c r="I9" s="38"/>
      <c r="J9" s="21"/>
      <c r="K9" s="21"/>
      <c r="L9" s="21"/>
      <c r="M9" s="21"/>
      <c r="N9" s="21"/>
      <c r="O9" s="21"/>
      <c r="P9" s="21"/>
      <c r="Q9" s="39" t="s">
        <v>69</v>
      </c>
      <c r="R9" s="40" t="s">
        <v>35</v>
      </c>
      <c r="S9" s="38" t="s">
        <v>36</v>
      </c>
      <c r="T9" s="38" t="s">
        <v>70</v>
      </c>
      <c r="U9" s="37" t="s">
        <v>38</v>
      </c>
      <c r="V9" s="38" t="s">
        <v>39</v>
      </c>
      <c r="W9" s="24" t="s">
        <v>40</v>
      </c>
      <c r="X9" s="41" t="s">
        <v>71</v>
      </c>
      <c r="Y9" s="42" t="s">
        <v>72</v>
      </c>
      <c r="Z9" s="27"/>
      <c r="AA9" s="3"/>
      <c r="AB9" s="44" t="s">
        <v>73</v>
      </c>
      <c r="AC9" s="21" t="s">
        <v>36</v>
      </c>
      <c r="AD9" s="29" t="s">
        <v>74</v>
      </c>
      <c r="AE9" s="30"/>
      <c r="AF9" s="30"/>
      <c r="AG9" s="30"/>
      <c r="AH9" s="30"/>
      <c r="AI9" s="30"/>
      <c r="AJ9" s="30"/>
      <c r="AK9" s="30"/>
      <c r="AL9" s="30"/>
      <c r="AM9" s="30"/>
      <c r="AN9" s="30"/>
      <c r="AO9" s="30"/>
    </row>
    <row r="10" spans="1:41" ht="30" customHeight="1">
      <c r="A10" s="31">
        <v>5</v>
      </c>
      <c r="B10" s="32">
        <f t="shared" ca="1" si="0"/>
        <v>45722.400580000001</v>
      </c>
      <c r="C10" s="33" t="s">
        <v>47</v>
      </c>
      <c r="D10" s="45"/>
      <c r="E10" s="35" t="s">
        <v>75</v>
      </c>
      <c r="F10" s="36" t="s">
        <v>67</v>
      </c>
      <c r="G10" s="37" t="s">
        <v>68</v>
      </c>
      <c r="H10" s="38"/>
      <c r="I10" s="38"/>
      <c r="J10" s="21"/>
      <c r="K10" s="21"/>
      <c r="L10" s="21"/>
      <c r="M10" s="21"/>
      <c r="N10" s="21"/>
      <c r="O10" s="21"/>
      <c r="P10" s="21"/>
      <c r="Q10" s="39" t="s">
        <v>76</v>
      </c>
      <c r="R10" s="40" t="s">
        <v>35</v>
      </c>
      <c r="S10" s="38" t="s">
        <v>36</v>
      </c>
      <c r="T10" s="38" t="s">
        <v>77</v>
      </c>
      <c r="U10" s="37" t="s">
        <v>38</v>
      </c>
      <c r="V10" s="38" t="s">
        <v>78</v>
      </c>
      <c r="W10" s="24" t="s">
        <v>40</v>
      </c>
      <c r="X10" s="41" t="s">
        <v>79</v>
      </c>
      <c r="Y10" s="42" t="s">
        <v>80</v>
      </c>
      <c r="Z10" s="27"/>
      <c r="AA10" s="3"/>
      <c r="AB10" s="44" t="s">
        <v>81</v>
      </c>
      <c r="AC10" s="21" t="s">
        <v>36</v>
      </c>
      <c r="AD10" s="29" t="s">
        <v>82</v>
      </c>
      <c r="AE10" s="30"/>
      <c r="AF10" s="30"/>
      <c r="AG10" s="30"/>
      <c r="AH10" s="30"/>
      <c r="AI10" s="30"/>
      <c r="AJ10" s="30"/>
      <c r="AK10" s="30"/>
      <c r="AL10" s="30"/>
      <c r="AM10" s="30"/>
      <c r="AN10" s="30"/>
      <c r="AO10" s="30"/>
    </row>
    <row r="11" spans="1:41" ht="30" customHeight="1">
      <c r="A11" s="31">
        <v>6</v>
      </c>
      <c r="B11" s="32">
        <f t="shared" ca="1" si="0"/>
        <v>45722.400580000001</v>
      </c>
      <c r="C11" s="33" t="s">
        <v>47</v>
      </c>
      <c r="D11" s="34"/>
      <c r="E11" s="35" t="s">
        <v>83</v>
      </c>
      <c r="F11" s="36" t="s">
        <v>67</v>
      </c>
      <c r="G11" s="37" t="s">
        <v>68</v>
      </c>
      <c r="H11" s="38"/>
      <c r="I11" s="38"/>
      <c r="J11" s="21"/>
      <c r="K11" s="21"/>
      <c r="L11" s="21"/>
      <c r="M11" s="21"/>
      <c r="N11" s="21"/>
      <c r="O11" s="21"/>
      <c r="P11" s="21"/>
      <c r="Q11" s="39" t="s">
        <v>84</v>
      </c>
      <c r="R11" s="40" t="s">
        <v>35</v>
      </c>
      <c r="S11" s="38" t="s">
        <v>36</v>
      </c>
      <c r="T11" s="38" t="s">
        <v>85</v>
      </c>
      <c r="U11" s="37" t="s">
        <v>38</v>
      </c>
      <c r="V11" s="38" t="s">
        <v>86</v>
      </c>
      <c r="W11" s="24" t="s">
        <v>40</v>
      </c>
      <c r="X11" s="41" t="s">
        <v>87</v>
      </c>
      <c r="Y11" s="42" t="s">
        <v>88</v>
      </c>
      <c r="Z11" s="46"/>
      <c r="AA11" s="3"/>
      <c r="AB11" s="44" t="s">
        <v>89</v>
      </c>
      <c r="AC11" s="21" t="s">
        <v>36</v>
      </c>
      <c r="AD11" s="29" t="s">
        <v>90</v>
      </c>
      <c r="AE11" s="30"/>
      <c r="AF11" s="30"/>
      <c r="AG11" s="30"/>
      <c r="AH11" s="30"/>
      <c r="AI11" s="30"/>
      <c r="AJ11" s="30"/>
      <c r="AK11" s="30"/>
      <c r="AL11" s="30"/>
      <c r="AM11" s="30"/>
      <c r="AN11" s="30"/>
      <c r="AO11" s="30"/>
    </row>
    <row r="12" spans="1:41" ht="30" customHeight="1">
      <c r="A12" s="31">
        <v>7</v>
      </c>
      <c r="B12" s="32">
        <f t="shared" ca="1" si="0"/>
        <v>45722.400580000001</v>
      </c>
      <c r="C12" s="33" t="s">
        <v>47</v>
      </c>
      <c r="D12" s="34"/>
      <c r="E12" s="35" t="s">
        <v>91</v>
      </c>
      <c r="F12" s="47" t="s">
        <v>58</v>
      </c>
      <c r="G12" s="37" t="s">
        <v>92</v>
      </c>
      <c r="H12" s="38" t="s">
        <v>93</v>
      </c>
      <c r="I12" s="38" t="s">
        <v>94</v>
      </c>
      <c r="J12" s="21"/>
      <c r="K12" s="21"/>
      <c r="L12" s="21"/>
      <c r="M12" s="21"/>
      <c r="N12" s="21"/>
      <c r="O12" s="21"/>
      <c r="P12" s="21"/>
      <c r="Q12" s="21" t="s">
        <v>95</v>
      </c>
      <c r="R12" s="40" t="s">
        <v>35</v>
      </c>
      <c r="S12" s="38" t="s">
        <v>36</v>
      </c>
      <c r="T12" s="38" t="s">
        <v>96</v>
      </c>
      <c r="U12" s="37" t="s">
        <v>38</v>
      </c>
      <c r="V12" s="38" t="s">
        <v>78</v>
      </c>
      <c r="W12" s="24" t="s">
        <v>40</v>
      </c>
      <c r="X12" s="41" t="s">
        <v>97</v>
      </c>
      <c r="Y12" s="48" t="s">
        <v>98</v>
      </c>
      <c r="Z12" s="27"/>
      <c r="AA12" s="3"/>
      <c r="AB12" s="44" t="s">
        <v>99</v>
      </c>
      <c r="AC12" s="21" t="s">
        <v>36</v>
      </c>
      <c r="AD12" s="29" t="s">
        <v>100</v>
      </c>
      <c r="AE12" s="30"/>
      <c r="AF12" s="30"/>
      <c r="AG12" s="30"/>
      <c r="AH12" s="30"/>
      <c r="AI12" s="30"/>
      <c r="AJ12" s="30"/>
      <c r="AK12" s="30"/>
      <c r="AL12" s="30"/>
      <c r="AM12" s="30"/>
      <c r="AN12" s="30"/>
      <c r="AO12" s="30"/>
    </row>
    <row r="13" spans="1:41" ht="30" customHeight="1">
      <c r="A13" s="31">
        <v>8</v>
      </c>
      <c r="B13" s="32">
        <f t="shared" ca="1" si="0"/>
        <v>45722.400580000001</v>
      </c>
      <c r="C13" s="33" t="s">
        <v>47</v>
      </c>
      <c r="D13" s="34"/>
      <c r="E13" s="35" t="s">
        <v>101</v>
      </c>
      <c r="F13" s="47" t="s">
        <v>58</v>
      </c>
      <c r="G13" s="37" t="s">
        <v>92</v>
      </c>
      <c r="H13" s="38" t="s">
        <v>102</v>
      </c>
      <c r="I13" s="38" t="s">
        <v>103</v>
      </c>
      <c r="J13" s="21"/>
      <c r="K13" s="21"/>
      <c r="L13" s="21"/>
      <c r="M13" s="21"/>
      <c r="N13" s="21"/>
      <c r="O13" s="21"/>
      <c r="P13" s="21"/>
      <c r="Q13" s="39" t="s">
        <v>104</v>
      </c>
      <c r="R13" s="40" t="s">
        <v>35</v>
      </c>
      <c r="S13" s="38" t="s">
        <v>36</v>
      </c>
      <c r="T13" s="38" t="s">
        <v>105</v>
      </c>
      <c r="U13" s="37" t="s">
        <v>38</v>
      </c>
      <c r="V13" s="38" t="s">
        <v>78</v>
      </c>
      <c r="W13" s="24" t="s">
        <v>40</v>
      </c>
      <c r="X13" s="41" t="s">
        <v>106</v>
      </c>
      <c r="Y13" s="42" t="s">
        <v>107</v>
      </c>
      <c r="Z13" s="27"/>
      <c r="AA13" s="3"/>
      <c r="AB13" s="44" t="s">
        <v>108</v>
      </c>
      <c r="AC13" s="21" t="s">
        <v>36</v>
      </c>
      <c r="AD13" s="29" t="s">
        <v>109</v>
      </c>
      <c r="AE13" s="30"/>
      <c r="AF13" s="30"/>
      <c r="AG13" s="30"/>
      <c r="AH13" s="30"/>
      <c r="AI13" s="30"/>
      <c r="AJ13" s="30"/>
      <c r="AK13" s="30"/>
      <c r="AL13" s="30"/>
      <c r="AM13" s="30"/>
      <c r="AN13" s="30"/>
      <c r="AO13" s="30"/>
    </row>
    <row r="14" spans="1:41" ht="30" customHeight="1">
      <c r="A14" s="31">
        <v>9</v>
      </c>
      <c r="B14" s="32">
        <f t="shared" ca="1" si="0"/>
        <v>45722.400580000001</v>
      </c>
      <c r="C14" s="33" t="s">
        <v>47</v>
      </c>
      <c r="D14" s="34"/>
      <c r="E14" s="35" t="s">
        <v>110</v>
      </c>
      <c r="F14" s="47" t="s">
        <v>58</v>
      </c>
      <c r="G14" s="37" t="s">
        <v>92</v>
      </c>
      <c r="H14" s="38" t="s">
        <v>111</v>
      </c>
      <c r="I14" s="38" t="s">
        <v>112</v>
      </c>
      <c r="J14" s="21"/>
      <c r="K14" s="21"/>
      <c r="L14" s="21"/>
      <c r="M14" s="21"/>
      <c r="N14" s="21"/>
      <c r="O14" s="21"/>
      <c r="P14" s="21"/>
      <c r="Q14" s="39" t="s">
        <v>113</v>
      </c>
      <c r="R14" s="40" t="s">
        <v>35</v>
      </c>
      <c r="S14" s="38" t="s">
        <v>36</v>
      </c>
      <c r="T14" s="38" t="s">
        <v>114</v>
      </c>
      <c r="U14" s="37" t="s">
        <v>38</v>
      </c>
      <c r="V14" s="38" t="s">
        <v>86</v>
      </c>
      <c r="W14" s="24" t="s">
        <v>40</v>
      </c>
      <c r="X14" s="41" t="s">
        <v>115</v>
      </c>
      <c r="Y14" s="42" t="s">
        <v>116</v>
      </c>
      <c r="Z14" s="27"/>
      <c r="AA14" s="3"/>
      <c r="AB14" s="44" t="s">
        <v>117</v>
      </c>
      <c r="AC14" s="21" t="s">
        <v>36</v>
      </c>
      <c r="AD14" s="29" t="s">
        <v>118</v>
      </c>
      <c r="AE14" s="30"/>
      <c r="AF14" s="30"/>
      <c r="AG14" s="30"/>
      <c r="AH14" s="30"/>
      <c r="AI14" s="30"/>
      <c r="AJ14" s="30"/>
      <c r="AK14" s="30"/>
      <c r="AL14" s="30"/>
      <c r="AM14" s="30"/>
      <c r="AN14" s="30"/>
      <c r="AO14" s="30"/>
    </row>
    <row r="15" spans="1:41" ht="30" customHeight="1">
      <c r="A15" s="31">
        <v>10</v>
      </c>
      <c r="B15" s="32">
        <f t="shared" ca="1" si="0"/>
        <v>45722.41934</v>
      </c>
      <c r="C15" s="15"/>
      <c r="D15" s="34" t="s">
        <v>119</v>
      </c>
      <c r="E15" s="35" t="s">
        <v>91</v>
      </c>
      <c r="F15" s="49" t="s">
        <v>49</v>
      </c>
      <c r="G15" s="38" t="s">
        <v>93</v>
      </c>
      <c r="H15" s="21"/>
      <c r="I15" s="21"/>
      <c r="J15" s="21"/>
      <c r="K15" s="21"/>
      <c r="L15" s="21"/>
      <c r="M15" s="21"/>
      <c r="N15" s="21"/>
      <c r="O15" s="21"/>
      <c r="P15" s="21"/>
      <c r="Q15" s="21" t="s">
        <v>120</v>
      </c>
      <c r="R15" s="40" t="s">
        <v>35</v>
      </c>
      <c r="S15" s="38" t="s">
        <v>36</v>
      </c>
      <c r="T15" s="38" t="s">
        <v>96</v>
      </c>
      <c r="U15" s="37" t="s">
        <v>38</v>
      </c>
      <c r="V15" s="38" t="s">
        <v>78</v>
      </c>
      <c r="W15" s="24" t="s">
        <v>40</v>
      </c>
      <c r="X15" s="41" t="s">
        <v>121</v>
      </c>
      <c r="Y15" s="48" t="s">
        <v>98</v>
      </c>
      <c r="Z15" s="27"/>
      <c r="AA15" s="3"/>
      <c r="AB15" s="44" t="s">
        <v>122</v>
      </c>
      <c r="AC15" s="21" t="s">
        <v>36</v>
      </c>
      <c r="AD15" s="29" t="s">
        <v>123</v>
      </c>
      <c r="AE15" s="30"/>
      <c r="AF15" s="30"/>
      <c r="AG15" s="30"/>
      <c r="AH15" s="30"/>
      <c r="AI15" s="30"/>
      <c r="AJ15" s="30"/>
      <c r="AK15" s="30"/>
      <c r="AL15" s="30"/>
      <c r="AM15" s="30"/>
      <c r="AN15" s="30"/>
      <c r="AO15" s="30"/>
    </row>
    <row r="16" spans="1:41" ht="30" customHeight="1">
      <c r="A16" s="31">
        <v>11</v>
      </c>
      <c r="B16" s="32">
        <f t="shared" ca="1" si="0"/>
        <v>45722.420940000004</v>
      </c>
      <c r="C16" s="15"/>
      <c r="D16" s="34" t="s">
        <v>119</v>
      </c>
      <c r="E16" s="35" t="s">
        <v>110</v>
      </c>
      <c r="F16" s="50" t="s">
        <v>67</v>
      </c>
      <c r="G16" s="38" t="s">
        <v>111</v>
      </c>
      <c r="H16" s="21"/>
      <c r="I16" s="21"/>
      <c r="J16" s="21"/>
      <c r="K16" s="21"/>
      <c r="L16" s="21"/>
      <c r="M16" s="21"/>
      <c r="N16" s="21"/>
      <c r="O16" s="21"/>
      <c r="P16" s="21"/>
      <c r="Q16" s="39" t="s">
        <v>113</v>
      </c>
      <c r="R16" s="40" t="s">
        <v>35</v>
      </c>
      <c r="S16" s="38" t="s">
        <v>36</v>
      </c>
      <c r="T16" s="38" t="s">
        <v>114</v>
      </c>
      <c r="U16" s="37" t="s">
        <v>38</v>
      </c>
      <c r="V16" s="38" t="s">
        <v>86</v>
      </c>
      <c r="W16" s="24" t="s">
        <v>40</v>
      </c>
      <c r="X16" s="41" t="s">
        <v>124</v>
      </c>
      <c r="Y16" s="51" t="s">
        <v>125</v>
      </c>
      <c r="Z16" s="27"/>
      <c r="AA16" s="3"/>
      <c r="AB16" s="44" t="s">
        <v>126</v>
      </c>
      <c r="AC16" s="21" t="s">
        <v>36</v>
      </c>
      <c r="AD16" s="52"/>
      <c r="AE16" s="3"/>
      <c r="AF16" s="3"/>
      <c r="AG16" s="3"/>
      <c r="AH16" s="3"/>
      <c r="AI16" s="3"/>
      <c r="AJ16" s="3"/>
      <c r="AK16" s="3"/>
      <c r="AL16" s="3"/>
      <c r="AM16" s="3"/>
      <c r="AN16" s="3"/>
      <c r="AO16" s="3"/>
    </row>
    <row r="17" spans="1:41" ht="30" customHeight="1">
      <c r="A17" s="31">
        <v>12</v>
      </c>
      <c r="B17" s="32">
        <f t="shared" ca="1" si="0"/>
        <v>45729.496550000003</v>
      </c>
      <c r="C17" s="33" t="s">
        <v>47</v>
      </c>
      <c r="D17" s="34"/>
      <c r="E17" s="53" t="s">
        <v>127</v>
      </c>
      <c r="F17" s="36" t="s">
        <v>32</v>
      </c>
      <c r="G17" s="21" t="s">
        <v>128</v>
      </c>
      <c r="H17" s="21"/>
      <c r="I17" s="21"/>
      <c r="J17" s="21"/>
      <c r="K17" s="21"/>
      <c r="L17" s="21"/>
      <c r="M17" s="21"/>
      <c r="N17" s="21"/>
      <c r="O17" s="21"/>
      <c r="P17" s="21"/>
      <c r="Q17" s="21" t="s">
        <v>129</v>
      </c>
      <c r="R17" s="40" t="s">
        <v>35</v>
      </c>
      <c r="S17" s="38" t="s">
        <v>36</v>
      </c>
      <c r="T17" s="21" t="s">
        <v>130</v>
      </c>
      <c r="U17" s="37" t="s">
        <v>38</v>
      </c>
      <c r="V17" s="38" t="s">
        <v>86</v>
      </c>
      <c r="W17" s="24" t="s">
        <v>40</v>
      </c>
      <c r="X17" s="54" t="s">
        <v>131</v>
      </c>
      <c r="Y17" s="55" t="s">
        <v>132</v>
      </c>
      <c r="Z17" s="56"/>
      <c r="AA17" s="57"/>
      <c r="AB17" s="44" t="s">
        <v>133</v>
      </c>
      <c r="AC17" s="21" t="s">
        <v>36</v>
      </c>
      <c r="AD17" s="29" t="s">
        <v>134</v>
      </c>
      <c r="AE17" s="3"/>
      <c r="AF17" s="3"/>
      <c r="AG17" s="3"/>
      <c r="AH17" s="3"/>
      <c r="AI17" s="3"/>
      <c r="AJ17" s="3"/>
      <c r="AK17" s="3"/>
      <c r="AL17" s="3"/>
      <c r="AM17" s="3"/>
      <c r="AN17" s="3"/>
      <c r="AO17" s="3"/>
    </row>
    <row r="18" spans="1:41" ht="30" customHeight="1">
      <c r="A18" s="31">
        <v>13</v>
      </c>
      <c r="B18" s="32">
        <f t="shared" ca="1" si="0"/>
        <v>45735.483630000002</v>
      </c>
      <c r="C18" s="33"/>
      <c r="D18" s="34"/>
      <c r="E18" s="53" t="s">
        <v>135</v>
      </c>
      <c r="F18" s="50" t="s">
        <v>49</v>
      </c>
      <c r="G18" s="21" t="s">
        <v>136</v>
      </c>
      <c r="H18" s="21" t="s">
        <v>137</v>
      </c>
      <c r="I18" s="21" t="s">
        <v>111</v>
      </c>
      <c r="J18" s="21"/>
      <c r="K18" s="21"/>
      <c r="L18" s="21"/>
      <c r="M18" s="21"/>
      <c r="N18" s="21"/>
      <c r="O18" s="21"/>
      <c r="P18" s="21"/>
      <c r="Q18" s="21" t="s">
        <v>138</v>
      </c>
      <c r="R18" s="58" t="s">
        <v>139</v>
      </c>
      <c r="S18" s="21" t="s">
        <v>140</v>
      </c>
      <c r="T18" s="21" t="s">
        <v>141</v>
      </c>
      <c r="U18" s="21" t="s">
        <v>38</v>
      </c>
      <c r="V18" s="21"/>
      <c r="W18" s="24" t="s">
        <v>40</v>
      </c>
      <c r="X18" s="59"/>
      <c r="Y18" s="60"/>
      <c r="Z18" s="61"/>
      <c r="AA18" s="57"/>
      <c r="AB18" s="44" t="s">
        <v>142</v>
      </c>
      <c r="AC18" s="21" t="s">
        <v>36</v>
      </c>
      <c r="AD18" s="62" t="s">
        <v>143</v>
      </c>
      <c r="AE18" s="30"/>
      <c r="AF18" s="30"/>
      <c r="AG18" s="30"/>
      <c r="AH18" s="30"/>
      <c r="AI18" s="30"/>
      <c r="AJ18" s="30"/>
      <c r="AK18" s="30"/>
      <c r="AL18" s="30"/>
      <c r="AM18" s="30"/>
      <c r="AN18" s="30"/>
      <c r="AO18" s="30"/>
    </row>
    <row r="19" spans="1:41" ht="30" customHeight="1">
      <c r="A19" s="31">
        <v>14</v>
      </c>
      <c r="B19" s="32">
        <f t="shared" ca="1" si="0"/>
        <v>45736.241990000002</v>
      </c>
      <c r="C19" s="33" t="s">
        <v>47</v>
      </c>
      <c r="D19" s="63"/>
      <c r="E19" s="64" t="s">
        <v>144</v>
      </c>
      <c r="F19" s="36" t="s">
        <v>58</v>
      </c>
      <c r="G19" s="21" t="s">
        <v>59</v>
      </c>
      <c r="H19" s="21"/>
      <c r="I19" s="21"/>
      <c r="J19" s="21"/>
      <c r="K19" s="21"/>
      <c r="L19" s="21"/>
      <c r="M19" s="21"/>
      <c r="N19" s="21"/>
      <c r="O19" s="21"/>
      <c r="P19" s="21"/>
      <c r="Q19" s="21" t="s">
        <v>145</v>
      </c>
      <c r="R19" s="58" t="s">
        <v>146</v>
      </c>
      <c r="S19" s="21" t="s">
        <v>36</v>
      </c>
      <c r="T19" s="21" t="s">
        <v>147</v>
      </c>
      <c r="U19" s="21" t="s">
        <v>38</v>
      </c>
      <c r="V19" s="21"/>
      <c r="W19" s="24" t="s">
        <v>40</v>
      </c>
      <c r="X19" s="54" t="s">
        <v>148</v>
      </c>
      <c r="Y19" s="65" t="s">
        <v>149</v>
      </c>
      <c r="Z19" s="56"/>
      <c r="AA19" s="57"/>
      <c r="AB19" s="44" t="s">
        <v>150</v>
      </c>
      <c r="AC19" s="21" t="s">
        <v>36</v>
      </c>
      <c r="AD19" s="29" t="s">
        <v>151</v>
      </c>
      <c r="AE19" s="30"/>
      <c r="AF19" s="30"/>
      <c r="AG19" s="30"/>
      <c r="AH19" s="30"/>
      <c r="AI19" s="30"/>
      <c r="AJ19" s="30"/>
      <c r="AK19" s="30"/>
      <c r="AL19" s="30"/>
      <c r="AM19" s="30"/>
      <c r="AN19" s="30"/>
      <c r="AO19" s="30"/>
    </row>
    <row r="20" spans="1:41" ht="30" customHeight="1">
      <c r="A20" s="31">
        <v>15</v>
      </c>
      <c r="B20" s="32">
        <f t="shared" ca="1" si="0"/>
        <v>45736.241990000002</v>
      </c>
      <c r="C20" s="66"/>
      <c r="D20" s="63"/>
      <c r="E20" s="67" t="s">
        <v>152</v>
      </c>
      <c r="F20" s="50" t="s">
        <v>58</v>
      </c>
      <c r="G20" s="21" t="s">
        <v>59</v>
      </c>
      <c r="H20" s="21"/>
      <c r="I20" s="21"/>
      <c r="J20" s="21"/>
      <c r="K20" s="21"/>
      <c r="L20" s="21"/>
      <c r="M20" s="21"/>
      <c r="N20" s="21"/>
      <c r="O20" s="21"/>
      <c r="P20" s="21"/>
      <c r="Q20" s="21" t="s">
        <v>153</v>
      </c>
      <c r="R20" s="58" t="s">
        <v>146</v>
      </c>
      <c r="S20" s="21" t="s">
        <v>140</v>
      </c>
      <c r="T20" s="21" t="s">
        <v>154</v>
      </c>
      <c r="U20" s="21" t="s">
        <v>38</v>
      </c>
      <c r="V20" s="21"/>
      <c r="W20" s="24" t="s">
        <v>40</v>
      </c>
      <c r="X20" s="54" t="s">
        <v>155</v>
      </c>
      <c r="Y20" s="29"/>
      <c r="Z20" s="56"/>
      <c r="AA20" s="57"/>
      <c r="AB20" s="44" t="s">
        <v>156</v>
      </c>
      <c r="AC20" s="21" t="s">
        <v>36</v>
      </c>
      <c r="AD20" s="29" t="s">
        <v>157</v>
      </c>
      <c r="AE20" s="30"/>
      <c r="AF20" s="30"/>
      <c r="AG20" s="30"/>
      <c r="AH20" s="30"/>
      <c r="AI20" s="30"/>
      <c r="AJ20" s="30"/>
      <c r="AK20" s="30"/>
      <c r="AL20" s="30"/>
      <c r="AM20" s="30"/>
      <c r="AN20" s="30"/>
      <c r="AO20" s="30"/>
    </row>
    <row r="21" spans="1:41" ht="30" customHeight="1">
      <c r="A21" s="31">
        <v>16</v>
      </c>
      <c r="B21" s="32">
        <f t="shared" ca="1" si="0"/>
        <v>45737.620970000004</v>
      </c>
      <c r="C21" s="33" t="s">
        <v>47</v>
      </c>
      <c r="D21" s="63"/>
      <c r="E21" s="68" t="s">
        <v>158</v>
      </c>
      <c r="F21" s="36" t="s">
        <v>58</v>
      </c>
      <c r="G21" s="58" t="s">
        <v>159</v>
      </c>
      <c r="H21" s="69"/>
      <c r="I21" s="21"/>
      <c r="J21" s="21"/>
      <c r="K21" s="21"/>
      <c r="L21" s="21"/>
      <c r="M21" s="21"/>
      <c r="N21" s="21"/>
      <c r="O21" s="21"/>
      <c r="P21" s="21"/>
      <c r="Q21" s="21" t="s">
        <v>160</v>
      </c>
      <c r="R21" s="58" t="s">
        <v>146</v>
      </c>
      <c r="S21" s="21" t="s">
        <v>36</v>
      </c>
      <c r="T21" s="70" t="s">
        <v>161</v>
      </c>
      <c r="U21" s="21" t="s">
        <v>38</v>
      </c>
      <c r="V21" s="21"/>
      <c r="W21" s="24" t="s">
        <v>40</v>
      </c>
      <c r="X21" s="55" t="s">
        <v>162</v>
      </c>
      <c r="Y21" s="55" t="s">
        <v>163</v>
      </c>
      <c r="Z21" s="71" t="s">
        <v>164</v>
      </c>
      <c r="AA21" s="72" t="s">
        <v>165</v>
      </c>
      <c r="AB21" s="44" t="s">
        <v>166</v>
      </c>
      <c r="AC21" s="21" t="s">
        <v>36</v>
      </c>
      <c r="AD21" s="29" t="s">
        <v>167</v>
      </c>
      <c r="AE21" s="73"/>
      <c r="AF21" s="73"/>
      <c r="AG21" s="73"/>
      <c r="AH21" s="73"/>
      <c r="AI21" s="73"/>
      <c r="AJ21" s="73"/>
      <c r="AK21" s="73"/>
      <c r="AL21" s="73"/>
      <c r="AM21" s="73"/>
      <c r="AN21" s="73"/>
      <c r="AO21" s="73"/>
    </row>
    <row r="22" spans="1:41" ht="30" customHeight="1">
      <c r="A22" s="31">
        <v>17</v>
      </c>
      <c r="B22" s="32">
        <f t="shared" ca="1" si="0"/>
        <v>45737.633560000002</v>
      </c>
      <c r="C22" s="33" t="s">
        <v>47</v>
      </c>
      <c r="D22" s="63"/>
      <c r="E22" s="74" t="s">
        <v>168</v>
      </c>
      <c r="F22" s="36" t="s">
        <v>58</v>
      </c>
      <c r="G22" s="21" t="s">
        <v>169</v>
      </c>
      <c r="H22" s="21" t="s">
        <v>159</v>
      </c>
      <c r="I22" s="21"/>
      <c r="J22" s="21"/>
      <c r="K22" s="21"/>
      <c r="L22" s="21"/>
      <c r="M22" s="21"/>
      <c r="N22" s="21"/>
      <c r="O22" s="21"/>
      <c r="P22" s="21"/>
      <c r="Q22" s="21"/>
      <c r="R22" s="58" t="s">
        <v>146</v>
      </c>
      <c r="S22" s="21" t="s">
        <v>36</v>
      </c>
      <c r="T22" s="58" t="s">
        <v>161</v>
      </c>
      <c r="U22" s="21" t="s">
        <v>38</v>
      </c>
      <c r="V22" s="21"/>
      <c r="W22" s="24" t="s">
        <v>40</v>
      </c>
      <c r="X22" s="55" t="s">
        <v>170</v>
      </c>
      <c r="Y22" s="65" t="s">
        <v>171</v>
      </c>
      <c r="Z22" s="71" t="s">
        <v>164</v>
      </c>
      <c r="AA22" s="75" t="s">
        <v>172</v>
      </c>
      <c r="AB22" s="21" t="s">
        <v>173</v>
      </c>
      <c r="AC22" s="21" t="s">
        <v>36</v>
      </c>
      <c r="AD22" s="29" t="s">
        <v>174</v>
      </c>
      <c r="AE22" s="30"/>
      <c r="AF22" s="30"/>
      <c r="AG22" s="30"/>
      <c r="AH22" s="30"/>
      <c r="AI22" s="30"/>
      <c r="AJ22" s="30"/>
      <c r="AK22" s="30"/>
      <c r="AL22" s="30"/>
      <c r="AM22" s="30"/>
      <c r="AN22" s="30"/>
      <c r="AO22" s="30"/>
    </row>
    <row r="23" spans="1:41" ht="30" customHeight="1">
      <c r="A23" s="31">
        <v>18</v>
      </c>
      <c r="B23" s="32">
        <f t="shared" ca="1" si="0"/>
        <v>45741.490319999997</v>
      </c>
      <c r="C23" s="33" t="s">
        <v>175</v>
      </c>
      <c r="D23" s="63"/>
      <c r="E23" s="74" t="s">
        <v>176</v>
      </c>
      <c r="F23" s="36" t="s">
        <v>67</v>
      </c>
      <c r="G23" s="37" t="s">
        <v>68</v>
      </c>
      <c r="H23" s="21"/>
      <c r="I23" s="21"/>
      <c r="J23" s="21"/>
      <c r="K23" s="21"/>
      <c r="L23" s="21"/>
      <c r="M23" s="21"/>
      <c r="N23" s="21"/>
      <c r="O23" s="21"/>
      <c r="P23" s="21"/>
      <c r="Q23" s="21" t="s">
        <v>177</v>
      </c>
      <c r="R23" s="58" t="s">
        <v>146</v>
      </c>
      <c r="S23" s="21" t="s">
        <v>36</v>
      </c>
      <c r="T23" s="21" t="s">
        <v>105</v>
      </c>
      <c r="U23" s="21" t="s">
        <v>38</v>
      </c>
      <c r="V23" s="21"/>
      <c r="W23" s="24" t="s">
        <v>40</v>
      </c>
      <c r="X23" s="76" t="s">
        <v>178</v>
      </c>
      <c r="Y23" s="65" t="s">
        <v>179</v>
      </c>
      <c r="Z23" s="61"/>
      <c r="AA23" s="57"/>
      <c r="AB23" s="21" t="s">
        <v>180</v>
      </c>
      <c r="AC23" s="21" t="s">
        <v>36</v>
      </c>
      <c r="AD23" s="77" t="s">
        <v>181</v>
      </c>
      <c r="AE23" s="30"/>
      <c r="AF23" s="30"/>
      <c r="AG23" s="30"/>
      <c r="AH23" s="30"/>
      <c r="AI23" s="30"/>
      <c r="AJ23" s="30"/>
      <c r="AK23" s="30"/>
      <c r="AL23" s="30"/>
      <c r="AM23" s="30"/>
      <c r="AN23" s="30"/>
      <c r="AO23" s="30"/>
    </row>
    <row r="24" spans="1:41" ht="30" customHeight="1">
      <c r="A24" s="31">
        <v>19</v>
      </c>
      <c r="B24" s="32">
        <f t="shared" ca="1" si="0"/>
        <v>45764.772810000002</v>
      </c>
      <c r="C24" s="33" t="s">
        <v>182</v>
      </c>
      <c r="D24" s="63"/>
      <c r="E24" s="78" t="s">
        <v>183</v>
      </c>
      <c r="F24" s="47" t="s">
        <v>32</v>
      </c>
      <c r="G24" s="21" t="s">
        <v>184</v>
      </c>
      <c r="H24" s="21"/>
      <c r="I24" s="21"/>
      <c r="J24" s="21"/>
      <c r="K24" s="21"/>
      <c r="L24" s="21"/>
      <c r="M24" s="21"/>
      <c r="N24" s="21"/>
      <c r="O24" s="21"/>
      <c r="P24" s="21"/>
      <c r="Q24" s="21" t="s">
        <v>185</v>
      </c>
      <c r="R24" s="58" t="s">
        <v>35</v>
      </c>
      <c r="S24" s="21" t="s">
        <v>36</v>
      </c>
      <c r="T24" s="21" t="s">
        <v>186</v>
      </c>
      <c r="U24" s="21" t="s">
        <v>38</v>
      </c>
      <c r="V24" s="21" t="s">
        <v>86</v>
      </c>
      <c r="W24" s="24" t="s">
        <v>40</v>
      </c>
      <c r="X24" s="54" t="s">
        <v>187</v>
      </c>
      <c r="Y24" s="55" t="s">
        <v>188</v>
      </c>
      <c r="Z24" s="56"/>
      <c r="AA24" s="57"/>
      <c r="AB24" s="21" t="s">
        <v>189</v>
      </c>
      <c r="AC24" s="21" t="s">
        <v>36</v>
      </c>
      <c r="AD24" s="29" t="s">
        <v>190</v>
      </c>
      <c r="AE24" s="30"/>
      <c r="AF24" s="30"/>
      <c r="AG24" s="30"/>
      <c r="AH24" s="30"/>
      <c r="AI24" s="30"/>
      <c r="AJ24" s="30"/>
      <c r="AK24" s="30"/>
      <c r="AL24" s="30"/>
      <c r="AM24" s="30"/>
      <c r="AN24" s="30"/>
      <c r="AO24" s="30"/>
    </row>
    <row r="25" spans="1:41" ht="30" customHeight="1">
      <c r="A25" s="31">
        <v>20</v>
      </c>
      <c r="B25" s="32">
        <f t="shared" ca="1" si="0"/>
        <v>45768.350109999999</v>
      </c>
      <c r="C25" s="66" t="s">
        <v>175</v>
      </c>
      <c r="D25" s="63"/>
      <c r="E25" s="79" t="s">
        <v>191</v>
      </c>
      <c r="F25" s="47" t="s">
        <v>58</v>
      </c>
      <c r="G25" s="21" t="s">
        <v>192</v>
      </c>
      <c r="H25" s="21" t="s">
        <v>193</v>
      </c>
      <c r="I25" s="21"/>
      <c r="J25" s="21"/>
      <c r="K25" s="21"/>
      <c r="L25" s="21"/>
      <c r="M25" s="21"/>
      <c r="N25" s="21"/>
      <c r="O25" s="21"/>
      <c r="P25" s="21"/>
      <c r="Q25" s="21" t="s">
        <v>194</v>
      </c>
      <c r="R25" s="58" t="s">
        <v>146</v>
      </c>
      <c r="S25" s="21" t="s">
        <v>36</v>
      </c>
      <c r="T25" s="21" t="s">
        <v>195</v>
      </c>
      <c r="U25" s="21" t="s">
        <v>38</v>
      </c>
      <c r="V25" s="21"/>
      <c r="W25" s="24" t="s">
        <v>40</v>
      </c>
      <c r="X25" s="65" t="s">
        <v>196</v>
      </c>
      <c r="Y25" s="80" t="s">
        <v>197</v>
      </c>
      <c r="Z25" s="56"/>
      <c r="AA25" s="3"/>
      <c r="AB25" s="21" t="s">
        <v>198</v>
      </c>
      <c r="AC25" s="21" t="s">
        <v>36</v>
      </c>
      <c r="AD25" s="29" t="s">
        <v>199</v>
      </c>
      <c r="AE25" s="30"/>
      <c r="AF25" s="30"/>
      <c r="AG25" s="30"/>
      <c r="AH25" s="30"/>
      <c r="AI25" s="30"/>
      <c r="AJ25" s="30"/>
      <c r="AK25" s="30"/>
      <c r="AL25" s="30"/>
      <c r="AM25" s="30"/>
      <c r="AN25" s="30"/>
      <c r="AO25" s="30"/>
    </row>
    <row r="26" spans="1:41" ht="30" customHeight="1">
      <c r="A26" s="31">
        <v>21</v>
      </c>
      <c r="B26" s="32">
        <f t="shared" ca="1" si="0"/>
        <v>45768.350109999999</v>
      </c>
      <c r="C26" s="66" t="s">
        <v>175</v>
      </c>
      <c r="D26" s="63"/>
      <c r="E26" s="74" t="s">
        <v>200</v>
      </c>
      <c r="F26" s="47" t="s">
        <v>201</v>
      </c>
      <c r="G26" s="21" t="s">
        <v>193</v>
      </c>
      <c r="H26" s="21" t="s">
        <v>192</v>
      </c>
      <c r="I26" s="21"/>
      <c r="J26" s="21"/>
      <c r="K26" s="21"/>
      <c r="L26" s="21"/>
      <c r="M26" s="21"/>
      <c r="N26" s="21"/>
      <c r="O26" s="81"/>
      <c r="P26" s="81"/>
      <c r="Q26" s="21" t="s">
        <v>202</v>
      </c>
      <c r="R26" s="58" t="s">
        <v>146</v>
      </c>
      <c r="S26" s="21" t="s">
        <v>36</v>
      </c>
      <c r="T26" s="21" t="s">
        <v>195</v>
      </c>
      <c r="U26" s="21" t="s">
        <v>38</v>
      </c>
      <c r="V26" s="21"/>
      <c r="W26" s="24" t="s">
        <v>40</v>
      </c>
      <c r="X26" s="65" t="s">
        <v>203</v>
      </c>
      <c r="Y26" s="65" t="s">
        <v>204</v>
      </c>
      <c r="Z26" s="82"/>
      <c r="AA26" s="3"/>
      <c r="AB26" s="21" t="s">
        <v>205</v>
      </c>
      <c r="AC26" s="21" t="s">
        <v>36</v>
      </c>
      <c r="AD26" s="29" t="s">
        <v>206</v>
      </c>
      <c r="AE26" s="30"/>
      <c r="AF26" s="30"/>
      <c r="AG26" s="30"/>
      <c r="AH26" s="30"/>
      <c r="AI26" s="30"/>
      <c r="AJ26" s="30"/>
      <c r="AK26" s="30"/>
      <c r="AL26" s="30"/>
      <c r="AM26" s="30"/>
      <c r="AN26" s="30"/>
      <c r="AO26" s="30"/>
    </row>
    <row r="27" spans="1:41" ht="30" customHeight="1">
      <c r="A27" s="31">
        <v>22</v>
      </c>
      <c r="B27" s="32">
        <f t="shared" ca="1" si="0"/>
        <v>45768.350109999999</v>
      </c>
      <c r="C27" s="66" t="s">
        <v>175</v>
      </c>
      <c r="D27" s="63"/>
      <c r="E27" s="74" t="s">
        <v>207</v>
      </c>
      <c r="F27" s="47" t="s">
        <v>201</v>
      </c>
      <c r="G27" s="21" t="s">
        <v>193</v>
      </c>
      <c r="H27" s="54" t="s">
        <v>192</v>
      </c>
      <c r="I27" s="21"/>
      <c r="J27" s="21"/>
      <c r="K27" s="21"/>
      <c r="L27" s="21"/>
      <c r="M27" s="21"/>
      <c r="N27" s="21"/>
      <c r="O27" s="21"/>
      <c r="P27" s="21"/>
      <c r="Q27" s="21" t="s">
        <v>208</v>
      </c>
      <c r="R27" s="58" t="s">
        <v>146</v>
      </c>
      <c r="S27" s="21" t="s">
        <v>36</v>
      </c>
      <c r="T27" s="83" t="s">
        <v>195</v>
      </c>
      <c r="U27" s="21" t="s">
        <v>38</v>
      </c>
      <c r="V27" s="21"/>
      <c r="W27" s="24" t="s">
        <v>40</v>
      </c>
      <c r="X27" s="65" t="s">
        <v>209</v>
      </c>
      <c r="Y27" s="65" t="s">
        <v>210</v>
      </c>
      <c r="Z27" s="84"/>
      <c r="AA27" s="3"/>
      <c r="AB27" s="21" t="s">
        <v>211</v>
      </c>
      <c r="AC27" s="21" t="s">
        <v>36</v>
      </c>
      <c r="AD27" s="29" t="s">
        <v>212</v>
      </c>
      <c r="AE27" s="30"/>
      <c r="AF27" s="30"/>
      <c r="AG27" s="30"/>
      <c r="AH27" s="30"/>
      <c r="AI27" s="30"/>
      <c r="AJ27" s="30"/>
      <c r="AK27" s="30"/>
      <c r="AL27" s="30"/>
      <c r="AM27" s="30"/>
      <c r="AN27" s="30"/>
      <c r="AO27" s="30"/>
    </row>
    <row r="28" spans="1:41" ht="30" customHeight="1">
      <c r="A28" s="31">
        <v>23</v>
      </c>
      <c r="B28" s="32">
        <f t="shared" ca="1" si="0"/>
        <v>45768.360760000003</v>
      </c>
      <c r="C28" s="85"/>
      <c r="D28" s="63" t="s">
        <v>119</v>
      </c>
      <c r="E28" s="79" t="s">
        <v>191</v>
      </c>
      <c r="F28" s="58" t="s">
        <v>201</v>
      </c>
      <c r="G28" s="21" t="s">
        <v>193</v>
      </c>
      <c r="H28" s="21"/>
      <c r="I28" s="21"/>
      <c r="J28" s="21"/>
      <c r="K28" s="21"/>
      <c r="L28" s="21"/>
      <c r="M28" s="21"/>
      <c r="N28" s="21"/>
      <c r="O28" s="21"/>
      <c r="P28" s="21"/>
      <c r="Q28" s="21" t="s">
        <v>194</v>
      </c>
      <c r="R28" s="58" t="s">
        <v>146</v>
      </c>
      <c r="S28" s="21" t="s">
        <v>36</v>
      </c>
      <c r="T28" s="21" t="s">
        <v>195</v>
      </c>
      <c r="U28" s="21" t="s">
        <v>38</v>
      </c>
      <c r="V28" s="21"/>
      <c r="W28" s="24" t="s">
        <v>40</v>
      </c>
      <c r="X28" s="65" t="s">
        <v>196</v>
      </c>
      <c r="Y28" s="80" t="s">
        <v>197</v>
      </c>
      <c r="Z28" s="56"/>
      <c r="AB28" s="21" t="s">
        <v>213</v>
      </c>
      <c r="AC28" s="21" t="s">
        <v>36</v>
      </c>
      <c r="AD28" s="29" t="s">
        <v>214</v>
      </c>
      <c r="AE28" s="73"/>
      <c r="AF28" s="73"/>
      <c r="AG28" s="73"/>
      <c r="AH28" s="73"/>
      <c r="AI28" s="73"/>
      <c r="AJ28" s="73"/>
      <c r="AK28" s="73"/>
      <c r="AL28" s="73"/>
      <c r="AM28" s="73"/>
      <c r="AN28" s="73"/>
      <c r="AO28" s="73"/>
    </row>
    <row r="29" spans="1:41" ht="30" customHeight="1">
      <c r="A29" s="31">
        <v>24</v>
      </c>
      <c r="B29" s="32">
        <f t="shared" ca="1" si="0"/>
        <v>45768.365879999998</v>
      </c>
      <c r="C29" s="15"/>
      <c r="D29" s="63" t="s">
        <v>119</v>
      </c>
      <c r="E29" s="74" t="s">
        <v>200</v>
      </c>
      <c r="F29" s="58" t="s">
        <v>58</v>
      </c>
      <c r="G29" s="21" t="s">
        <v>192</v>
      </c>
      <c r="H29" s="21"/>
      <c r="I29" s="21"/>
      <c r="J29" s="21"/>
      <c r="K29" s="21"/>
      <c r="L29" s="21"/>
      <c r="M29" s="21"/>
      <c r="N29" s="21"/>
      <c r="O29" s="81"/>
      <c r="P29" s="81"/>
      <c r="Q29" s="21" t="s">
        <v>202</v>
      </c>
      <c r="R29" s="58" t="s">
        <v>146</v>
      </c>
      <c r="S29" s="21" t="s">
        <v>36</v>
      </c>
      <c r="T29" s="21" t="s">
        <v>195</v>
      </c>
      <c r="U29" s="21" t="s">
        <v>38</v>
      </c>
      <c r="V29" s="21"/>
      <c r="W29" s="24" t="s">
        <v>40</v>
      </c>
      <c r="X29" s="65" t="s">
        <v>203</v>
      </c>
      <c r="Y29" s="65" t="s">
        <v>204</v>
      </c>
      <c r="Z29" s="82"/>
      <c r="AA29" s="3"/>
      <c r="AB29" s="21" t="s">
        <v>215</v>
      </c>
      <c r="AC29" s="21" t="s">
        <v>36</v>
      </c>
      <c r="AD29" s="29" t="s">
        <v>216</v>
      </c>
      <c r="AE29" s="30"/>
      <c r="AF29" s="30"/>
      <c r="AG29" s="30"/>
      <c r="AH29" s="30"/>
      <c r="AI29" s="30"/>
      <c r="AJ29" s="30"/>
      <c r="AK29" s="30"/>
      <c r="AL29" s="30"/>
      <c r="AM29" s="30"/>
      <c r="AN29" s="30"/>
      <c r="AO29" s="30"/>
    </row>
    <row r="30" spans="1:41" ht="30" customHeight="1">
      <c r="A30" s="31">
        <v>25</v>
      </c>
      <c r="B30" s="32">
        <f t="shared" ca="1" si="0"/>
        <v>45768.368000000002</v>
      </c>
      <c r="C30" s="15"/>
      <c r="D30" s="63" t="s">
        <v>119</v>
      </c>
      <c r="E30" s="74" t="s">
        <v>207</v>
      </c>
      <c r="F30" s="58" t="s">
        <v>58</v>
      </c>
      <c r="G30" s="54" t="s">
        <v>192</v>
      </c>
      <c r="H30" s="54"/>
      <c r="I30" s="21"/>
      <c r="J30" s="21"/>
      <c r="K30" s="21"/>
      <c r="L30" s="21"/>
      <c r="M30" s="21"/>
      <c r="N30" s="21"/>
      <c r="O30" s="21"/>
      <c r="P30" s="21"/>
      <c r="Q30" s="21" t="s">
        <v>208</v>
      </c>
      <c r="R30" s="58" t="s">
        <v>146</v>
      </c>
      <c r="S30" s="21" t="s">
        <v>36</v>
      </c>
      <c r="T30" s="83" t="s">
        <v>195</v>
      </c>
      <c r="U30" s="21" t="s">
        <v>38</v>
      </c>
      <c r="V30" s="21"/>
      <c r="W30" s="24" t="s">
        <v>40</v>
      </c>
      <c r="X30" s="65" t="s">
        <v>209</v>
      </c>
      <c r="Y30" s="65" t="s">
        <v>210</v>
      </c>
      <c r="Z30" s="84"/>
      <c r="AA30" s="3"/>
      <c r="AB30" s="86" t="s">
        <v>217</v>
      </c>
      <c r="AC30" s="21" t="s">
        <v>36</v>
      </c>
      <c r="AD30" s="29" t="s">
        <v>218</v>
      </c>
      <c r="AE30" s="30"/>
      <c r="AF30" s="30"/>
      <c r="AG30" s="30"/>
      <c r="AH30" s="30"/>
      <c r="AI30" s="30"/>
      <c r="AJ30" s="30"/>
      <c r="AK30" s="30"/>
      <c r="AL30" s="30"/>
      <c r="AM30" s="30"/>
      <c r="AN30" s="30"/>
      <c r="AO30" s="30"/>
    </row>
    <row r="31" spans="1:41" ht="30" customHeight="1">
      <c r="A31" s="31">
        <v>26</v>
      </c>
      <c r="B31" s="32">
        <f t="shared" ca="1" si="0"/>
        <v>45770.546900000001</v>
      </c>
      <c r="C31" s="66" t="s">
        <v>175</v>
      </c>
      <c r="D31" s="63"/>
      <c r="E31" s="21" t="s">
        <v>219</v>
      </c>
      <c r="F31" s="47" t="s">
        <v>67</v>
      </c>
      <c r="G31" s="21" t="s">
        <v>111</v>
      </c>
      <c r="H31" s="21" t="s">
        <v>220</v>
      </c>
      <c r="I31" s="21"/>
      <c r="J31" s="21"/>
      <c r="K31" s="21"/>
      <c r="L31" s="21"/>
      <c r="M31" s="21"/>
      <c r="N31" s="21"/>
      <c r="O31" s="21"/>
      <c r="P31" s="21"/>
      <c r="Q31" s="21" t="s">
        <v>221</v>
      </c>
      <c r="R31" s="58" t="s">
        <v>146</v>
      </c>
      <c r="S31" s="21" t="s">
        <v>36</v>
      </c>
      <c r="T31" s="83" t="s">
        <v>222</v>
      </c>
      <c r="U31" s="21" t="s">
        <v>38</v>
      </c>
      <c r="V31" s="21"/>
      <c r="W31" s="24" t="s">
        <v>40</v>
      </c>
      <c r="X31" s="87" t="s">
        <v>223</v>
      </c>
      <c r="Y31" s="65" t="s">
        <v>224</v>
      </c>
      <c r="Z31" s="61" t="s">
        <v>225</v>
      </c>
      <c r="AA31" s="3"/>
      <c r="AB31" s="21" t="s">
        <v>226</v>
      </c>
      <c r="AC31" s="21" t="s">
        <v>36</v>
      </c>
      <c r="AD31" s="29" t="s">
        <v>227</v>
      </c>
      <c r="AE31" s="30"/>
      <c r="AF31" s="30"/>
      <c r="AG31" s="30"/>
      <c r="AH31" s="30"/>
      <c r="AI31" s="30"/>
      <c r="AJ31" s="30"/>
      <c r="AK31" s="30"/>
      <c r="AL31" s="30"/>
      <c r="AM31" s="30"/>
      <c r="AN31" s="30"/>
      <c r="AO31" s="30"/>
    </row>
    <row r="32" spans="1:41" ht="30" customHeight="1">
      <c r="A32" s="31">
        <v>27</v>
      </c>
      <c r="B32" s="32">
        <f t="shared" ca="1" si="0"/>
        <v>45770.550150000003</v>
      </c>
      <c r="C32" s="66" t="s">
        <v>175</v>
      </c>
      <c r="D32" s="63"/>
      <c r="E32" s="21" t="s">
        <v>228</v>
      </c>
      <c r="F32" s="47" t="s">
        <v>67</v>
      </c>
      <c r="G32" s="21" t="s">
        <v>229</v>
      </c>
      <c r="H32" s="21"/>
      <c r="I32" s="21"/>
      <c r="J32" s="21"/>
      <c r="K32" s="21"/>
      <c r="L32" s="21"/>
      <c r="M32" s="21"/>
      <c r="N32" s="21"/>
      <c r="O32" s="21"/>
      <c r="P32" s="21"/>
      <c r="Q32" s="21" t="s">
        <v>230</v>
      </c>
      <c r="R32" s="58" t="s">
        <v>35</v>
      </c>
      <c r="S32" s="21" t="s">
        <v>36</v>
      </c>
      <c r="T32" s="83" t="s">
        <v>231</v>
      </c>
      <c r="U32" s="21" t="s">
        <v>38</v>
      </c>
      <c r="V32" s="21" t="s">
        <v>39</v>
      </c>
      <c r="W32" s="24" t="s">
        <v>40</v>
      </c>
      <c r="X32" s="88" t="s">
        <v>232</v>
      </c>
      <c r="Y32" s="22" t="s">
        <v>233</v>
      </c>
      <c r="Z32" s="56"/>
      <c r="AA32" s="3"/>
      <c r="AB32" s="21" t="s">
        <v>234</v>
      </c>
      <c r="AC32" s="21" t="s">
        <v>36</v>
      </c>
      <c r="AD32" s="62" t="s">
        <v>235</v>
      </c>
      <c r="AE32" s="30"/>
      <c r="AF32" s="30"/>
      <c r="AG32" s="30"/>
      <c r="AH32" s="30"/>
      <c r="AI32" s="30"/>
      <c r="AJ32" s="30"/>
      <c r="AK32" s="30"/>
      <c r="AL32" s="30"/>
      <c r="AM32" s="30"/>
      <c r="AN32" s="30"/>
      <c r="AO32" s="30"/>
    </row>
    <row r="33" spans="1:41" ht="30" customHeight="1">
      <c r="A33" s="31">
        <v>28</v>
      </c>
      <c r="B33" s="32">
        <f t="shared" ca="1" si="0"/>
        <v>45775.630149999997</v>
      </c>
      <c r="C33" s="66" t="s">
        <v>175</v>
      </c>
      <c r="D33" s="63"/>
      <c r="E33" s="58" t="s">
        <v>236</v>
      </c>
      <c r="F33" s="47" t="s">
        <v>201</v>
      </c>
      <c r="G33" s="58" t="s">
        <v>237</v>
      </c>
      <c r="H33" s="21"/>
      <c r="I33" s="21"/>
      <c r="J33" s="21"/>
      <c r="K33" s="21"/>
      <c r="L33" s="21"/>
      <c r="M33" s="21"/>
      <c r="N33" s="21"/>
      <c r="O33" s="21"/>
      <c r="P33" s="21"/>
      <c r="Q33" s="21" t="s">
        <v>238</v>
      </c>
      <c r="R33" s="58" t="s">
        <v>35</v>
      </c>
      <c r="S33" s="21" t="s">
        <v>36</v>
      </c>
      <c r="T33" s="83" t="s">
        <v>239</v>
      </c>
      <c r="U33" s="21" t="s">
        <v>38</v>
      </c>
      <c r="V33" s="21" t="s">
        <v>39</v>
      </c>
      <c r="W33" s="24" t="s">
        <v>40</v>
      </c>
      <c r="X33" s="54" t="s">
        <v>240</v>
      </c>
      <c r="Y33" s="65" t="s">
        <v>241</v>
      </c>
      <c r="Z33" s="56"/>
      <c r="AB33" s="21" t="s">
        <v>242</v>
      </c>
      <c r="AC33" s="21" t="s">
        <v>36</v>
      </c>
      <c r="AD33" s="29" t="s">
        <v>243</v>
      </c>
      <c r="AE33" s="73"/>
      <c r="AF33" s="73"/>
      <c r="AG33" s="73"/>
      <c r="AH33" s="73"/>
      <c r="AI33" s="73"/>
      <c r="AJ33" s="73"/>
      <c r="AK33" s="73"/>
      <c r="AL33" s="73"/>
      <c r="AM33" s="73"/>
      <c r="AN33" s="73"/>
      <c r="AO33" s="73"/>
    </row>
    <row r="34" spans="1:41" ht="30" customHeight="1">
      <c r="A34" s="31">
        <v>29</v>
      </c>
      <c r="B34" s="32">
        <f t="shared" ca="1" si="0"/>
        <v>45775.78037</v>
      </c>
      <c r="C34" s="66" t="s">
        <v>175</v>
      </c>
      <c r="D34" s="63"/>
      <c r="E34" s="22" t="s">
        <v>244</v>
      </c>
      <c r="F34" s="36" t="s">
        <v>67</v>
      </c>
      <c r="G34" s="21" t="s">
        <v>68</v>
      </c>
      <c r="H34" s="21"/>
      <c r="I34" s="21"/>
      <c r="J34" s="21"/>
      <c r="K34" s="21"/>
      <c r="L34" s="21"/>
      <c r="M34" s="21"/>
      <c r="N34" s="21"/>
      <c r="O34" s="21"/>
      <c r="P34" s="21"/>
      <c r="Q34" s="21" t="s">
        <v>245</v>
      </c>
      <c r="R34" s="58" t="s">
        <v>35</v>
      </c>
      <c r="S34" s="21" t="s">
        <v>36</v>
      </c>
      <c r="T34" s="21" t="s">
        <v>246</v>
      </c>
      <c r="U34" s="21" t="s">
        <v>38</v>
      </c>
      <c r="V34" s="21" t="s">
        <v>39</v>
      </c>
      <c r="W34" s="24" t="s">
        <v>40</v>
      </c>
      <c r="X34" s="54" t="s">
        <v>247</v>
      </c>
      <c r="Y34" s="65" t="s">
        <v>248</v>
      </c>
      <c r="Z34" s="56"/>
      <c r="AA34" s="3"/>
      <c r="AB34" s="21" t="s">
        <v>249</v>
      </c>
      <c r="AC34" s="21" t="s">
        <v>36</v>
      </c>
      <c r="AD34" s="29" t="s">
        <v>250</v>
      </c>
      <c r="AE34" s="30"/>
      <c r="AF34" s="30"/>
      <c r="AG34" s="30"/>
      <c r="AH34" s="30"/>
      <c r="AI34" s="30"/>
      <c r="AJ34" s="30"/>
      <c r="AK34" s="30"/>
      <c r="AL34" s="30"/>
      <c r="AM34" s="30"/>
      <c r="AN34" s="30"/>
      <c r="AO34" s="30"/>
    </row>
    <row r="35" spans="1:41" ht="30" customHeight="1">
      <c r="A35" s="31">
        <v>30</v>
      </c>
      <c r="B35" s="32">
        <f t="shared" ca="1" si="0"/>
        <v>45780.486449999997</v>
      </c>
      <c r="C35" s="66" t="s">
        <v>251</v>
      </c>
      <c r="D35" s="63"/>
      <c r="E35" s="21" t="s">
        <v>252</v>
      </c>
      <c r="F35" s="47" t="s">
        <v>58</v>
      </c>
      <c r="G35" s="21" t="s">
        <v>92</v>
      </c>
      <c r="H35" s="21"/>
      <c r="I35" s="21"/>
      <c r="J35" s="21"/>
      <c r="K35" s="21"/>
      <c r="L35" s="21"/>
      <c r="M35" s="21"/>
      <c r="N35" s="21"/>
      <c r="O35" s="21"/>
      <c r="P35" s="21"/>
      <c r="Q35" s="21" t="s">
        <v>253</v>
      </c>
      <c r="R35" s="58" t="s">
        <v>35</v>
      </c>
      <c r="S35" s="21" t="s">
        <v>36</v>
      </c>
      <c r="T35" s="21" t="s">
        <v>254</v>
      </c>
      <c r="U35" s="21" t="s">
        <v>38</v>
      </c>
      <c r="V35" s="21" t="s">
        <v>78</v>
      </c>
      <c r="W35" s="24" t="s">
        <v>40</v>
      </c>
      <c r="X35" s="54" t="s">
        <v>255</v>
      </c>
      <c r="Y35" s="55" t="s">
        <v>256</v>
      </c>
      <c r="Z35" s="56"/>
      <c r="AA35" s="3"/>
      <c r="AB35" s="21" t="s">
        <v>257</v>
      </c>
      <c r="AC35" s="21" t="s">
        <v>36</v>
      </c>
      <c r="AD35" s="89" t="s">
        <v>258</v>
      </c>
      <c r="AE35" s="30"/>
      <c r="AF35" s="30"/>
      <c r="AG35" s="30"/>
      <c r="AH35" s="30"/>
      <c r="AI35" s="30"/>
      <c r="AJ35" s="30"/>
      <c r="AK35" s="30"/>
      <c r="AL35" s="30"/>
      <c r="AM35" s="30"/>
      <c r="AN35" s="30"/>
      <c r="AO35" s="30"/>
    </row>
    <row r="36" spans="1:41" ht="30" customHeight="1">
      <c r="A36" s="31">
        <v>31</v>
      </c>
      <c r="B36" s="32">
        <f t="shared" ca="1" si="0"/>
        <v>45780.48732</v>
      </c>
      <c r="C36" s="66" t="s">
        <v>251</v>
      </c>
      <c r="D36" s="63"/>
      <c r="E36" s="21" t="s">
        <v>259</v>
      </c>
      <c r="F36" s="47" t="s">
        <v>32</v>
      </c>
      <c r="G36" s="21" t="s">
        <v>260</v>
      </c>
      <c r="H36" s="21" t="s">
        <v>261</v>
      </c>
      <c r="I36" s="21" t="s">
        <v>262</v>
      </c>
      <c r="J36" s="21" t="s">
        <v>128</v>
      </c>
      <c r="K36" s="21" t="s">
        <v>263</v>
      </c>
      <c r="L36" s="21" t="s">
        <v>33</v>
      </c>
      <c r="M36" s="21" t="s">
        <v>264</v>
      </c>
      <c r="N36" s="21"/>
      <c r="O36" s="21"/>
      <c r="P36" s="21"/>
      <c r="Q36" s="21" t="s">
        <v>265</v>
      </c>
      <c r="R36" s="58" t="s">
        <v>35</v>
      </c>
      <c r="S36" s="21" t="s">
        <v>36</v>
      </c>
      <c r="T36" s="21" t="s">
        <v>266</v>
      </c>
      <c r="U36" s="21" t="s">
        <v>38</v>
      </c>
      <c r="V36" s="21" t="s">
        <v>86</v>
      </c>
      <c r="W36" s="24" t="s">
        <v>40</v>
      </c>
      <c r="X36" s="55" t="s">
        <v>267</v>
      </c>
      <c r="Y36" s="65" t="s">
        <v>268</v>
      </c>
      <c r="Z36" s="56"/>
      <c r="AA36" s="3"/>
      <c r="AB36" s="34" t="s">
        <v>269</v>
      </c>
      <c r="AC36" s="21" t="s">
        <v>36</v>
      </c>
      <c r="AD36" s="29" t="s">
        <v>270</v>
      </c>
      <c r="AE36" s="30"/>
      <c r="AF36" s="30"/>
      <c r="AG36" s="30"/>
      <c r="AH36" s="30"/>
      <c r="AI36" s="30"/>
      <c r="AJ36" s="30"/>
      <c r="AK36" s="30"/>
      <c r="AL36" s="30"/>
      <c r="AM36" s="30"/>
      <c r="AN36" s="30"/>
      <c r="AO36" s="30"/>
    </row>
    <row r="37" spans="1:41" ht="30" customHeight="1">
      <c r="A37" s="31">
        <v>32</v>
      </c>
      <c r="B37" s="32">
        <f t="shared" ca="1" si="0"/>
        <v>45832.682560000001</v>
      </c>
      <c r="C37" s="33" t="s">
        <v>271</v>
      </c>
      <c r="D37" s="63"/>
      <c r="E37" s="21" t="s">
        <v>272</v>
      </c>
      <c r="F37" s="47" t="s">
        <v>58</v>
      </c>
      <c r="G37" s="21" t="s">
        <v>59</v>
      </c>
      <c r="H37" s="21" t="s">
        <v>92</v>
      </c>
      <c r="I37" s="21" t="s">
        <v>192</v>
      </c>
      <c r="J37" s="21" t="s">
        <v>159</v>
      </c>
      <c r="K37" s="21" t="s">
        <v>273</v>
      </c>
      <c r="L37" s="21" t="s">
        <v>102</v>
      </c>
      <c r="M37" s="21" t="s">
        <v>274</v>
      </c>
      <c r="N37" s="21" t="s">
        <v>275</v>
      </c>
      <c r="O37" s="21" t="s">
        <v>169</v>
      </c>
      <c r="P37" s="21" t="s">
        <v>276</v>
      </c>
      <c r="Q37" s="21" t="s">
        <v>277</v>
      </c>
      <c r="R37" s="58" t="s">
        <v>139</v>
      </c>
      <c r="S37" s="21" t="s">
        <v>36</v>
      </c>
      <c r="T37" s="21" t="s">
        <v>278</v>
      </c>
      <c r="U37" s="21" t="s">
        <v>38</v>
      </c>
      <c r="V37" s="21"/>
      <c r="W37" s="24" t="s">
        <v>40</v>
      </c>
      <c r="X37" s="65" t="s">
        <v>279</v>
      </c>
      <c r="Y37" s="90" t="s">
        <v>280</v>
      </c>
      <c r="Z37" s="56"/>
      <c r="AA37" s="3"/>
      <c r="AB37" s="21" t="s">
        <v>281</v>
      </c>
      <c r="AC37" s="21" t="s">
        <v>36</v>
      </c>
      <c r="AD37" s="29" t="s">
        <v>282</v>
      </c>
      <c r="AE37" s="30"/>
      <c r="AF37" s="30"/>
      <c r="AG37" s="30"/>
      <c r="AH37" s="30"/>
      <c r="AI37" s="30"/>
      <c r="AJ37" s="30"/>
      <c r="AK37" s="30"/>
      <c r="AL37" s="30"/>
      <c r="AM37" s="30"/>
      <c r="AN37" s="30"/>
      <c r="AO37" s="30"/>
    </row>
    <row r="38" spans="1:41" ht="30" customHeight="1">
      <c r="A38" s="31">
        <v>33</v>
      </c>
      <c r="B38" s="32">
        <f t="shared" ca="1" si="0"/>
        <v>45800.192580000003</v>
      </c>
      <c r="C38" s="66" t="s">
        <v>251</v>
      </c>
      <c r="D38" s="63"/>
      <c r="E38" s="91" t="s">
        <v>283</v>
      </c>
      <c r="F38" s="47" t="s">
        <v>32</v>
      </c>
      <c r="G38" s="21" t="s">
        <v>260</v>
      </c>
      <c r="H38" s="21"/>
      <c r="I38" s="21"/>
      <c r="J38" s="21"/>
      <c r="K38" s="21"/>
      <c r="L38" s="21"/>
      <c r="M38" s="21"/>
      <c r="N38" s="21"/>
      <c r="O38" s="21"/>
      <c r="P38" s="21"/>
      <c r="Q38" s="21" t="s">
        <v>284</v>
      </c>
      <c r="R38" s="58" t="s">
        <v>35</v>
      </c>
      <c r="S38" s="21" t="s">
        <v>36</v>
      </c>
      <c r="T38" s="92" t="s">
        <v>285</v>
      </c>
      <c r="U38" s="21" t="s">
        <v>38</v>
      </c>
      <c r="V38" s="21" t="s">
        <v>86</v>
      </c>
      <c r="W38" s="24" t="s">
        <v>40</v>
      </c>
      <c r="X38" s="54" t="s">
        <v>286</v>
      </c>
      <c r="Y38" s="93" t="s">
        <v>287</v>
      </c>
      <c r="Z38" s="56"/>
      <c r="AA38" s="3"/>
      <c r="AB38" s="94" t="s">
        <v>288</v>
      </c>
      <c r="AC38" s="21" t="s">
        <v>140</v>
      </c>
      <c r="AD38" s="95" t="s">
        <v>289</v>
      </c>
      <c r="AE38" s="30"/>
      <c r="AF38" s="30"/>
      <c r="AG38" s="30"/>
      <c r="AH38" s="30"/>
      <c r="AI38" s="30"/>
      <c r="AJ38" s="30"/>
      <c r="AK38" s="30"/>
      <c r="AL38" s="30"/>
      <c r="AM38" s="30"/>
      <c r="AN38" s="30"/>
      <c r="AO38" s="30"/>
    </row>
    <row r="39" spans="1:41" ht="30" customHeight="1">
      <c r="A39" s="96">
        <v>34</v>
      </c>
      <c r="B39" s="32">
        <f t="shared" ca="1" si="0"/>
        <v>45803.31091</v>
      </c>
      <c r="C39" s="66" t="s">
        <v>251</v>
      </c>
      <c r="D39" s="63"/>
      <c r="E39" s="22" t="s">
        <v>290</v>
      </c>
      <c r="F39" s="47" t="s">
        <v>49</v>
      </c>
      <c r="G39" s="21" t="s">
        <v>291</v>
      </c>
      <c r="H39" s="21"/>
      <c r="I39" s="21"/>
      <c r="J39" s="21"/>
      <c r="K39" s="21"/>
      <c r="L39" s="21"/>
      <c r="M39" s="21"/>
      <c r="N39" s="21"/>
      <c r="O39" s="21"/>
      <c r="P39" s="21"/>
      <c r="Q39" s="21" t="s">
        <v>292</v>
      </c>
      <c r="R39" s="58" t="s">
        <v>35</v>
      </c>
      <c r="S39" s="21" t="s">
        <v>36</v>
      </c>
      <c r="T39" s="21" t="s">
        <v>293</v>
      </c>
      <c r="U39" s="21" t="s">
        <v>38</v>
      </c>
      <c r="V39" s="21" t="s">
        <v>78</v>
      </c>
      <c r="W39" s="24" t="s">
        <v>40</v>
      </c>
      <c r="X39" s="65" t="s">
        <v>294</v>
      </c>
      <c r="Y39" s="65" t="s">
        <v>295</v>
      </c>
      <c r="Z39" s="56"/>
      <c r="AA39" s="3"/>
      <c r="AB39" s="21" t="s">
        <v>296</v>
      </c>
      <c r="AC39" s="21" t="s">
        <v>36</v>
      </c>
      <c r="AD39" s="29" t="s">
        <v>297</v>
      </c>
      <c r="AE39" s="30"/>
      <c r="AF39" s="30"/>
      <c r="AG39" s="30"/>
      <c r="AH39" s="30"/>
      <c r="AI39" s="30"/>
      <c r="AJ39" s="30"/>
      <c r="AK39" s="30"/>
      <c r="AL39" s="30"/>
      <c r="AM39" s="30"/>
      <c r="AN39" s="30"/>
      <c r="AO39" s="30"/>
    </row>
    <row r="40" spans="1:41" ht="30" customHeight="1">
      <c r="A40" s="96">
        <v>35</v>
      </c>
      <c r="B40" s="32">
        <f t="shared" ca="1" si="0"/>
        <v>45803.609320000003</v>
      </c>
      <c r="C40" s="97" t="s">
        <v>271</v>
      </c>
      <c r="D40" s="98"/>
      <c r="E40" s="99" t="s">
        <v>298</v>
      </c>
      <c r="F40" s="47" t="s">
        <v>32</v>
      </c>
      <c r="G40" s="3" t="s">
        <v>263</v>
      </c>
      <c r="H40" s="34" t="s">
        <v>33</v>
      </c>
      <c r="I40" s="3" t="s">
        <v>128</v>
      </c>
      <c r="J40" s="3" t="s">
        <v>262</v>
      </c>
      <c r="K40" s="3" t="s">
        <v>261</v>
      </c>
      <c r="L40" s="3" t="s">
        <v>260</v>
      </c>
      <c r="M40" s="3"/>
      <c r="N40" s="3"/>
      <c r="O40" s="3"/>
      <c r="P40" s="3"/>
      <c r="Q40" s="3"/>
      <c r="R40" s="100" t="s">
        <v>35</v>
      </c>
      <c r="S40" s="34" t="s">
        <v>36</v>
      </c>
      <c r="T40" s="101" t="s">
        <v>299</v>
      </c>
      <c r="U40" s="34" t="s">
        <v>38</v>
      </c>
      <c r="V40" s="34" t="s">
        <v>39</v>
      </c>
      <c r="W40" s="24" t="s">
        <v>40</v>
      </c>
      <c r="X40" s="102" t="s">
        <v>300</v>
      </c>
      <c r="Y40" s="102" t="s">
        <v>301</v>
      </c>
      <c r="Z40" s="103"/>
      <c r="AA40" s="3"/>
      <c r="AB40" s="86" t="s">
        <v>302</v>
      </c>
      <c r="AC40" s="21" t="s">
        <v>36</v>
      </c>
      <c r="AD40" s="29" t="s">
        <v>303</v>
      </c>
      <c r="AE40" s="30"/>
      <c r="AF40" s="30"/>
      <c r="AG40" s="30"/>
      <c r="AH40" s="30"/>
      <c r="AI40" s="30"/>
      <c r="AJ40" s="30"/>
      <c r="AK40" s="30"/>
      <c r="AL40" s="30"/>
      <c r="AM40" s="30"/>
      <c r="AN40" s="30"/>
      <c r="AO40" s="30"/>
    </row>
    <row r="41" spans="1:41" ht="30" customHeight="1">
      <c r="A41" s="31">
        <v>36</v>
      </c>
      <c r="B41" s="32">
        <f t="shared" ca="1" si="0"/>
        <v>45804.840989999997</v>
      </c>
      <c r="C41" s="97" t="s">
        <v>271</v>
      </c>
      <c r="D41" s="104"/>
      <c r="E41" s="22" t="s">
        <v>304</v>
      </c>
      <c r="F41" s="47" t="s">
        <v>58</v>
      </c>
      <c r="G41" s="21" t="s">
        <v>273</v>
      </c>
      <c r="H41" s="21" t="s">
        <v>274</v>
      </c>
      <c r="I41" s="21" t="s">
        <v>102</v>
      </c>
      <c r="J41" s="21"/>
      <c r="K41" s="21"/>
      <c r="L41" s="21"/>
      <c r="M41" s="21"/>
      <c r="N41" s="21"/>
      <c r="O41" s="21"/>
      <c r="P41" s="21"/>
      <c r="Q41" s="21" t="s">
        <v>305</v>
      </c>
      <c r="R41" s="58" t="s">
        <v>146</v>
      </c>
      <c r="S41" s="21" t="s">
        <v>36</v>
      </c>
      <c r="T41" s="21" t="s">
        <v>306</v>
      </c>
      <c r="U41" s="34" t="s">
        <v>38</v>
      </c>
      <c r="V41" s="21"/>
      <c r="W41" s="24" t="s">
        <v>40</v>
      </c>
      <c r="X41" s="55" t="s">
        <v>307</v>
      </c>
      <c r="Y41" s="65" t="s">
        <v>308</v>
      </c>
      <c r="Z41" s="61" t="s">
        <v>309</v>
      </c>
      <c r="AA41" s="3"/>
      <c r="AB41" s="21" t="s">
        <v>310</v>
      </c>
      <c r="AC41" s="21" t="s">
        <v>36</v>
      </c>
      <c r="AD41" s="29" t="s">
        <v>311</v>
      </c>
      <c r="AE41" s="30"/>
      <c r="AF41" s="30"/>
      <c r="AG41" s="30"/>
      <c r="AH41" s="30"/>
      <c r="AI41" s="30"/>
      <c r="AJ41" s="30"/>
      <c r="AK41" s="30"/>
      <c r="AL41" s="30"/>
      <c r="AM41" s="30"/>
      <c r="AN41" s="30"/>
      <c r="AO41" s="30"/>
    </row>
    <row r="42" spans="1:41" ht="30" customHeight="1">
      <c r="A42" s="31">
        <v>37</v>
      </c>
      <c r="B42" s="32">
        <f t="shared" ca="1" si="0"/>
        <v>45804.857360000002</v>
      </c>
      <c r="C42" s="66" t="s">
        <v>251</v>
      </c>
      <c r="D42" s="63"/>
      <c r="E42" s="22" t="s">
        <v>312</v>
      </c>
      <c r="F42" s="47" t="s">
        <v>49</v>
      </c>
      <c r="G42" s="21" t="s">
        <v>112</v>
      </c>
      <c r="H42" s="21"/>
      <c r="I42" s="21"/>
      <c r="J42" s="21"/>
      <c r="K42" s="21"/>
      <c r="L42" s="21"/>
      <c r="M42" s="21"/>
      <c r="N42" s="21"/>
      <c r="O42" s="21"/>
      <c r="P42" s="21"/>
      <c r="Q42" s="21" t="s">
        <v>313</v>
      </c>
      <c r="R42" s="58" t="s">
        <v>35</v>
      </c>
      <c r="S42" s="21" t="s">
        <v>36</v>
      </c>
      <c r="T42" s="21" t="s">
        <v>314</v>
      </c>
      <c r="U42" s="34" t="s">
        <v>38</v>
      </c>
      <c r="V42" s="21" t="s">
        <v>39</v>
      </c>
      <c r="W42" s="24" t="s">
        <v>40</v>
      </c>
      <c r="X42" s="87" t="s">
        <v>315</v>
      </c>
      <c r="Y42" s="55" t="s">
        <v>316</v>
      </c>
      <c r="Z42" s="61"/>
      <c r="AA42" s="3"/>
      <c r="AB42" s="21" t="s">
        <v>317</v>
      </c>
      <c r="AC42" s="21" t="s">
        <v>36</v>
      </c>
      <c r="AD42" s="62" t="s">
        <v>318</v>
      </c>
      <c r="AE42" s="30"/>
      <c r="AF42" s="30"/>
      <c r="AG42" s="30"/>
      <c r="AH42" s="30"/>
      <c r="AI42" s="30"/>
      <c r="AJ42" s="30"/>
      <c r="AK42" s="30"/>
      <c r="AL42" s="30"/>
      <c r="AM42" s="30"/>
      <c r="AN42" s="30"/>
      <c r="AO42" s="30"/>
    </row>
    <row r="43" spans="1:41" ht="30" customHeight="1">
      <c r="A43" s="31">
        <v>38</v>
      </c>
      <c r="B43" s="32">
        <f t="shared" ca="1" si="0"/>
        <v>45805.370040000002</v>
      </c>
      <c r="C43" s="105"/>
      <c r="D43" s="63"/>
      <c r="E43" s="106" t="s">
        <v>319</v>
      </c>
      <c r="F43" s="58" t="s">
        <v>58</v>
      </c>
      <c r="G43" s="58" t="s">
        <v>273</v>
      </c>
      <c r="H43" s="21"/>
      <c r="I43" s="21"/>
      <c r="J43" s="21"/>
      <c r="K43" s="21"/>
      <c r="L43" s="21"/>
      <c r="M43" s="21"/>
      <c r="N43" s="21"/>
      <c r="O43" s="21"/>
      <c r="P43" s="21"/>
      <c r="Q43" s="21" t="s">
        <v>320</v>
      </c>
      <c r="R43" s="58" t="s">
        <v>139</v>
      </c>
      <c r="S43" s="21" t="s">
        <v>140</v>
      </c>
      <c r="T43" s="21" t="s">
        <v>321</v>
      </c>
      <c r="U43" s="21" t="s">
        <v>38</v>
      </c>
      <c r="V43" s="21"/>
      <c r="W43" s="24" t="s">
        <v>40</v>
      </c>
      <c r="X43" s="65" t="s">
        <v>322</v>
      </c>
      <c r="Y43" s="107"/>
      <c r="Z43" s="61" t="s">
        <v>323</v>
      </c>
      <c r="AB43" s="21" t="s">
        <v>324</v>
      </c>
      <c r="AC43" s="21" t="s">
        <v>36</v>
      </c>
      <c r="AD43" s="108" t="s">
        <v>325</v>
      </c>
      <c r="AE43" s="109"/>
      <c r="AF43" s="109"/>
      <c r="AG43" s="109"/>
      <c r="AH43" s="109"/>
      <c r="AI43" s="109"/>
      <c r="AJ43" s="109"/>
      <c r="AK43" s="109"/>
      <c r="AL43" s="109"/>
      <c r="AM43" s="109"/>
      <c r="AN43" s="109"/>
      <c r="AO43" s="109"/>
    </row>
    <row r="44" spans="1:41" ht="30" customHeight="1">
      <c r="A44" s="31">
        <v>39</v>
      </c>
      <c r="B44" s="32">
        <f t="shared" ca="1" si="0"/>
        <v>45805.378429999997</v>
      </c>
      <c r="C44" s="66" t="s">
        <v>326</v>
      </c>
      <c r="D44" s="63"/>
      <c r="E44" s="22" t="s">
        <v>327</v>
      </c>
      <c r="F44" s="47" t="s">
        <v>58</v>
      </c>
      <c r="G44" s="21" t="s">
        <v>273</v>
      </c>
      <c r="H44" s="21"/>
      <c r="I44" s="21"/>
      <c r="J44" s="21"/>
      <c r="K44" s="21"/>
      <c r="L44" s="21"/>
      <c r="M44" s="21"/>
      <c r="N44" s="21"/>
      <c r="O44" s="21"/>
      <c r="P44" s="21"/>
      <c r="Q44" s="21" t="s">
        <v>328</v>
      </c>
      <c r="R44" s="58" t="s">
        <v>35</v>
      </c>
      <c r="S44" s="21" t="s">
        <v>36</v>
      </c>
      <c r="T44" s="21" t="s">
        <v>85</v>
      </c>
      <c r="U44" s="21" t="s">
        <v>38</v>
      </c>
      <c r="V44" s="21" t="s">
        <v>329</v>
      </c>
      <c r="W44" s="24" t="s">
        <v>40</v>
      </c>
      <c r="X44" s="54" t="s">
        <v>330</v>
      </c>
      <c r="Y44" s="110" t="s">
        <v>331</v>
      </c>
      <c r="Z44" s="61"/>
      <c r="AA44" s="3"/>
      <c r="AB44" s="21" t="s">
        <v>332</v>
      </c>
      <c r="AC44" s="21" t="s">
        <v>36</v>
      </c>
      <c r="AD44" s="29" t="s">
        <v>333</v>
      </c>
      <c r="AE44" s="3"/>
      <c r="AF44" s="3"/>
      <c r="AG44" s="3"/>
      <c r="AH44" s="3"/>
      <c r="AI44" s="3"/>
      <c r="AJ44" s="3"/>
      <c r="AK44" s="3"/>
      <c r="AL44" s="3"/>
      <c r="AM44" s="3"/>
      <c r="AN44" s="3"/>
      <c r="AO44" s="3"/>
    </row>
    <row r="45" spans="1:41" ht="30" customHeight="1">
      <c r="A45" s="31">
        <v>40</v>
      </c>
      <c r="B45" s="32">
        <f t="shared" ca="1" si="0"/>
        <v>45805.429499999998</v>
      </c>
      <c r="C45" s="66" t="s">
        <v>334</v>
      </c>
      <c r="D45" s="63"/>
      <c r="E45" s="111" t="s">
        <v>335</v>
      </c>
      <c r="F45" s="47" t="s">
        <v>58</v>
      </c>
      <c r="G45" s="21" t="s">
        <v>102</v>
      </c>
      <c r="H45" s="21"/>
      <c r="I45" s="21"/>
      <c r="J45" s="21"/>
      <c r="K45" s="21"/>
      <c r="L45" s="21"/>
      <c r="M45" s="21"/>
      <c r="N45" s="21"/>
      <c r="O45" s="21"/>
      <c r="P45" s="112"/>
      <c r="Q45" s="21" t="s">
        <v>336</v>
      </c>
      <c r="R45" s="58" t="s">
        <v>35</v>
      </c>
      <c r="S45" s="21" t="s">
        <v>36</v>
      </c>
      <c r="T45" s="21" t="s">
        <v>337</v>
      </c>
      <c r="U45" s="21" t="s">
        <v>38</v>
      </c>
      <c r="V45" s="21" t="s">
        <v>78</v>
      </c>
      <c r="W45" s="24" t="s">
        <v>40</v>
      </c>
      <c r="X45" s="54" t="s">
        <v>338</v>
      </c>
      <c r="Y45" s="113" t="s">
        <v>339</v>
      </c>
      <c r="Z45" s="61"/>
      <c r="AA45" s="3"/>
      <c r="AB45" s="21" t="s">
        <v>340</v>
      </c>
      <c r="AC45" s="21" t="s">
        <v>36</v>
      </c>
      <c r="AD45" s="29" t="s">
        <v>341</v>
      </c>
      <c r="AE45" s="3"/>
      <c r="AF45" s="3"/>
      <c r="AG45" s="3"/>
      <c r="AH45" s="3"/>
      <c r="AI45" s="3"/>
      <c r="AJ45" s="3"/>
      <c r="AK45" s="3"/>
      <c r="AL45" s="3"/>
      <c r="AM45" s="3"/>
      <c r="AN45" s="3"/>
      <c r="AO45" s="3"/>
    </row>
    <row r="46" spans="1:41" ht="30" customHeight="1">
      <c r="A46" s="31">
        <v>41</v>
      </c>
      <c r="B46" s="32">
        <f t="shared" ca="1" si="0"/>
        <v>45805.432979999998</v>
      </c>
      <c r="C46" s="66"/>
      <c r="D46" s="63"/>
      <c r="E46" s="114" t="s">
        <v>342</v>
      </c>
      <c r="F46" s="58" t="s">
        <v>58</v>
      </c>
      <c r="G46" s="21" t="s">
        <v>102</v>
      </c>
      <c r="H46" s="21"/>
      <c r="I46" s="21"/>
      <c r="J46" s="21"/>
      <c r="K46" s="21"/>
      <c r="L46" s="21"/>
      <c r="M46" s="21"/>
      <c r="N46" s="21"/>
      <c r="O46" s="21"/>
      <c r="P46" s="21"/>
      <c r="Q46" s="21" t="s">
        <v>343</v>
      </c>
      <c r="R46" s="58" t="s">
        <v>35</v>
      </c>
      <c r="S46" s="21" t="s">
        <v>344</v>
      </c>
      <c r="T46" s="21" t="s">
        <v>345</v>
      </c>
      <c r="U46" s="21" t="s">
        <v>38</v>
      </c>
      <c r="V46" s="21" t="s">
        <v>78</v>
      </c>
      <c r="W46" s="24" t="s">
        <v>40</v>
      </c>
      <c r="X46" s="89"/>
      <c r="Y46" s="29"/>
      <c r="Z46" s="61"/>
      <c r="AA46" s="3"/>
      <c r="AB46" s="115" t="s">
        <v>346</v>
      </c>
      <c r="AC46" s="116" t="s">
        <v>36</v>
      </c>
      <c r="AD46" s="117" t="s">
        <v>347</v>
      </c>
      <c r="AE46" s="3"/>
      <c r="AF46" s="3"/>
      <c r="AG46" s="3"/>
      <c r="AH46" s="3"/>
      <c r="AI46" s="3"/>
      <c r="AJ46" s="3"/>
      <c r="AK46" s="3"/>
      <c r="AL46" s="3"/>
      <c r="AM46" s="3"/>
      <c r="AN46" s="3"/>
      <c r="AO46" s="3"/>
    </row>
    <row r="47" spans="1:41" ht="30" customHeight="1">
      <c r="A47" s="31">
        <v>42</v>
      </c>
      <c r="B47" s="32">
        <f t="shared" ca="1" si="0"/>
        <v>45805.582410000003</v>
      </c>
      <c r="C47" s="66" t="s">
        <v>251</v>
      </c>
      <c r="D47" s="63"/>
      <c r="E47" s="22" t="s">
        <v>348</v>
      </c>
      <c r="F47" s="47" t="s">
        <v>58</v>
      </c>
      <c r="G47" s="21" t="s">
        <v>59</v>
      </c>
      <c r="H47" s="21" t="s">
        <v>192</v>
      </c>
      <c r="I47" s="21"/>
      <c r="J47" s="21"/>
      <c r="K47" s="21"/>
      <c r="L47" s="21"/>
      <c r="M47" s="21"/>
      <c r="N47" s="21"/>
      <c r="O47" s="21"/>
      <c r="P47" s="21"/>
      <c r="Q47" s="118" t="s">
        <v>349</v>
      </c>
      <c r="R47" s="58" t="s">
        <v>35</v>
      </c>
      <c r="S47" s="21" t="s">
        <v>36</v>
      </c>
      <c r="T47" s="21" t="s">
        <v>350</v>
      </c>
      <c r="U47" s="21" t="s">
        <v>38</v>
      </c>
      <c r="V47" s="21" t="s">
        <v>39</v>
      </c>
      <c r="W47" s="24" t="s">
        <v>40</v>
      </c>
      <c r="X47" s="54" t="s">
        <v>351</v>
      </c>
      <c r="Y47" s="119" t="s">
        <v>352</v>
      </c>
      <c r="Z47" s="56"/>
      <c r="AA47" s="3"/>
      <c r="AB47" s="120" t="s">
        <v>353</v>
      </c>
      <c r="AC47" s="116" t="s">
        <v>36</v>
      </c>
      <c r="AD47" s="108" t="s">
        <v>354</v>
      </c>
      <c r="AE47" s="3"/>
      <c r="AF47" s="3"/>
      <c r="AG47" s="3"/>
      <c r="AH47" s="3"/>
      <c r="AI47" s="3"/>
      <c r="AJ47" s="3"/>
      <c r="AK47" s="3"/>
      <c r="AL47" s="3"/>
      <c r="AM47" s="3"/>
      <c r="AN47" s="3"/>
      <c r="AO47" s="3"/>
    </row>
    <row r="48" spans="1:41" ht="30" customHeight="1">
      <c r="A48" s="31">
        <v>43</v>
      </c>
      <c r="B48" s="32">
        <f t="shared" ca="1" si="0"/>
        <v>45805.677949999998</v>
      </c>
      <c r="C48" s="66"/>
      <c r="D48" s="63"/>
      <c r="E48" s="106" t="s">
        <v>355</v>
      </c>
      <c r="F48" s="58" t="s">
        <v>201</v>
      </c>
      <c r="G48" s="58" t="s">
        <v>356</v>
      </c>
      <c r="H48" s="21" t="s">
        <v>357</v>
      </c>
      <c r="I48" s="21" t="s">
        <v>237</v>
      </c>
      <c r="J48" s="21" t="s">
        <v>358</v>
      </c>
      <c r="K48" s="21" t="s">
        <v>359</v>
      </c>
      <c r="L48" s="21" t="s">
        <v>360</v>
      </c>
      <c r="M48" s="21"/>
      <c r="N48" s="21"/>
      <c r="O48" s="21"/>
      <c r="P48" s="21"/>
      <c r="Q48" s="21" t="s">
        <v>361</v>
      </c>
      <c r="R48" s="58" t="s">
        <v>139</v>
      </c>
      <c r="S48" s="21" t="s">
        <v>140</v>
      </c>
      <c r="T48" s="21" t="s">
        <v>362</v>
      </c>
      <c r="U48" s="21"/>
      <c r="V48" s="21"/>
      <c r="W48" s="24" t="s">
        <v>40</v>
      </c>
      <c r="X48" s="59"/>
      <c r="Y48" s="29"/>
      <c r="Z48" s="121"/>
      <c r="AB48" s="122" t="s">
        <v>363</v>
      </c>
      <c r="AC48" s="21" t="s">
        <v>36</v>
      </c>
      <c r="AD48" s="95" t="s">
        <v>364</v>
      </c>
      <c r="AE48" s="109"/>
      <c r="AF48" s="109"/>
      <c r="AG48" s="109"/>
      <c r="AH48" s="109"/>
      <c r="AI48" s="109"/>
      <c r="AJ48" s="109"/>
      <c r="AK48" s="109"/>
      <c r="AL48" s="109"/>
      <c r="AM48" s="109"/>
      <c r="AN48" s="109"/>
      <c r="AO48" s="109"/>
    </row>
    <row r="49" spans="1:41" ht="30" customHeight="1">
      <c r="A49" s="31">
        <v>44</v>
      </c>
      <c r="B49" s="32">
        <f t="shared" ca="1" si="0"/>
        <v>45810.449950000002</v>
      </c>
      <c r="C49" s="66" t="s">
        <v>271</v>
      </c>
      <c r="D49" s="63"/>
      <c r="E49" s="106" t="s">
        <v>365</v>
      </c>
      <c r="F49" s="47" t="s">
        <v>58</v>
      </c>
      <c r="G49" s="58" t="s">
        <v>273</v>
      </c>
      <c r="H49" s="21"/>
      <c r="I49" s="21"/>
      <c r="J49" s="21"/>
      <c r="K49" s="21"/>
      <c r="L49" s="21"/>
      <c r="M49" s="21"/>
      <c r="N49" s="21"/>
      <c r="O49" s="21"/>
      <c r="P49" s="21"/>
      <c r="Q49" s="21" t="s">
        <v>366</v>
      </c>
      <c r="R49" s="58" t="s">
        <v>146</v>
      </c>
      <c r="S49" s="21" t="s">
        <v>36</v>
      </c>
      <c r="T49" s="21" t="s">
        <v>367</v>
      </c>
      <c r="U49" s="21" t="s">
        <v>38</v>
      </c>
      <c r="V49" s="21"/>
      <c r="W49" s="24" t="s">
        <v>40</v>
      </c>
      <c r="X49" s="65" t="s">
        <v>368</v>
      </c>
      <c r="Y49" s="65" t="s">
        <v>369</v>
      </c>
      <c r="Z49" s="56"/>
      <c r="AB49" s="21" t="s">
        <v>370</v>
      </c>
      <c r="AC49" s="21" t="s">
        <v>36</v>
      </c>
      <c r="AD49" s="29" t="s">
        <v>371</v>
      </c>
      <c r="AE49" s="109"/>
      <c r="AF49" s="109"/>
      <c r="AG49" s="109"/>
      <c r="AH49" s="109"/>
      <c r="AI49" s="109"/>
      <c r="AJ49" s="109"/>
      <c r="AK49" s="109"/>
      <c r="AL49" s="109"/>
      <c r="AM49" s="109"/>
      <c r="AN49" s="109"/>
      <c r="AO49" s="109"/>
    </row>
    <row r="50" spans="1:41" ht="30" customHeight="1">
      <c r="A50" s="31">
        <v>45</v>
      </c>
      <c r="B50" s="32">
        <f t="shared" ca="1" si="0"/>
        <v>45819.425569999999</v>
      </c>
      <c r="C50" s="66" t="s">
        <v>271</v>
      </c>
      <c r="D50" s="63"/>
      <c r="E50" s="106" t="s">
        <v>372</v>
      </c>
      <c r="F50" s="47" t="s">
        <v>201</v>
      </c>
      <c r="G50" s="123" t="s">
        <v>373</v>
      </c>
      <c r="H50" s="58" t="s">
        <v>374</v>
      </c>
      <c r="I50" s="21" t="s">
        <v>375</v>
      </c>
      <c r="J50" s="21" t="s">
        <v>376</v>
      </c>
      <c r="K50" s="21"/>
      <c r="L50" s="21"/>
      <c r="M50" s="21"/>
      <c r="N50" s="21"/>
      <c r="O50" s="21"/>
      <c r="P50" s="21"/>
      <c r="Q50" s="21"/>
      <c r="R50" s="58" t="s">
        <v>35</v>
      </c>
      <c r="S50" s="21" t="s">
        <v>36</v>
      </c>
      <c r="T50" s="21" t="s">
        <v>377</v>
      </c>
      <c r="U50" s="21" t="s">
        <v>38</v>
      </c>
      <c r="V50" s="21" t="s">
        <v>39</v>
      </c>
      <c r="W50" s="24" t="s">
        <v>40</v>
      </c>
      <c r="X50" s="65" t="s">
        <v>378</v>
      </c>
      <c r="Y50" s="65" t="s">
        <v>379</v>
      </c>
      <c r="Z50" s="56"/>
      <c r="AB50" s="21" t="s">
        <v>380</v>
      </c>
      <c r="AC50" s="21" t="s">
        <v>36</v>
      </c>
      <c r="AD50" s="29" t="s">
        <v>381</v>
      </c>
      <c r="AE50" s="109"/>
      <c r="AF50" s="109"/>
      <c r="AG50" s="109"/>
      <c r="AH50" s="109"/>
      <c r="AI50" s="109"/>
      <c r="AJ50" s="109"/>
      <c r="AK50" s="109"/>
      <c r="AL50" s="109"/>
      <c r="AM50" s="109"/>
      <c r="AN50" s="109"/>
      <c r="AO50" s="109"/>
    </row>
    <row r="51" spans="1:41" ht="30" customHeight="1">
      <c r="A51" s="31">
        <v>46</v>
      </c>
      <c r="B51" s="32">
        <f t="shared" ca="1" si="0"/>
        <v>45819.546240000003</v>
      </c>
      <c r="C51" s="66" t="s">
        <v>271</v>
      </c>
      <c r="D51" s="63"/>
      <c r="E51" s="106" t="s">
        <v>382</v>
      </c>
      <c r="F51" s="47" t="s">
        <v>201</v>
      </c>
      <c r="G51" s="21" t="s">
        <v>237</v>
      </c>
      <c r="H51" s="21"/>
      <c r="I51" s="21"/>
      <c r="J51" s="21"/>
      <c r="K51" s="21"/>
      <c r="L51" s="21"/>
      <c r="M51" s="21"/>
      <c r="N51" s="21"/>
      <c r="O51" s="21"/>
      <c r="P51" s="21"/>
      <c r="Q51" s="21" t="s">
        <v>383</v>
      </c>
      <c r="R51" s="58" t="s">
        <v>146</v>
      </c>
      <c r="S51" s="21" t="s">
        <v>36</v>
      </c>
      <c r="T51" s="124" t="s">
        <v>384</v>
      </c>
      <c r="U51" s="21" t="s">
        <v>38</v>
      </c>
      <c r="V51" s="21"/>
      <c r="W51" s="24" t="s">
        <v>40</v>
      </c>
      <c r="X51" s="65" t="s">
        <v>385</v>
      </c>
      <c r="Y51" s="55" t="s">
        <v>386</v>
      </c>
      <c r="Z51" s="125" t="s">
        <v>387</v>
      </c>
      <c r="AA51" s="3"/>
      <c r="AB51" s="86" t="s">
        <v>388</v>
      </c>
      <c r="AC51" s="21" t="s">
        <v>36</v>
      </c>
      <c r="AD51" s="95" t="s">
        <v>389</v>
      </c>
      <c r="AE51" s="30"/>
      <c r="AF51" s="30"/>
      <c r="AG51" s="30"/>
      <c r="AH51" s="30"/>
      <c r="AI51" s="30"/>
      <c r="AJ51" s="30"/>
      <c r="AK51" s="30"/>
      <c r="AL51" s="30"/>
      <c r="AM51" s="30"/>
      <c r="AN51" s="30"/>
      <c r="AO51" s="30"/>
    </row>
    <row r="52" spans="1:41" ht="30" customHeight="1">
      <c r="A52" s="31">
        <v>47</v>
      </c>
      <c r="B52" s="32">
        <f t="shared" ca="1" si="0"/>
        <v>45820.619420000003</v>
      </c>
      <c r="C52" s="66" t="s">
        <v>271</v>
      </c>
      <c r="D52" s="63"/>
      <c r="E52" s="106" t="s">
        <v>390</v>
      </c>
      <c r="F52" s="47" t="s">
        <v>32</v>
      </c>
      <c r="G52" s="58" t="s">
        <v>264</v>
      </c>
      <c r="H52" s="21"/>
      <c r="I52" s="21"/>
      <c r="J52" s="21"/>
      <c r="K52" s="21"/>
      <c r="L52" s="21"/>
      <c r="M52" s="21"/>
      <c r="N52" s="21"/>
      <c r="O52" s="21"/>
      <c r="P52" s="21"/>
      <c r="Q52" s="21" t="s">
        <v>391</v>
      </c>
      <c r="R52" s="58" t="s">
        <v>35</v>
      </c>
      <c r="S52" s="21" t="s">
        <v>36</v>
      </c>
      <c r="T52" s="21" t="s">
        <v>392</v>
      </c>
      <c r="U52" s="21" t="s">
        <v>38</v>
      </c>
      <c r="V52" s="21" t="s">
        <v>78</v>
      </c>
      <c r="W52" s="24" t="s">
        <v>40</v>
      </c>
      <c r="X52" s="76" t="s">
        <v>393</v>
      </c>
      <c r="Y52" s="65" t="s">
        <v>394</v>
      </c>
      <c r="Z52" s="56"/>
      <c r="AB52" s="21" t="s">
        <v>395</v>
      </c>
      <c r="AC52" s="21" t="s">
        <v>36</v>
      </c>
      <c r="AD52" s="95" t="s">
        <v>396</v>
      </c>
      <c r="AE52" s="73"/>
      <c r="AF52" s="73"/>
      <c r="AG52" s="73"/>
      <c r="AH52" s="73"/>
      <c r="AI52" s="73"/>
      <c r="AJ52" s="73"/>
      <c r="AK52" s="73"/>
      <c r="AL52" s="73"/>
      <c r="AM52" s="73"/>
      <c r="AN52" s="73"/>
      <c r="AO52" s="73"/>
    </row>
    <row r="53" spans="1:41" ht="30" customHeight="1">
      <c r="A53" s="31">
        <v>48</v>
      </c>
      <c r="B53" s="32">
        <f t="shared" ca="1" si="0"/>
        <v>45832.841390000001</v>
      </c>
      <c r="C53" s="66" t="s">
        <v>271</v>
      </c>
      <c r="D53" s="63"/>
      <c r="E53" s="126" t="s">
        <v>397</v>
      </c>
      <c r="F53" s="47" t="s">
        <v>49</v>
      </c>
      <c r="G53" s="127" t="s">
        <v>398</v>
      </c>
      <c r="H53" s="34"/>
      <c r="I53" s="3"/>
      <c r="J53" s="3"/>
      <c r="K53" s="3"/>
      <c r="L53" s="3"/>
      <c r="M53" s="3"/>
      <c r="N53" s="3"/>
      <c r="O53" s="3"/>
      <c r="P53" s="3"/>
      <c r="Q53" s="3" t="s">
        <v>399</v>
      </c>
      <c r="R53" s="58" t="s">
        <v>35</v>
      </c>
      <c r="S53" s="21" t="s">
        <v>36</v>
      </c>
      <c r="T53" s="101" t="s">
        <v>400</v>
      </c>
      <c r="U53" s="21" t="s">
        <v>38</v>
      </c>
      <c r="V53" s="34" t="s">
        <v>86</v>
      </c>
      <c r="W53" s="24" t="s">
        <v>401</v>
      </c>
      <c r="X53" s="102" t="s">
        <v>402</v>
      </c>
      <c r="Y53" s="102" t="s">
        <v>403</v>
      </c>
      <c r="Z53" s="103"/>
      <c r="AB53" s="21" t="s">
        <v>404</v>
      </c>
      <c r="AC53" s="21" t="s">
        <v>36</v>
      </c>
      <c r="AD53" s="29" t="s">
        <v>405</v>
      </c>
      <c r="AE53" s="109"/>
      <c r="AF53" s="109"/>
      <c r="AG53" s="109"/>
      <c r="AH53" s="109"/>
      <c r="AI53" s="109"/>
      <c r="AJ53" s="109"/>
      <c r="AK53" s="109"/>
      <c r="AL53" s="109"/>
      <c r="AM53" s="109"/>
      <c r="AN53" s="109"/>
      <c r="AO53" s="109"/>
    </row>
    <row r="54" spans="1:41" ht="30" customHeight="1">
      <c r="A54" s="31">
        <v>49</v>
      </c>
      <c r="B54" s="32">
        <f t="shared" ca="1" si="0"/>
        <v>45832.858800000002</v>
      </c>
      <c r="C54" s="66" t="s">
        <v>271</v>
      </c>
      <c r="D54" s="63"/>
      <c r="E54" s="128" t="s">
        <v>406</v>
      </c>
      <c r="F54" s="47" t="s">
        <v>201</v>
      </c>
      <c r="G54" s="34" t="s">
        <v>237</v>
      </c>
      <c r="H54" s="34"/>
      <c r="I54" s="34"/>
      <c r="J54" s="34"/>
      <c r="K54" s="34"/>
      <c r="L54" s="34"/>
      <c r="M54" s="34"/>
      <c r="N54" s="34"/>
      <c r="O54" s="34"/>
      <c r="P54" s="34"/>
      <c r="Q54" s="34" t="s">
        <v>407</v>
      </c>
      <c r="R54" s="58" t="s">
        <v>35</v>
      </c>
      <c r="S54" s="21" t="s">
        <v>36</v>
      </c>
      <c r="T54" s="34" t="s">
        <v>408</v>
      </c>
      <c r="U54" s="21" t="s">
        <v>38</v>
      </c>
      <c r="V54" s="34" t="s">
        <v>86</v>
      </c>
      <c r="W54" s="24" t="s">
        <v>40</v>
      </c>
      <c r="X54" s="54" t="s">
        <v>409</v>
      </c>
      <c r="Y54" s="55" t="s">
        <v>410</v>
      </c>
      <c r="Z54" s="56"/>
      <c r="AA54" s="3"/>
      <c r="AB54" s="21" t="s">
        <v>411</v>
      </c>
      <c r="AC54" s="21" t="s">
        <v>36</v>
      </c>
      <c r="AD54" s="29" t="s">
        <v>412</v>
      </c>
      <c r="AE54" s="30"/>
      <c r="AF54" s="30"/>
      <c r="AG54" s="30"/>
      <c r="AH54" s="30"/>
      <c r="AI54" s="30"/>
      <c r="AJ54" s="30"/>
      <c r="AK54" s="30"/>
      <c r="AL54" s="30"/>
      <c r="AM54" s="30"/>
      <c r="AN54" s="30"/>
      <c r="AO54" s="30"/>
    </row>
    <row r="55" spans="1:41" ht="30" customHeight="1">
      <c r="A55" s="31">
        <v>50</v>
      </c>
      <c r="B55" s="32">
        <f t="shared" ca="1" si="0"/>
        <v>45838.3537</v>
      </c>
      <c r="C55" s="66" t="s">
        <v>326</v>
      </c>
      <c r="D55" s="63"/>
      <c r="E55" s="99" t="s">
        <v>413</v>
      </c>
      <c r="F55" s="47" t="s">
        <v>201</v>
      </c>
      <c r="G55" s="34" t="s">
        <v>414</v>
      </c>
      <c r="H55" s="34" t="s">
        <v>375</v>
      </c>
      <c r="I55" s="34" t="s">
        <v>356</v>
      </c>
      <c r="J55" s="34" t="s">
        <v>415</v>
      </c>
      <c r="K55" s="34" t="s">
        <v>416</v>
      </c>
      <c r="L55" s="129" t="s">
        <v>417</v>
      </c>
      <c r="M55" s="34" t="s">
        <v>360</v>
      </c>
      <c r="N55" s="34" t="s">
        <v>193</v>
      </c>
      <c r="O55" s="34" t="s">
        <v>359</v>
      </c>
      <c r="P55" s="129" t="s">
        <v>418</v>
      </c>
      <c r="Q55" s="34"/>
      <c r="R55" s="100" t="s">
        <v>139</v>
      </c>
      <c r="S55" s="34" t="s">
        <v>36</v>
      </c>
      <c r="T55" s="34" t="s">
        <v>362</v>
      </c>
      <c r="U55" s="21" t="s">
        <v>38</v>
      </c>
      <c r="V55" s="34"/>
      <c r="W55" s="24" t="s">
        <v>40</v>
      </c>
      <c r="X55" s="65" t="s">
        <v>419</v>
      </c>
      <c r="Y55" s="55" t="s">
        <v>420</v>
      </c>
      <c r="Z55" s="56"/>
      <c r="AA55" s="3"/>
      <c r="AB55" s="21" t="s">
        <v>421</v>
      </c>
      <c r="AC55" s="21" t="s">
        <v>36</v>
      </c>
      <c r="AD55" s="29" t="s">
        <v>422</v>
      </c>
      <c r="AE55" s="30"/>
      <c r="AF55" s="30"/>
      <c r="AG55" s="30"/>
      <c r="AH55" s="30"/>
      <c r="AI55" s="30"/>
      <c r="AJ55" s="30"/>
      <c r="AK55" s="30"/>
      <c r="AL55" s="30"/>
      <c r="AM55" s="30"/>
      <c r="AN55" s="30"/>
      <c r="AO55" s="30"/>
    </row>
    <row r="56" spans="1:41" ht="30" customHeight="1">
      <c r="A56" s="31">
        <v>51</v>
      </c>
      <c r="B56" s="32">
        <f t="shared" ca="1" si="0"/>
        <v>45845.660580000003</v>
      </c>
      <c r="C56" s="66" t="s">
        <v>423</v>
      </c>
      <c r="D56" s="63"/>
      <c r="E56" s="99" t="s">
        <v>424</v>
      </c>
      <c r="F56" s="47" t="s">
        <v>201</v>
      </c>
      <c r="G56" s="34" t="s">
        <v>94</v>
      </c>
      <c r="H56" s="34"/>
      <c r="I56" s="130"/>
      <c r="J56" s="34"/>
      <c r="K56" s="34"/>
      <c r="L56" s="34"/>
      <c r="M56" s="34"/>
      <c r="N56" s="34"/>
      <c r="O56" s="34"/>
      <c r="P56" s="34"/>
      <c r="Q56" s="34" t="s">
        <v>425</v>
      </c>
      <c r="R56" s="100" t="s">
        <v>35</v>
      </c>
      <c r="S56" s="34" t="s">
        <v>36</v>
      </c>
      <c r="T56" s="34" t="s">
        <v>426</v>
      </c>
      <c r="U56" s="34" t="s">
        <v>38</v>
      </c>
      <c r="V56" s="34" t="s">
        <v>78</v>
      </c>
      <c r="W56" s="24" t="s">
        <v>40</v>
      </c>
      <c r="X56" s="65" t="s">
        <v>427</v>
      </c>
      <c r="Y56" s="65" t="s">
        <v>428</v>
      </c>
      <c r="Z56" s="61"/>
      <c r="AB56" s="21" t="s">
        <v>429</v>
      </c>
      <c r="AC56" s="21" t="s">
        <v>36</v>
      </c>
      <c r="AD56" s="29" t="s">
        <v>430</v>
      </c>
      <c r="AE56" s="73"/>
      <c r="AF56" s="73"/>
      <c r="AG56" s="73"/>
      <c r="AH56" s="73"/>
      <c r="AI56" s="73"/>
      <c r="AJ56" s="73"/>
      <c r="AK56" s="73"/>
      <c r="AL56" s="73"/>
      <c r="AM56" s="73"/>
      <c r="AN56" s="73"/>
      <c r="AO56" s="73"/>
    </row>
    <row r="57" spans="1:41" ht="30" customHeight="1">
      <c r="A57" s="31">
        <v>52</v>
      </c>
      <c r="B57" s="32">
        <f t="shared" ca="1" si="0"/>
        <v>45846.881990000002</v>
      </c>
      <c r="C57" s="66" t="s">
        <v>423</v>
      </c>
      <c r="D57" s="63"/>
      <c r="E57" s="99" t="s">
        <v>431</v>
      </c>
      <c r="F57" s="47" t="s">
        <v>58</v>
      </c>
      <c r="G57" s="34" t="s">
        <v>137</v>
      </c>
      <c r="H57" s="34" t="s">
        <v>275</v>
      </c>
      <c r="I57" s="130"/>
      <c r="J57" s="34"/>
      <c r="K57" s="34"/>
      <c r="L57" s="34"/>
      <c r="M57" s="34"/>
      <c r="N57" s="34"/>
      <c r="O57" s="34"/>
      <c r="P57" s="34"/>
      <c r="Q57" s="34" t="s">
        <v>432</v>
      </c>
      <c r="R57" s="100" t="s">
        <v>35</v>
      </c>
      <c r="S57" s="34" t="s">
        <v>36</v>
      </c>
      <c r="T57" s="34" t="s">
        <v>433</v>
      </c>
      <c r="U57" s="34" t="s">
        <v>38</v>
      </c>
      <c r="V57" s="34" t="s">
        <v>39</v>
      </c>
      <c r="W57" s="131"/>
      <c r="X57" s="65" t="s">
        <v>434</v>
      </c>
      <c r="Y57" s="65" t="s">
        <v>435</v>
      </c>
      <c r="Z57" s="61"/>
      <c r="AA57" s="3"/>
      <c r="AB57" s="21" t="s">
        <v>436</v>
      </c>
      <c r="AC57" s="21" t="s">
        <v>36</v>
      </c>
      <c r="AD57" s="29" t="s">
        <v>437</v>
      </c>
      <c r="AE57" s="3"/>
      <c r="AF57" s="3"/>
      <c r="AG57" s="3"/>
      <c r="AH57" s="3"/>
      <c r="AI57" s="3"/>
      <c r="AJ57" s="3"/>
      <c r="AK57" s="3"/>
      <c r="AL57" s="3"/>
      <c r="AM57" s="3"/>
      <c r="AN57" s="3"/>
      <c r="AO57" s="3"/>
    </row>
    <row r="58" spans="1:41" ht="30" customHeight="1">
      <c r="A58" s="31">
        <v>53</v>
      </c>
      <c r="B58" s="32">
        <f t="shared" ca="1" si="0"/>
        <v>45854.559130000001</v>
      </c>
      <c r="C58" s="132"/>
      <c r="D58" s="63"/>
      <c r="E58" s="99" t="s">
        <v>438</v>
      </c>
      <c r="F58" s="100" t="s">
        <v>32</v>
      </c>
      <c r="G58" s="34" t="s">
        <v>439</v>
      </c>
      <c r="H58" s="34"/>
      <c r="I58" s="34"/>
      <c r="J58" s="34"/>
      <c r="K58" s="34"/>
      <c r="L58" s="34"/>
      <c r="M58" s="34"/>
      <c r="N58" s="34"/>
      <c r="O58" s="34"/>
      <c r="P58" s="34"/>
      <c r="Q58" s="34" t="s">
        <v>440</v>
      </c>
      <c r="R58" s="100" t="s">
        <v>139</v>
      </c>
      <c r="S58" s="34" t="s">
        <v>140</v>
      </c>
      <c r="T58" s="34" t="s">
        <v>441</v>
      </c>
      <c r="U58" s="34"/>
      <c r="V58" s="34"/>
      <c r="W58" s="24" t="s">
        <v>40</v>
      </c>
      <c r="X58" s="29"/>
      <c r="Y58" s="29"/>
      <c r="Z58" s="56"/>
      <c r="AB58" s="21" t="s">
        <v>442</v>
      </c>
      <c r="AC58" s="21" t="s">
        <v>36</v>
      </c>
      <c r="AD58" s="29" t="s">
        <v>443</v>
      </c>
      <c r="AE58" s="133"/>
      <c r="AF58" s="133"/>
      <c r="AG58" s="133"/>
      <c r="AH58" s="133"/>
      <c r="AI58" s="133"/>
      <c r="AJ58" s="133"/>
      <c r="AK58" s="133"/>
      <c r="AL58" s="133"/>
      <c r="AM58" s="133"/>
      <c r="AN58" s="133"/>
      <c r="AO58" s="133"/>
    </row>
    <row r="59" spans="1:41" ht="30" customHeight="1">
      <c r="A59" s="31">
        <v>54</v>
      </c>
      <c r="B59" s="32">
        <f t="shared" ca="1" si="0"/>
        <v>45854.565909999998</v>
      </c>
      <c r="C59" s="132"/>
      <c r="D59" s="63"/>
      <c r="E59" s="99" t="s">
        <v>444</v>
      </c>
      <c r="F59" s="100" t="s">
        <v>32</v>
      </c>
      <c r="G59" s="34" t="s">
        <v>439</v>
      </c>
      <c r="H59" s="34"/>
      <c r="I59" s="34"/>
      <c r="J59" s="34"/>
      <c r="K59" s="34"/>
      <c r="L59" s="34"/>
      <c r="M59" s="34"/>
      <c r="N59" s="34"/>
      <c r="O59" s="34"/>
      <c r="P59" s="34"/>
      <c r="Q59" s="34" t="s">
        <v>440</v>
      </c>
      <c r="R59" s="100" t="s">
        <v>139</v>
      </c>
      <c r="S59" s="34" t="s">
        <v>140</v>
      </c>
      <c r="T59" s="34" t="s">
        <v>441</v>
      </c>
      <c r="U59" s="34"/>
      <c r="V59" s="34"/>
      <c r="W59" s="24" t="s">
        <v>40</v>
      </c>
      <c r="X59" s="59"/>
      <c r="Y59" s="29"/>
      <c r="Z59" s="61"/>
      <c r="AA59" s="3"/>
      <c r="AB59" s="122" t="s">
        <v>445</v>
      </c>
      <c r="AC59" s="21" t="s">
        <v>36</v>
      </c>
      <c r="AD59" s="62" t="s">
        <v>446</v>
      </c>
      <c r="AE59" s="30"/>
      <c r="AF59" s="30"/>
      <c r="AG59" s="30"/>
      <c r="AH59" s="30"/>
      <c r="AI59" s="30"/>
      <c r="AJ59" s="30"/>
      <c r="AK59" s="30"/>
      <c r="AL59" s="30"/>
      <c r="AM59" s="30"/>
      <c r="AN59" s="30"/>
      <c r="AO59" s="30"/>
    </row>
    <row r="60" spans="1:41" ht="30" customHeight="1">
      <c r="A60" s="31">
        <v>55</v>
      </c>
      <c r="B60" s="32">
        <f t="shared" ca="1" si="0"/>
        <v>45856.66779</v>
      </c>
      <c r="C60" s="134" t="s">
        <v>423</v>
      </c>
      <c r="D60" s="63"/>
      <c r="E60" s="34" t="s">
        <v>447</v>
      </c>
      <c r="F60" s="47" t="s">
        <v>32</v>
      </c>
      <c r="G60" s="34" t="s">
        <v>261</v>
      </c>
      <c r="H60" s="34" t="s">
        <v>262</v>
      </c>
      <c r="I60" s="34" t="s">
        <v>264</v>
      </c>
      <c r="J60" s="34"/>
      <c r="K60" s="34"/>
      <c r="L60" s="34"/>
      <c r="M60" s="34"/>
      <c r="N60" s="34"/>
      <c r="O60" s="34"/>
      <c r="P60" s="34"/>
      <c r="Q60" s="34" t="s">
        <v>448</v>
      </c>
      <c r="R60" s="100" t="s">
        <v>35</v>
      </c>
      <c r="S60" s="34" t="s">
        <v>36</v>
      </c>
      <c r="T60" s="34" t="s">
        <v>449</v>
      </c>
      <c r="U60" s="34" t="s">
        <v>38</v>
      </c>
      <c r="V60" s="34" t="s">
        <v>39</v>
      </c>
      <c r="W60" s="24" t="s">
        <v>40</v>
      </c>
      <c r="X60" s="55" t="s">
        <v>450</v>
      </c>
      <c r="Y60" s="55" t="s">
        <v>451</v>
      </c>
      <c r="Z60" s="56"/>
      <c r="AA60" s="3"/>
      <c r="AB60" s="86" t="s">
        <v>452</v>
      </c>
      <c r="AC60" s="21" t="s">
        <v>36</v>
      </c>
      <c r="AD60" s="95" t="s">
        <v>453</v>
      </c>
      <c r="AE60" s="30"/>
      <c r="AF60" s="30"/>
      <c r="AG60" s="30"/>
      <c r="AH60" s="30"/>
      <c r="AI60" s="30"/>
      <c r="AJ60" s="30"/>
      <c r="AK60" s="30"/>
      <c r="AL60" s="30"/>
      <c r="AM60" s="30"/>
      <c r="AN60" s="30"/>
      <c r="AO60" s="30"/>
    </row>
    <row r="61" spans="1:41" ht="30" customHeight="1">
      <c r="A61" s="31">
        <v>56</v>
      </c>
      <c r="B61" s="32">
        <f t="shared" ca="1" si="0"/>
        <v>45857.539420000001</v>
      </c>
      <c r="C61" s="134" t="s">
        <v>423</v>
      </c>
      <c r="D61" s="63"/>
      <c r="E61" s="34" t="s">
        <v>454</v>
      </c>
      <c r="F61" s="47" t="s">
        <v>49</v>
      </c>
      <c r="G61" s="34" t="s">
        <v>291</v>
      </c>
      <c r="H61" s="34"/>
      <c r="I61" s="34"/>
      <c r="J61" s="34"/>
      <c r="K61" s="34"/>
      <c r="L61" s="34"/>
      <c r="M61" s="34"/>
      <c r="N61" s="34"/>
      <c r="O61" s="34"/>
      <c r="P61" s="34"/>
      <c r="Q61" s="34" t="s">
        <v>455</v>
      </c>
      <c r="R61" s="100" t="s">
        <v>35</v>
      </c>
      <c r="S61" s="34" t="s">
        <v>36</v>
      </c>
      <c r="T61" s="34" t="s">
        <v>456</v>
      </c>
      <c r="U61" s="34" t="s">
        <v>38</v>
      </c>
      <c r="V61" s="34" t="s">
        <v>78</v>
      </c>
      <c r="W61" s="24" t="s">
        <v>40</v>
      </c>
      <c r="X61" s="65" t="s">
        <v>457</v>
      </c>
      <c r="Y61" s="135" t="s">
        <v>458</v>
      </c>
      <c r="Z61" s="56"/>
      <c r="AA61" s="3"/>
      <c r="AB61" s="86" t="s">
        <v>459</v>
      </c>
      <c r="AC61" s="21" t="s">
        <v>36</v>
      </c>
      <c r="AD61" s="95" t="s">
        <v>460</v>
      </c>
      <c r="AE61" s="30"/>
      <c r="AF61" s="30"/>
      <c r="AG61" s="30"/>
      <c r="AH61" s="30"/>
      <c r="AI61" s="30"/>
      <c r="AJ61" s="30"/>
      <c r="AK61" s="30"/>
      <c r="AL61" s="30"/>
      <c r="AM61" s="30"/>
      <c r="AN61" s="30"/>
      <c r="AO61" s="30"/>
    </row>
    <row r="62" spans="1:41" ht="30" customHeight="1">
      <c r="A62" s="31">
        <v>57</v>
      </c>
      <c r="B62" s="32">
        <f t="shared" ca="1" si="0"/>
        <v>45861.387889999998</v>
      </c>
      <c r="C62" s="134"/>
      <c r="D62" s="63"/>
      <c r="E62" s="34" t="s">
        <v>461</v>
      </c>
      <c r="F62" s="100" t="s">
        <v>67</v>
      </c>
      <c r="G62" s="100" t="s">
        <v>358</v>
      </c>
      <c r="H62" s="34" t="s">
        <v>374</v>
      </c>
      <c r="I62" s="34"/>
      <c r="J62" s="34"/>
      <c r="K62" s="34"/>
      <c r="L62" s="34"/>
      <c r="M62" s="34"/>
      <c r="N62" s="34"/>
      <c r="O62" s="34"/>
      <c r="P62" s="34"/>
      <c r="Q62" s="34" t="s">
        <v>462</v>
      </c>
      <c r="R62" s="100" t="s">
        <v>35</v>
      </c>
      <c r="S62" s="34" t="s">
        <v>344</v>
      </c>
      <c r="T62" s="34" t="s">
        <v>463</v>
      </c>
      <c r="U62" s="34" t="s">
        <v>38</v>
      </c>
      <c r="V62" s="34" t="s">
        <v>78</v>
      </c>
      <c r="W62" s="24" t="s">
        <v>40</v>
      </c>
      <c r="X62" s="59"/>
      <c r="Y62" s="107"/>
      <c r="Z62" s="56"/>
      <c r="AB62" s="21" t="s">
        <v>464</v>
      </c>
      <c r="AC62" s="21" t="s">
        <v>36</v>
      </c>
      <c r="AD62" s="89" t="s">
        <v>465</v>
      </c>
      <c r="AE62" s="73"/>
      <c r="AF62" s="73"/>
      <c r="AG62" s="73"/>
      <c r="AH62" s="73"/>
      <c r="AI62" s="73"/>
      <c r="AJ62" s="73"/>
      <c r="AK62" s="73"/>
      <c r="AL62" s="73"/>
      <c r="AM62" s="73"/>
      <c r="AN62" s="73"/>
      <c r="AO62" s="73"/>
    </row>
    <row r="63" spans="1:41" ht="30" customHeight="1">
      <c r="A63" s="31">
        <v>58</v>
      </c>
      <c r="B63" s="32">
        <f t="shared" ca="1" si="0"/>
        <v>45862.653039999997</v>
      </c>
      <c r="C63" s="134" t="s">
        <v>423</v>
      </c>
      <c r="D63" s="63"/>
      <c r="E63" s="136" t="s">
        <v>466</v>
      </c>
      <c r="F63" s="47" t="s">
        <v>58</v>
      </c>
      <c r="G63" s="34" t="s">
        <v>192</v>
      </c>
      <c r="H63" s="34"/>
      <c r="I63" s="34"/>
      <c r="J63" s="34"/>
      <c r="K63" s="34"/>
      <c r="L63" s="34"/>
      <c r="M63" s="34"/>
      <c r="N63" s="34"/>
      <c r="O63" s="3"/>
      <c r="P63" s="3"/>
      <c r="Q63" s="101" t="s">
        <v>467</v>
      </c>
      <c r="R63" s="100" t="s">
        <v>146</v>
      </c>
      <c r="S63" s="34" t="s">
        <v>36</v>
      </c>
      <c r="T63" s="34" t="s">
        <v>468</v>
      </c>
      <c r="U63" s="34" t="s">
        <v>38</v>
      </c>
      <c r="V63" s="34"/>
      <c r="W63" s="24" t="s">
        <v>40</v>
      </c>
      <c r="X63" s="29" t="s">
        <v>469</v>
      </c>
      <c r="Y63" s="65" t="s">
        <v>470</v>
      </c>
      <c r="Z63" s="61" t="s">
        <v>471</v>
      </c>
      <c r="AA63" s="3"/>
      <c r="AB63" s="21" t="s">
        <v>472</v>
      </c>
      <c r="AC63" s="21" t="s">
        <v>36</v>
      </c>
      <c r="AD63" s="107" t="s">
        <v>473</v>
      </c>
      <c r="AE63" s="3"/>
      <c r="AF63" s="3"/>
      <c r="AG63" s="3"/>
      <c r="AH63" s="3"/>
      <c r="AI63" s="3"/>
      <c r="AJ63" s="3"/>
      <c r="AK63" s="3"/>
      <c r="AL63" s="3"/>
      <c r="AM63" s="3"/>
      <c r="AN63" s="3"/>
      <c r="AO63" s="3"/>
    </row>
    <row r="64" spans="1:41" ht="30" customHeight="1">
      <c r="A64" s="31">
        <v>59</v>
      </c>
      <c r="B64" s="32">
        <f t="shared" ca="1" si="0"/>
        <v>45864.390749999999</v>
      </c>
      <c r="C64" s="134" t="s">
        <v>423</v>
      </c>
      <c r="D64" s="63"/>
      <c r="E64" s="136" t="s">
        <v>474</v>
      </c>
      <c r="F64" s="47" t="s">
        <v>49</v>
      </c>
      <c r="G64" s="34" t="s">
        <v>112</v>
      </c>
      <c r="H64" s="34"/>
      <c r="I64" s="34"/>
      <c r="J64" s="34"/>
      <c r="K64" s="34"/>
      <c r="L64" s="34"/>
      <c r="M64" s="34"/>
      <c r="N64" s="34"/>
      <c r="O64" s="34"/>
      <c r="P64" s="34"/>
      <c r="Q64" s="34" t="s">
        <v>475</v>
      </c>
      <c r="R64" s="100" t="s">
        <v>35</v>
      </c>
      <c r="S64" s="34" t="s">
        <v>36</v>
      </c>
      <c r="T64" s="100" t="s">
        <v>314</v>
      </c>
      <c r="U64" s="34" t="s">
        <v>38</v>
      </c>
      <c r="V64" s="34" t="s">
        <v>78</v>
      </c>
      <c r="W64" s="24" t="s">
        <v>40</v>
      </c>
      <c r="X64" s="55" t="s">
        <v>476</v>
      </c>
      <c r="Y64" s="55" t="s">
        <v>477</v>
      </c>
      <c r="Z64" s="56"/>
      <c r="AA64" s="3"/>
      <c r="AB64" s="122" t="s">
        <v>478</v>
      </c>
      <c r="AC64" s="21" t="s">
        <v>36</v>
      </c>
      <c r="AD64" s="137" t="s">
        <v>479</v>
      </c>
      <c r="AE64" s="30"/>
      <c r="AF64" s="30"/>
      <c r="AG64" s="30"/>
      <c r="AH64" s="30"/>
      <c r="AI64" s="30"/>
      <c r="AJ64" s="30"/>
      <c r="AK64" s="30"/>
      <c r="AL64" s="30"/>
      <c r="AM64" s="30"/>
      <c r="AN64" s="30"/>
      <c r="AO64" s="30"/>
    </row>
    <row r="65" spans="1:41" ht="30" customHeight="1">
      <c r="A65" s="31">
        <v>60</v>
      </c>
      <c r="B65" s="32">
        <f t="shared" ca="1" si="0"/>
        <v>45866.422960000004</v>
      </c>
      <c r="C65" s="134" t="s">
        <v>480</v>
      </c>
      <c r="D65" s="104"/>
      <c r="E65" s="138" t="s">
        <v>481</v>
      </c>
      <c r="F65" s="47" t="s">
        <v>32</v>
      </c>
      <c r="G65" s="100" t="s">
        <v>261</v>
      </c>
      <c r="H65" s="34"/>
      <c r="I65" s="34"/>
      <c r="J65" s="34"/>
      <c r="K65" s="34"/>
      <c r="L65" s="34"/>
      <c r="M65" s="34"/>
      <c r="N65" s="34"/>
      <c r="O65" s="34"/>
      <c r="P65" s="34"/>
      <c r="Q65" s="34" t="s">
        <v>482</v>
      </c>
      <c r="R65" s="100" t="s">
        <v>35</v>
      </c>
      <c r="S65" s="34" t="s">
        <v>36</v>
      </c>
      <c r="T65" s="100" t="s">
        <v>483</v>
      </c>
      <c r="U65" s="34" t="s">
        <v>38</v>
      </c>
      <c r="V65" s="34" t="s">
        <v>39</v>
      </c>
      <c r="W65" s="24" t="s">
        <v>40</v>
      </c>
      <c r="X65" s="54" t="s">
        <v>484</v>
      </c>
      <c r="Y65" s="55" t="s">
        <v>485</v>
      </c>
      <c r="Z65" s="61"/>
      <c r="AB65" s="21" t="s">
        <v>486</v>
      </c>
      <c r="AC65" s="21" t="s">
        <v>36</v>
      </c>
      <c r="AD65" s="29" t="s">
        <v>487</v>
      </c>
      <c r="AE65" s="73"/>
      <c r="AF65" s="73"/>
      <c r="AG65" s="73"/>
      <c r="AH65" s="73"/>
      <c r="AI65" s="73"/>
      <c r="AJ65" s="73"/>
      <c r="AK65" s="73"/>
      <c r="AL65" s="73"/>
      <c r="AM65" s="73"/>
      <c r="AN65" s="73"/>
      <c r="AO65" s="73"/>
    </row>
    <row r="66" spans="1:41" ht="30" customHeight="1">
      <c r="A66" s="31">
        <v>61</v>
      </c>
      <c r="B66" s="32">
        <f t="shared" ca="1" si="0"/>
        <v>45875.476979999999</v>
      </c>
      <c r="C66" s="134" t="s">
        <v>480</v>
      </c>
      <c r="D66" s="63"/>
      <c r="E66" s="100" t="s">
        <v>488</v>
      </c>
      <c r="F66" s="47" t="s">
        <v>201</v>
      </c>
      <c r="G66" s="100" t="s">
        <v>237</v>
      </c>
      <c r="H66" s="34"/>
      <c r="I66" s="34"/>
      <c r="J66" s="34"/>
      <c r="K66" s="34"/>
      <c r="L66" s="34"/>
      <c r="M66" s="34"/>
      <c r="N66" s="34"/>
      <c r="O66" s="34"/>
      <c r="P66" s="34"/>
      <c r="Q66" s="34" t="s">
        <v>489</v>
      </c>
      <c r="R66" s="100" t="s">
        <v>35</v>
      </c>
      <c r="S66" s="34" t="s">
        <v>36</v>
      </c>
      <c r="T66" s="139" t="s">
        <v>490</v>
      </c>
      <c r="U66" s="34" t="s">
        <v>38</v>
      </c>
      <c r="V66" s="34" t="s">
        <v>78</v>
      </c>
      <c r="W66" s="24" t="s">
        <v>40</v>
      </c>
      <c r="X66" s="76" t="s">
        <v>491</v>
      </c>
      <c r="Y66" s="55" t="s">
        <v>492</v>
      </c>
      <c r="Z66" s="56"/>
      <c r="AB66" s="21" t="s">
        <v>493</v>
      </c>
      <c r="AC66" s="21" t="s">
        <v>36</v>
      </c>
      <c r="AD66" s="29" t="s">
        <v>494</v>
      </c>
      <c r="AE66" s="73"/>
      <c r="AF66" s="73"/>
      <c r="AG66" s="73"/>
      <c r="AH66" s="73"/>
      <c r="AI66" s="73"/>
      <c r="AJ66" s="73"/>
      <c r="AK66" s="73"/>
      <c r="AL66" s="73"/>
      <c r="AM66" s="73"/>
      <c r="AN66" s="73"/>
      <c r="AO66" s="73"/>
    </row>
    <row r="67" spans="1:41" ht="30" customHeight="1">
      <c r="A67" s="31">
        <v>62</v>
      </c>
      <c r="B67" s="32">
        <f t="shared" ca="1" si="0"/>
        <v>45875.476979999999</v>
      </c>
      <c r="C67" s="134" t="s">
        <v>480</v>
      </c>
      <c r="D67" s="63"/>
      <c r="E67" s="140" t="s">
        <v>495</v>
      </c>
      <c r="F67" s="47" t="s">
        <v>201</v>
      </c>
      <c r="G67" s="100" t="s">
        <v>496</v>
      </c>
      <c r="H67" s="34" t="s">
        <v>497</v>
      </c>
      <c r="I67" s="34" t="s">
        <v>375</v>
      </c>
      <c r="J67" s="129" t="s">
        <v>498</v>
      </c>
      <c r="K67" s="129" t="s">
        <v>499</v>
      </c>
      <c r="L67" s="34" t="s">
        <v>374</v>
      </c>
      <c r="M67" s="34"/>
      <c r="N67" s="34"/>
      <c r="O67" s="34"/>
      <c r="P67" s="34"/>
      <c r="Q67" s="34" t="s">
        <v>500</v>
      </c>
      <c r="R67" s="100" t="s">
        <v>35</v>
      </c>
      <c r="S67" s="34" t="s">
        <v>36</v>
      </c>
      <c r="T67" s="100" t="s">
        <v>463</v>
      </c>
      <c r="U67" s="34" t="s">
        <v>38</v>
      </c>
      <c r="V67" s="34" t="s">
        <v>78</v>
      </c>
      <c r="W67" s="24" t="s">
        <v>40</v>
      </c>
      <c r="X67" s="54" t="s">
        <v>501</v>
      </c>
      <c r="Y67" s="55" t="s">
        <v>502</v>
      </c>
      <c r="Z67" s="56"/>
      <c r="AB67" s="21" t="s">
        <v>503</v>
      </c>
      <c r="AC67" s="21" t="s">
        <v>36</v>
      </c>
      <c r="AD67" s="29" t="s">
        <v>504</v>
      </c>
      <c r="AE67" s="73"/>
      <c r="AF67" s="73"/>
      <c r="AG67" s="73"/>
      <c r="AH67" s="73"/>
      <c r="AI67" s="73"/>
      <c r="AJ67" s="73"/>
      <c r="AK67" s="73"/>
      <c r="AL67" s="73"/>
      <c r="AM67" s="73"/>
      <c r="AN67" s="73"/>
      <c r="AO67" s="73"/>
    </row>
    <row r="68" spans="1:41" ht="30" customHeight="1">
      <c r="A68" s="31">
        <v>63</v>
      </c>
      <c r="B68" s="32">
        <f t="shared" ca="1" si="0"/>
        <v>45875.616800000003</v>
      </c>
      <c r="C68" s="134" t="s">
        <v>480</v>
      </c>
      <c r="D68" s="63"/>
      <c r="E68" s="141" t="s">
        <v>505</v>
      </c>
      <c r="F68" s="36" t="s">
        <v>67</v>
      </c>
      <c r="G68" s="100" t="s">
        <v>68</v>
      </c>
      <c r="H68" s="34"/>
      <c r="I68" s="34"/>
      <c r="J68" s="34"/>
      <c r="K68" s="34"/>
      <c r="L68" s="34"/>
      <c r="M68" s="34"/>
      <c r="N68" s="34"/>
      <c r="O68" s="34"/>
      <c r="P68" s="34"/>
      <c r="Q68" s="34" t="s">
        <v>506</v>
      </c>
      <c r="R68" s="100" t="s">
        <v>35</v>
      </c>
      <c r="S68" s="34" t="s">
        <v>36</v>
      </c>
      <c r="T68" s="142" t="s">
        <v>507</v>
      </c>
      <c r="U68" s="34" t="s">
        <v>38</v>
      </c>
      <c r="V68" s="34"/>
      <c r="W68" s="24" t="s">
        <v>40</v>
      </c>
      <c r="X68" s="54" t="s">
        <v>508</v>
      </c>
      <c r="Y68" s="65" t="s">
        <v>509</v>
      </c>
      <c r="Z68" s="56"/>
      <c r="AB68" s="86" t="s">
        <v>510</v>
      </c>
      <c r="AC68" s="21" t="s">
        <v>36</v>
      </c>
      <c r="AD68" s="29" t="s">
        <v>511</v>
      </c>
      <c r="AE68" s="73"/>
      <c r="AF68" s="73"/>
      <c r="AG68" s="73"/>
      <c r="AH68" s="73"/>
      <c r="AI68" s="73"/>
      <c r="AJ68" s="73"/>
      <c r="AK68" s="73"/>
      <c r="AL68" s="73"/>
      <c r="AM68" s="73"/>
      <c r="AN68" s="73"/>
      <c r="AO68" s="73"/>
    </row>
    <row r="69" spans="1:41" ht="30" customHeight="1">
      <c r="A69" s="31">
        <v>64</v>
      </c>
      <c r="B69" s="32">
        <f t="shared" ca="1" si="0"/>
        <v>45878.505239999999</v>
      </c>
      <c r="C69" s="134" t="s">
        <v>480</v>
      </c>
      <c r="D69" s="63"/>
      <c r="E69" s="34" t="s">
        <v>512</v>
      </c>
      <c r="F69" s="47" t="s">
        <v>201</v>
      </c>
      <c r="G69" s="34" t="s">
        <v>94</v>
      </c>
      <c r="H69" s="129" t="s">
        <v>513</v>
      </c>
      <c r="I69" s="34" t="s">
        <v>415</v>
      </c>
      <c r="J69" s="34" t="s">
        <v>357</v>
      </c>
      <c r="K69" s="34" t="s">
        <v>356</v>
      </c>
      <c r="L69" s="34" t="s">
        <v>414</v>
      </c>
      <c r="M69" s="34" t="s">
        <v>359</v>
      </c>
      <c r="N69" s="34" t="s">
        <v>360</v>
      </c>
      <c r="O69" s="34" t="s">
        <v>93</v>
      </c>
      <c r="P69" s="34"/>
      <c r="Q69" s="34" t="s">
        <v>3183</v>
      </c>
      <c r="R69" s="100" t="s">
        <v>35</v>
      </c>
      <c r="S69" s="34" t="s">
        <v>36</v>
      </c>
      <c r="T69" s="100" t="s">
        <v>515</v>
      </c>
      <c r="U69" s="34" t="s">
        <v>38</v>
      </c>
      <c r="V69" s="34" t="s">
        <v>39</v>
      </c>
      <c r="W69" s="24" t="s">
        <v>40</v>
      </c>
      <c r="X69" s="54" t="s">
        <v>516</v>
      </c>
      <c r="Y69" s="143" t="s">
        <v>517</v>
      </c>
      <c r="Z69" s="56"/>
      <c r="AA69" s="3"/>
      <c r="AB69" s="21" t="s">
        <v>518</v>
      </c>
      <c r="AC69" s="21" t="s">
        <v>36</v>
      </c>
      <c r="AD69" s="29" t="s">
        <v>519</v>
      </c>
      <c r="AE69" s="30"/>
      <c r="AF69" s="30"/>
      <c r="AG69" s="30"/>
      <c r="AH69" s="30"/>
      <c r="AI69" s="30"/>
      <c r="AJ69" s="30"/>
      <c r="AK69" s="30"/>
      <c r="AL69" s="30"/>
      <c r="AM69" s="30"/>
      <c r="AN69" s="30"/>
      <c r="AO69" s="30"/>
    </row>
    <row r="70" spans="1:41" ht="30" customHeight="1">
      <c r="A70" s="31">
        <v>65</v>
      </c>
      <c r="B70" s="32">
        <f t="shared" ca="1" si="0"/>
        <v>45881.356690000001</v>
      </c>
      <c r="C70" s="15"/>
      <c r="D70" s="63" t="s">
        <v>119</v>
      </c>
      <c r="E70" s="34" t="s">
        <v>512</v>
      </c>
      <c r="F70" s="100" t="s">
        <v>49</v>
      </c>
      <c r="G70" s="34" t="s">
        <v>93</v>
      </c>
      <c r="H70" s="34"/>
      <c r="I70" s="34"/>
      <c r="J70" s="34"/>
      <c r="K70" s="34"/>
      <c r="L70" s="34"/>
      <c r="M70" s="34"/>
      <c r="N70" s="34"/>
      <c r="O70" s="34"/>
      <c r="P70" s="34"/>
      <c r="Q70" s="34" t="s">
        <v>514</v>
      </c>
      <c r="R70" s="100" t="s">
        <v>35</v>
      </c>
      <c r="S70" s="34" t="s">
        <v>36</v>
      </c>
      <c r="T70" s="100" t="s">
        <v>515</v>
      </c>
      <c r="U70" s="34" t="s">
        <v>38</v>
      </c>
      <c r="V70" s="34" t="s">
        <v>39</v>
      </c>
      <c r="W70" s="24" t="s">
        <v>40</v>
      </c>
      <c r="X70" s="54" t="s">
        <v>516</v>
      </c>
      <c r="Y70" s="110" t="s">
        <v>517</v>
      </c>
      <c r="Z70" s="56"/>
      <c r="AB70" s="21" t="s">
        <v>520</v>
      </c>
      <c r="AC70" s="21" t="s">
        <v>36</v>
      </c>
      <c r="AD70" s="29" t="s">
        <v>521</v>
      </c>
      <c r="AE70" s="144"/>
      <c r="AF70" s="144"/>
      <c r="AG70" s="144"/>
      <c r="AH70" s="144"/>
      <c r="AI70" s="144"/>
      <c r="AJ70" s="144"/>
      <c r="AK70" s="144"/>
      <c r="AL70" s="144"/>
      <c r="AM70" s="144"/>
      <c r="AN70" s="144"/>
      <c r="AO70" s="144"/>
    </row>
    <row r="71" spans="1:41" ht="30" customHeight="1">
      <c r="A71" s="145">
        <v>66</v>
      </c>
      <c r="B71" s="32">
        <f t="shared" ca="1" si="0"/>
        <v>45894.379670000002</v>
      </c>
      <c r="C71" s="134" t="s">
        <v>480</v>
      </c>
      <c r="D71" s="63"/>
      <c r="E71" s="34" t="s">
        <v>522</v>
      </c>
      <c r="F71" s="47" t="s">
        <v>49</v>
      </c>
      <c r="G71" s="34" t="s">
        <v>523</v>
      </c>
      <c r="H71" s="34"/>
      <c r="I71" s="34"/>
      <c r="J71" s="34"/>
      <c r="K71" s="34"/>
      <c r="L71" s="34"/>
      <c r="M71" s="34"/>
      <c r="N71" s="34"/>
      <c r="O71" s="34"/>
      <c r="P71" s="34"/>
      <c r="Q71" s="34" t="s">
        <v>524</v>
      </c>
      <c r="R71" s="100" t="s">
        <v>35</v>
      </c>
      <c r="S71" s="34" t="s">
        <v>36</v>
      </c>
      <c r="T71" s="34" t="s">
        <v>525</v>
      </c>
      <c r="U71" s="34" t="s">
        <v>38</v>
      </c>
      <c r="V71" s="34" t="s">
        <v>39</v>
      </c>
      <c r="W71" s="24" t="s">
        <v>40</v>
      </c>
      <c r="X71" s="146" t="s">
        <v>526</v>
      </c>
      <c r="Y71" s="147" t="s">
        <v>527</v>
      </c>
      <c r="Z71" s="148"/>
      <c r="AA71" s="3"/>
      <c r="AB71" s="21" t="s">
        <v>528</v>
      </c>
      <c r="AC71" s="21" t="s">
        <v>36</v>
      </c>
      <c r="AD71" s="29" t="s">
        <v>529</v>
      </c>
      <c r="AE71" s="30"/>
      <c r="AF71" s="30"/>
      <c r="AG71" s="30"/>
      <c r="AH71" s="30"/>
      <c r="AI71" s="30"/>
      <c r="AJ71" s="30"/>
      <c r="AK71" s="30"/>
      <c r="AL71" s="30"/>
      <c r="AM71" s="30"/>
      <c r="AN71" s="30"/>
      <c r="AO71" s="30"/>
    </row>
    <row r="72" spans="1:41" ht="30" customHeight="1">
      <c r="A72" s="145">
        <v>67</v>
      </c>
      <c r="B72" s="32">
        <f t="shared" ca="1" si="0"/>
        <v>45903.444750000002</v>
      </c>
      <c r="C72" s="145" t="s">
        <v>334</v>
      </c>
      <c r="D72" s="63"/>
      <c r="E72" s="34" t="s">
        <v>530</v>
      </c>
      <c r="F72" s="47" t="s">
        <v>32</v>
      </c>
      <c r="G72" s="34" t="s">
        <v>531</v>
      </c>
      <c r="H72" s="34" t="s">
        <v>439</v>
      </c>
      <c r="I72" s="34"/>
      <c r="J72" s="34"/>
      <c r="K72" s="34"/>
      <c r="L72" s="34"/>
      <c r="M72" s="34"/>
      <c r="N72" s="34"/>
      <c r="O72" s="34"/>
      <c r="P72" s="34"/>
      <c r="Q72" s="34" t="s">
        <v>532</v>
      </c>
      <c r="R72" s="100" t="s">
        <v>35</v>
      </c>
      <c r="S72" s="34" t="s">
        <v>36</v>
      </c>
      <c r="T72" s="34" t="s">
        <v>533</v>
      </c>
      <c r="U72" s="34" t="s">
        <v>38</v>
      </c>
      <c r="V72" s="34" t="s">
        <v>86</v>
      </c>
      <c r="W72" s="24" t="s">
        <v>40</v>
      </c>
      <c r="X72" s="25" t="s">
        <v>534</v>
      </c>
      <c r="Y72" s="102" t="s">
        <v>535</v>
      </c>
      <c r="Z72" s="149"/>
      <c r="AA72" s="3"/>
      <c r="AB72" s="21" t="s">
        <v>536</v>
      </c>
      <c r="AC72" s="21" t="s">
        <v>36</v>
      </c>
      <c r="AD72" s="29" t="s">
        <v>537</v>
      </c>
      <c r="AE72" s="30"/>
      <c r="AF72" s="30"/>
      <c r="AG72" s="30"/>
      <c r="AH72" s="30"/>
      <c r="AI72" s="30"/>
      <c r="AJ72" s="30"/>
      <c r="AK72" s="30"/>
      <c r="AL72" s="30"/>
      <c r="AM72" s="30"/>
      <c r="AN72" s="30"/>
      <c r="AO72" s="30"/>
    </row>
    <row r="73" spans="1:41" ht="30" customHeight="1">
      <c r="A73" s="145">
        <v>68</v>
      </c>
      <c r="B73" s="32">
        <f t="shared" ca="1" si="0"/>
        <v>45911.357790000002</v>
      </c>
      <c r="C73" s="145" t="s">
        <v>334</v>
      </c>
      <c r="D73" s="63"/>
      <c r="E73" s="34" t="s">
        <v>538</v>
      </c>
      <c r="F73" s="47" t="s">
        <v>32</v>
      </c>
      <c r="G73" s="34" t="s">
        <v>128</v>
      </c>
      <c r="H73" s="34"/>
      <c r="I73" s="34"/>
      <c r="J73" s="34"/>
      <c r="K73" s="34"/>
      <c r="L73" s="34"/>
      <c r="M73" s="34"/>
      <c r="N73" s="34"/>
      <c r="O73" s="34"/>
      <c r="P73" s="34"/>
      <c r="Q73" s="34" t="s">
        <v>539</v>
      </c>
      <c r="R73" s="100" t="s">
        <v>35</v>
      </c>
      <c r="S73" s="34" t="s">
        <v>36</v>
      </c>
      <c r="T73" s="34" t="s">
        <v>540</v>
      </c>
      <c r="U73" s="34" t="s">
        <v>38</v>
      </c>
      <c r="V73" s="34" t="s">
        <v>78</v>
      </c>
      <c r="W73" s="24" t="s">
        <v>40</v>
      </c>
      <c r="X73" s="54" t="s">
        <v>541</v>
      </c>
      <c r="Y73" s="55" t="s">
        <v>542</v>
      </c>
      <c r="Z73" s="84"/>
      <c r="AA73" s="3"/>
      <c r="AB73" s="21" t="s">
        <v>543</v>
      </c>
      <c r="AC73" s="21" t="s">
        <v>36</v>
      </c>
      <c r="AD73" s="95" t="s">
        <v>544</v>
      </c>
      <c r="AE73" s="30"/>
      <c r="AF73" s="30"/>
      <c r="AG73" s="30"/>
      <c r="AH73" s="30"/>
      <c r="AI73" s="30"/>
      <c r="AJ73" s="30"/>
      <c r="AK73" s="30"/>
      <c r="AL73" s="30"/>
      <c r="AM73" s="30"/>
      <c r="AN73" s="30"/>
      <c r="AO73" s="30"/>
    </row>
    <row r="74" spans="1:41" ht="30" customHeight="1">
      <c r="A74" s="145">
        <v>69</v>
      </c>
      <c r="B74" s="32">
        <f t="shared" ca="1" si="0"/>
        <v>45916.446680000001</v>
      </c>
      <c r="C74" s="145"/>
      <c r="D74" s="63"/>
      <c r="E74" s="34" t="s">
        <v>545</v>
      </c>
      <c r="F74" s="100" t="s">
        <v>58</v>
      </c>
      <c r="G74" s="34" t="s">
        <v>102</v>
      </c>
      <c r="H74" s="34"/>
      <c r="I74" s="34"/>
      <c r="J74" s="34"/>
      <c r="K74" s="34"/>
      <c r="L74" s="34"/>
      <c r="M74" s="34"/>
      <c r="N74" s="34"/>
      <c r="O74" s="34"/>
      <c r="P74" s="34"/>
      <c r="Q74" s="34" t="s">
        <v>546</v>
      </c>
      <c r="R74" s="100" t="s">
        <v>35</v>
      </c>
      <c r="S74" s="34" t="s">
        <v>547</v>
      </c>
      <c r="T74" s="34" t="s">
        <v>548</v>
      </c>
      <c r="U74" s="34" t="s">
        <v>38</v>
      </c>
      <c r="V74" s="34" t="s">
        <v>78</v>
      </c>
      <c r="W74" s="24" t="s">
        <v>40</v>
      </c>
      <c r="X74" s="29"/>
      <c r="Y74" s="29"/>
      <c r="Z74" s="61"/>
      <c r="AA74" s="3"/>
      <c r="AB74" s="21" t="s">
        <v>549</v>
      </c>
      <c r="AC74" s="21" t="s">
        <v>36</v>
      </c>
      <c r="AD74" s="29" t="s">
        <v>550</v>
      </c>
      <c r="AE74" s="30"/>
      <c r="AF74" s="30"/>
      <c r="AG74" s="30"/>
      <c r="AH74" s="30"/>
      <c r="AI74" s="30"/>
      <c r="AJ74" s="30"/>
      <c r="AK74" s="30"/>
      <c r="AL74" s="30"/>
      <c r="AM74" s="30"/>
      <c r="AN74" s="30"/>
      <c r="AO74" s="30"/>
    </row>
    <row r="75" spans="1:41" ht="30" customHeight="1">
      <c r="A75" s="145">
        <v>70</v>
      </c>
      <c r="B75" s="32">
        <f t="shared" ca="1" si="0"/>
        <v>45922.446949999998</v>
      </c>
      <c r="C75" s="150"/>
      <c r="D75" s="63" t="s">
        <v>119</v>
      </c>
      <c r="E75" s="34" t="s">
        <v>538</v>
      </c>
      <c r="F75" s="100" t="s">
        <v>58</v>
      </c>
      <c r="G75" s="34" t="s">
        <v>103</v>
      </c>
      <c r="H75" s="34"/>
      <c r="I75" s="34"/>
      <c r="J75" s="34"/>
      <c r="K75" s="34"/>
      <c r="L75" s="34"/>
      <c r="M75" s="34"/>
      <c r="N75" s="34"/>
      <c r="O75" s="34"/>
      <c r="P75" s="34"/>
      <c r="Q75" s="34" t="s">
        <v>539</v>
      </c>
      <c r="R75" s="100" t="s">
        <v>35</v>
      </c>
      <c r="S75" s="34" t="s">
        <v>36</v>
      </c>
      <c r="T75" s="34" t="s">
        <v>540</v>
      </c>
      <c r="U75" s="34" t="s">
        <v>38</v>
      </c>
      <c r="V75" s="34" t="s">
        <v>78</v>
      </c>
      <c r="W75" s="24" t="s">
        <v>40</v>
      </c>
      <c r="X75" s="54" t="s">
        <v>541</v>
      </c>
      <c r="Y75" s="65" t="s">
        <v>542</v>
      </c>
      <c r="Z75" s="151"/>
      <c r="AA75" s="3"/>
      <c r="AB75" s="21" t="s">
        <v>551</v>
      </c>
      <c r="AC75" s="21" t="s">
        <v>36</v>
      </c>
      <c r="AD75" s="29" t="s">
        <v>552</v>
      </c>
      <c r="AE75" s="3"/>
      <c r="AF75" s="3"/>
      <c r="AG75" s="3"/>
      <c r="AH75" s="3"/>
      <c r="AI75" s="3"/>
      <c r="AJ75" s="3"/>
      <c r="AK75" s="3"/>
      <c r="AL75" s="3"/>
      <c r="AM75" s="3"/>
      <c r="AN75" s="3"/>
      <c r="AO75" s="3"/>
    </row>
    <row r="76" spans="1:41" ht="30" customHeight="1">
      <c r="A76" s="145">
        <v>71</v>
      </c>
      <c r="B76" s="32">
        <f t="shared" ca="1" si="0"/>
        <v>45922.852299999999</v>
      </c>
      <c r="C76" s="145" t="s">
        <v>334</v>
      </c>
      <c r="D76" s="63"/>
      <c r="E76" s="100" t="s">
        <v>553</v>
      </c>
      <c r="F76" s="47" t="s">
        <v>67</v>
      </c>
      <c r="G76" s="100" t="s">
        <v>68</v>
      </c>
      <c r="H76" s="34"/>
      <c r="I76" s="34"/>
      <c r="J76" s="34"/>
      <c r="K76" s="34"/>
      <c r="L76" s="34"/>
      <c r="M76" s="34"/>
      <c r="N76" s="34"/>
      <c r="O76" s="34"/>
      <c r="P76" s="34"/>
      <c r="Q76" s="34" t="s">
        <v>554</v>
      </c>
      <c r="R76" s="100" t="s">
        <v>35</v>
      </c>
      <c r="S76" s="34" t="s">
        <v>36</v>
      </c>
      <c r="T76" s="34" t="s">
        <v>555</v>
      </c>
      <c r="U76" s="34" t="s">
        <v>38</v>
      </c>
      <c r="V76" s="34" t="s">
        <v>78</v>
      </c>
      <c r="W76" s="24" t="s">
        <v>40</v>
      </c>
      <c r="X76" s="54" t="s">
        <v>556</v>
      </c>
      <c r="Y76" s="55" t="s">
        <v>557</v>
      </c>
      <c r="Z76" s="61"/>
      <c r="AB76" s="3" t="s">
        <v>558</v>
      </c>
      <c r="AC76" s="21" t="s">
        <v>36</v>
      </c>
      <c r="AD76" s="152" t="s">
        <v>559</v>
      </c>
      <c r="AE76" s="109"/>
      <c r="AF76" s="109"/>
      <c r="AG76" s="109"/>
      <c r="AH76" s="109"/>
      <c r="AI76" s="109"/>
      <c r="AJ76" s="109"/>
      <c r="AK76" s="109"/>
      <c r="AL76" s="109"/>
      <c r="AM76" s="109"/>
      <c r="AN76" s="109"/>
      <c r="AO76" s="109"/>
    </row>
    <row r="77" spans="1:41" ht="30" customHeight="1">
      <c r="A77" s="145">
        <v>72</v>
      </c>
      <c r="B77" s="32">
        <f t="shared" ca="1" si="0"/>
        <v>45925.330679999999</v>
      </c>
      <c r="C77" s="145"/>
      <c r="D77" s="63"/>
      <c r="E77" s="153" t="s">
        <v>560</v>
      </c>
      <c r="F77" s="100" t="s">
        <v>201</v>
      </c>
      <c r="G77" s="34" t="s">
        <v>414</v>
      </c>
      <c r="H77" s="34"/>
      <c r="I77" s="34"/>
      <c r="J77" s="34"/>
      <c r="K77" s="34"/>
      <c r="L77" s="34"/>
      <c r="M77" s="34"/>
      <c r="N77" s="34"/>
      <c r="O77" s="34"/>
      <c r="P77" s="34"/>
      <c r="Q77" s="34" t="s">
        <v>561</v>
      </c>
      <c r="R77" s="100" t="s">
        <v>146</v>
      </c>
      <c r="S77" s="34" t="s">
        <v>140</v>
      </c>
      <c r="T77" s="34" t="s">
        <v>562</v>
      </c>
      <c r="U77" s="34"/>
      <c r="V77" s="34"/>
      <c r="W77" s="24" t="s">
        <v>40</v>
      </c>
      <c r="X77" s="59"/>
      <c r="Y77" s="29"/>
      <c r="Z77" s="151"/>
      <c r="AA77" s="3"/>
      <c r="AB77" s="21" t="s">
        <v>563</v>
      </c>
      <c r="AC77" s="21" t="s">
        <v>36</v>
      </c>
      <c r="AD77" s="29" t="s">
        <v>564</v>
      </c>
      <c r="AE77" s="3"/>
      <c r="AF77" s="3"/>
      <c r="AG77" s="3"/>
      <c r="AH77" s="3"/>
      <c r="AI77" s="3"/>
      <c r="AJ77" s="3"/>
      <c r="AK77" s="3"/>
      <c r="AL77" s="3"/>
      <c r="AM77" s="3"/>
      <c r="AN77" s="3"/>
      <c r="AO77" s="3"/>
    </row>
    <row r="78" spans="1:41" ht="30" customHeight="1">
      <c r="A78" s="145">
        <v>73</v>
      </c>
      <c r="B78" s="32">
        <f t="shared" ca="1" si="0"/>
        <v>45925.345119999998</v>
      </c>
      <c r="C78" s="154"/>
      <c r="D78" s="63"/>
      <c r="E78" s="58" t="s">
        <v>565</v>
      </c>
      <c r="F78" s="58" t="s">
        <v>32</v>
      </c>
      <c r="G78" s="58" t="s">
        <v>184</v>
      </c>
      <c r="H78" s="21" t="s">
        <v>261</v>
      </c>
      <c r="I78" s="21" t="s">
        <v>262</v>
      </c>
      <c r="J78" s="69"/>
      <c r="K78" s="69"/>
      <c r="L78" s="21"/>
      <c r="M78" s="21"/>
      <c r="N78" s="21"/>
      <c r="O78" s="21"/>
      <c r="P78" s="21"/>
      <c r="Q78" s="34" t="s">
        <v>566</v>
      </c>
      <c r="R78" s="58" t="s">
        <v>146</v>
      </c>
      <c r="S78" s="21" t="s">
        <v>140</v>
      </c>
      <c r="T78" s="21" t="s">
        <v>562</v>
      </c>
      <c r="U78" s="21"/>
      <c r="V78" s="21"/>
      <c r="W78" s="24" t="s">
        <v>40</v>
      </c>
      <c r="X78" s="54" t="s">
        <v>567</v>
      </c>
      <c r="Y78" s="107"/>
      <c r="Z78" s="61"/>
      <c r="AB78" s="21" t="s">
        <v>568</v>
      </c>
      <c r="AC78" s="21" t="s">
        <v>36</v>
      </c>
      <c r="AD78" s="29" t="s">
        <v>569</v>
      </c>
      <c r="AE78" s="109"/>
      <c r="AF78" s="109"/>
      <c r="AG78" s="109"/>
      <c r="AH78" s="109"/>
      <c r="AI78" s="109"/>
      <c r="AJ78" s="109"/>
      <c r="AK78" s="109"/>
      <c r="AL78" s="109"/>
      <c r="AM78" s="109"/>
      <c r="AN78" s="109"/>
      <c r="AO78" s="109"/>
    </row>
    <row r="79" spans="1:41" ht="15.75" customHeight="1">
      <c r="A79" s="145">
        <v>74</v>
      </c>
      <c r="B79" s="32">
        <f t="shared" ca="1" si="0"/>
        <v>45943.766949999997</v>
      </c>
      <c r="C79" s="145"/>
      <c r="D79" s="155"/>
      <c r="E79" s="58" t="s">
        <v>570</v>
      </c>
      <c r="F79" s="156" t="s">
        <v>201</v>
      </c>
      <c r="G79" s="58" t="s">
        <v>356</v>
      </c>
      <c r="H79" s="21" t="s">
        <v>375</v>
      </c>
      <c r="I79" s="21" t="s">
        <v>237</v>
      </c>
      <c r="J79" s="21"/>
      <c r="K79" s="21"/>
      <c r="L79" s="21"/>
      <c r="M79" s="21"/>
      <c r="N79" s="21"/>
      <c r="O79" s="21"/>
      <c r="P79" s="21"/>
      <c r="Q79" s="21"/>
      <c r="R79" s="58" t="s">
        <v>146</v>
      </c>
      <c r="S79" s="21" t="s">
        <v>140</v>
      </c>
      <c r="T79" s="21" t="s">
        <v>562</v>
      </c>
      <c r="U79" s="21"/>
      <c r="V79" s="21"/>
      <c r="W79" s="24" t="s">
        <v>40</v>
      </c>
      <c r="X79" s="157"/>
      <c r="Y79" s="158"/>
      <c r="Z79" s="159"/>
      <c r="AB79" s="21" t="s">
        <v>571</v>
      </c>
      <c r="AC79" s="21" t="s">
        <v>36</v>
      </c>
      <c r="AD79" s="29" t="s">
        <v>572</v>
      </c>
      <c r="AE79" s="109"/>
      <c r="AF79" s="109"/>
      <c r="AG79" s="109"/>
      <c r="AH79" s="109"/>
      <c r="AI79" s="109"/>
      <c r="AJ79" s="109"/>
      <c r="AK79" s="109"/>
      <c r="AL79" s="109"/>
      <c r="AM79" s="109"/>
      <c r="AN79" s="109"/>
      <c r="AO79" s="109"/>
    </row>
    <row r="80" spans="1:41" ht="30" customHeight="1">
      <c r="A80" s="145">
        <v>75</v>
      </c>
      <c r="B80" s="32">
        <f t="shared" ca="1" si="0"/>
        <v>45943.768689999997</v>
      </c>
      <c r="C80" s="145"/>
      <c r="D80" s="63"/>
      <c r="E80" s="160" t="s">
        <v>573</v>
      </c>
      <c r="F80" s="58" t="s">
        <v>201</v>
      </c>
      <c r="G80" s="21" t="s">
        <v>237</v>
      </c>
      <c r="H80" s="21" t="s">
        <v>356</v>
      </c>
      <c r="I80" s="21" t="s">
        <v>360</v>
      </c>
      <c r="J80" s="21"/>
      <c r="K80" s="69"/>
      <c r="L80" s="21"/>
      <c r="M80" s="21"/>
      <c r="N80" s="21"/>
      <c r="O80" s="21"/>
      <c r="P80" s="21"/>
      <c r="Q80" s="21"/>
      <c r="R80" s="58" t="s">
        <v>146</v>
      </c>
      <c r="S80" s="21" t="s">
        <v>140</v>
      </c>
      <c r="T80" s="21" t="s">
        <v>562</v>
      </c>
      <c r="U80" s="21"/>
      <c r="V80" s="21"/>
      <c r="W80" s="24" t="s">
        <v>40</v>
      </c>
      <c r="X80" s="29"/>
      <c r="Y80" s="29"/>
      <c r="Z80" s="151"/>
      <c r="AA80" s="3"/>
      <c r="AB80" s="21" t="s">
        <v>574</v>
      </c>
      <c r="AC80" s="21" t="s">
        <v>36</v>
      </c>
      <c r="AD80" s="29" t="s">
        <v>575</v>
      </c>
      <c r="AE80" s="3"/>
      <c r="AF80" s="3"/>
      <c r="AG80" s="3"/>
      <c r="AH80" s="3"/>
      <c r="AI80" s="3"/>
      <c r="AJ80" s="3"/>
      <c r="AK80" s="3"/>
      <c r="AL80" s="3"/>
      <c r="AM80" s="3"/>
      <c r="AN80" s="3"/>
      <c r="AO80" s="3"/>
    </row>
    <row r="81" spans="1:41" ht="30" customHeight="1">
      <c r="A81" s="145">
        <v>76</v>
      </c>
      <c r="B81" s="32">
        <f t="shared" ca="1" si="0"/>
        <v>45943.769339999999</v>
      </c>
      <c r="C81" s="150"/>
      <c r="D81" s="63" t="s">
        <v>119</v>
      </c>
      <c r="E81" s="160" t="s">
        <v>573</v>
      </c>
      <c r="F81" s="58" t="s">
        <v>58</v>
      </c>
      <c r="G81" s="21" t="s">
        <v>192</v>
      </c>
      <c r="H81" s="21"/>
      <c r="I81" s="21"/>
      <c r="J81" s="21"/>
      <c r="K81" s="21"/>
      <c r="L81" s="21"/>
      <c r="M81" s="21"/>
      <c r="N81" s="21"/>
      <c r="O81" s="21"/>
      <c r="P81" s="21"/>
      <c r="Q81" s="21"/>
      <c r="R81" s="58" t="s">
        <v>146</v>
      </c>
      <c r="S81" s="21" t="s">
        <v>140</v>
      </c>
      <c r="T81" s="21" t="s">
        <v>562</v>
      </c>
      <c r="U81" s="21"/>
      <c r="V81" s="21"/>
      <c r="W81" s="24" t="s">
        <v>40</v>
      </c>
      <c r="X81" s="158"/>
      <c r="Y81" s="158"/>
      <c r="Z81" s="161"/>
      <c r="AA81" s="3"/>
      <c r="AB81" s="58" t="s">
        <v>576</v>
      </c>
      <c r="AC81" s="21" t="s">
        <v>36</v>
      </c>
      <c r="AD81" s="162" t="s">
        <v>577</v>
      </c>
      <c r="AE81" s="3"/>
      <c r="AF81" s="3"/>
      <c r="AG81" s="3"/>
      <c r="AH81" s="3"/>
      <c r="AI81" s="3"/>
      <c r="AJ81" s="3"/>
      <c r="AK81" s="3"/>
      <c r="AL81" s="3"/>
      <c r="AM81" s="3"/>
      <c r="AN81" s="3"/>
      <c r="AO81" s="3"/>
    </row>
    <row r="82" spans="1:41" ht="30" customHeight="1">
      <c r="A82" s="145">
        <v>77</v>
      </c>
      <c r="B82" s="32">
        <f t="shared" ca="1" si="0"/>
        <v>45953.265930000001</v>
      </c>
      <c r="C82" s="145"/>
      <c r="D82" s="163"/>
      <c r="E82" s="164" t="s">
        <v>578</v>
      </c>
      <c r="F82" s="100" t="s">
        <v>67</v>
      </c>
      <c r="G82" s="165" t="s">
        <v>229</v>
      </c>
      <c r="H82" s="165"/>
      <c r="I82" s="165"/>
      <c r="J82" s="165"/>
      <c r="K82" s="165"/>
      <c r="L82" s="165"/>
      <c r="M82" s="165"/>
      <c r="N82" s="165"/>
      <c r="O82" s="21"/>
      <c r="P82" s="21"/>
      <c r="Q82" s="166" t="s">
        <v>579</v>
      </c>
      <c r="R82" s="58" t="s">
        <v>35</v>
      </c>
      <c r="S82" s="165" t="s">
        <v>140</v>
      </c>
      <c r="T82" s="167" t="s">
        <v>580</v>
      </c>
      <c r="U82" s="165" t="s">
        <v>38</v>
      </c>
      <c r="V82" s="165" t="s">
        <v>39</v>
      </c>
      <c r="W82" s="24" t="s">
        <v>40</v>
      </c>
      <c r="X82" s="89"/>
      <c r="Y82" s="168"/>
      <c r="Z82" s="169"/>
      <c r="AA82" s="3"/>
      <c r="AB82" s="21" t="s">
        <v>581</v>
      </c>
      <c r="AC82" s="21" t="s">
        <v>36</v>
      </c>
      <c r="AD82" s="29" t="s">
        <v>582</v>
      </c>
      <c r="AE82" s="3"/>
      <c r="AF82" s="3"/>
      <c r="AG82" s="3"/>
      <c r="AH82" s="3"/>
      <c r="AI82" s="3"/>
      <c r="AJ82" s="3"/>
      <c r="AK82" s="3"/>
      <c r="AL82" s="3"/>
      <c r="AM82" s="3"/>
      <c r="AN82" s="3"/>
      <c r="AO82" s="3"/>
    </row>
    <row r="83" spans="1:41" ht="30" customHeight="1">
      <c r="A83" s="145">
        <v>78</v>
      </c>
      <c r="B83" s="32">
        <f t="shared" ca="1" si="0"/>
        <v>45953.321300000003</v>
      </c>
      <c r="C83" s="105"/>
      <c r="D83" s="163"/>
      <c r="E83" s="21" t="s">
        <v>583</v>
      </c>
      <c r="F83" s="170" t="s">
        <v>67</v>
      </c>
      <c r="G83" s="165" t="s">
        <v>358</v>
      </c>
      <c r="H83" s="165" t="s">
        <v>374</v>
      </c>
      <c r="I83" s="165"/>
      <c r="J83" s="165"/>
      <c r="K83" s="165"/>
      <c r="L83" s="165"/>
      <c r="M83" s="165"/>
      <c r="N83" s="165"/>
      <c r="O83" s="165"/>
      <c r="P83" s="165"/>
      <c r="Q83" s="165" t="s">
        <v>584</v>
      </c>
      <c r="R83" s="58" t="s">
        <v>146</v>
      </c>
      <c r="S83" s="165" t="s">
        <v>140</v>
      </c>
      <c r="T83" s="21" t="s">
        <v>562</v>
      </c>
      <c r="U83" s="165" t="s">
        <v>38</v>
      </c>
      <c r="V83" s="165"/>
      <c r="W83" s="24" t="s">
        <v>40</v>
      </c>
      <c r="X83" s="158"/>
      <c r="Y83" s="158"/>
      <c r="Z83" s="161"/>
      <c r="AA83" s="3"/>
      <c r="AB83" s="21" t="s">
        <v>585</v>
      </c>
      <c r="AC83" s="21" t="s">
        <v>36</v>
      </c>
      <c r="AD83" s="29" t="s">
        <v>586</v>
      </c>
      <c r="AE83" s="3"/>
      <c r="AF83" s="3"/>
      <c r="AG83" s="3"/>
      <c r="AH83" s="3"/>
      <c r="AI83" s="3"/>
      <c r="AJ83" s="3"/>
      <c r="AK83" s="3"/>
      <c r="AL83" s="3"/>
      <c r="AM83" s="3"/>
      <c r="AN83" s="3"/>
      <c r="AO83" s="3"/>
    </row>
    <row r="84" spans="1:41" ht="15.75" customHeight="1">
      <c r="A84" s="145">
        <v>79</v>
      </c>
      <c r="B84" s="32">
        <f t="shared" ca="1" si="0"/>
        <v>45953.407740000002</v>
      </c>
      <c r="C84" s="134"/>
      <c r="D84" s="163"/>
      <c r="E84" s="3" t="s">
        <v>587</v>
      </c>
      <c r="F84" s="58" t="s">
        <v>67</v>
      </c>
      <c r="G84" s="21" t="s">
        <v>111</v>
      </c>
      <c r="H84" s="21" t="s">
        <v>92</v>
      </c>
      <c r="I84" s="21" t="s">
        <v>94</v>
      </c>
      <c r="J84" s="21" t="s">
        <v>588</v>
      </c>
      <c r="K84" s="21" t="s">
        <v>589</v>
      </c>
      <c r="L84" s="21" t="s">
        <v>102</v>
      </c>
      <c r="M84" s="54" t="s">
        <v>276</v>
      </c>
      <c r="N84" s="21" t="s">
        <v>274</v>
      </c>
      <c r="O84" s="21"/>
      <c r="P84" s="21"/>
      <c r="Q84" s="21"/>
      <c r="R84" s="58" t="s">
        <v>146</v>
      </c>
      <c r="S84" s="21" t="s">
        <v>140</v>
      </c>
      <c r="T84" s="21" t="s">
        <v>562</v>
      </c>
      <c r="U84" s="21"/>
      <c r="V84" s="21"/>
      <c r="W84" s="24" t="s">
        <v>40</v>
      </c>
      <c r="X84" s="171"/>
      <c r="Y84" s="29"/>
      <c r="Z84" s="161"/>
      <c r="AA84" s="3"/>
      <c r="AB84" s="21" t="s">
        <v>590</v>
      </c>
      <c r="AC84" s="21" t="s">
        <v>36</v>
      </c>
      <c r="AD84" s="29" t="s">
        <v>591</v>
      </c>
      <c r="AE84" s="30"/>
      <c r="AF84" s="30"/>
      <c r="AG84" s="30"/>
      <c r="AH84" s="30"/>
      <c r="AI84" s="30"/>
      <c r="AJ84" s="30"/>
      <c r="AK84" s="30"/>
      <c r="AL84" s="30"/>
      <c r="AM84" s="30"/>
      <c r="AN84" s="30"/>
      <c r="AO84" s="30"/>
    </row>
    <row r="85" spans="1:41" ht="30" customHeight="1">
      <c r="A85" s="145">
        <v>80</v>
      </c>
      <c r="B85" s="32">
        <f t="shared" ca="1" si="0"/>
        <v>45953.407740000002</v>
      </c>
      <c r="C85" s="145"/>
      <c r="D85" s="163"/>
      <c r="E85" s="170" t="s">
        <v>592</v>
      </c>
      <c r="F85" s="170" t="s">
        <v>67</v>
      </c>
      <c r="G85" s="170" t="s">
        <v>111</v>
      </c>
      <c r="H85" s="165"/>
      <c r="I85" s="165"/>
      <c r="J85" s="165"/>
      <c r="K85" s="165"/>
      <c r="L85" s="165"/>
      <c r="M85" s="165"/>
      <c r="N85" s="165"/>
      <c r="O85" s="165"/>
      <c r="P85" s="165"/>
      <c r="Q85" s="165" t="s">
        <v>593</v>
      </c>
      <c r="R85" s="58" t="s">
        <v>146</v>
      </c>
      <c r="S85" s="165" t="s">
        <v>140</v>
      </c>
      <c r="T85" s="21" t="s">
        <v>562</v>
      </c>
      <c r="U85" s="165" t="s">
        <v>38</v>
      </c>
      <c r="V85" s="165"/>
      <c r="W85" s="24" t="s">
        <v>40</v>
      </c>
      <c r="X85" s="158"/>
      <c r="Y85" s="172"/>
      <c r="Z85" s="61"/>
      <c r="AB85" s="86" t="s">
        <v>594</v>
      </c>
      <c r="AC85" s="21" t="s">
        <v>36</v>
      </c>
      <c r="AD85" s="29" t="s">
        <v>595</v>
      </c>
      <c r="AE85" s="173"/>
      <c r="AF85" s="173"/>
      <c r="AG85" s="173"/>
      <c r="AH85" s="173"/>
      <c r="AI85" s="173"/>
      <c r="AJ85" s="173"/>
      <c r="AK85" s="173"/>
      <c r="AL85" s="173"/>
      <c r="AM85" s="173"/>
      <c r="AN85" s="173"/>
      <c r="AO85" s="173"/>
    </row>
    <row r="86" spans="1:41" ht="15.75" customHeight="1">
      <c r="A86" s="145">
        <v>81</v>
      </c>
      <c r="B86" s="32">
        <f t="shared" ca="1" si="0"/>
        <v>45953.407740000002</v>
      </c>
      <c r="C86" s="145"/>
      <c r="D86" s="63"/>
      <c r="E86" s="21" t="s">
        <v>596</v>
      </c>
      <c r="F86" s="58" t="s">
        <v>67</v>
      </c>
      <c r="G86" s="54" t="s">
        <v>111</v>
      </c>
      <c r="H86" s="21" t="s">
        <v>220</v>
      </c>
      <c r="I86" s="21"/>
      <c r="J86" s="21"/>
      <c r="K86" s="21"/>
      <c r="L86" s="21"/>
      <c r="M86" s="21"/>
      <c r="N86" s="21"/>
      <c r="O86" s="21"/>
      <c r="P86" s="21"/>
      <c r="Q86" s="21" t="s">
        <v>593</v>
      </c>
      <c r="R86" s="58" t="s">
        <v>146</v>
      </c>
      <c r="S86" s="21" t="s">
        <v>140</v>
      </c>
      <c r="T86" s="21" t="s">
        <v>597</v>
      </c>
      <c r="U86" s="21" t="s">
        <v>38</v>
      </c>
      <c r="V86" s="21"/>
      <c r="W86" s="24" t="s">
        <v>40</v>
      </c>
      <c r="X86" s="29"/>
      <c r="Y86" s="29"/>
      <c r="Z86" s="151"/>
      <c r="AA86" s="3"/>
      <c r="AB86" s="21" t="s">
        <v>598</v>
      </c>
      <c r="AC86" s="21" t="s">
        <v>36</v>
      </c>
      <c r="AD86" s="29" t="s">
        <v>599</v>
      </c>
      <c r="AE86" s="30"/>
      <c r="AF86" s="30"/>
      <c r="AG86" s="30"/>
      <c r="AH86" s="30"/>
      <c r="AI86" s="30"/>
      <c r="AJ86" s="30"/>
      <c r="AK86" s="30"/>
      <c r="AL86" s="30"/>
      <c r="AM86" s="30"/>
      <c r="AN86" s="30"/>
      <c r="AO86" s="30"/>
    </row>
    <row r="87" spans="1:41" ht="30" customHeight="1">
      <c r="A87" s="145">
        <v>82</v>
      </c>
      <c r="B87" s="32">
        <f t="shared" ca="1" si="0"/>
        <v>45953.407740000002</v>
      </c>
      <c r="C87" s="145"/>
      <c r="D87" s="63"/>
      <c r="E87" s="170" t="s">
        <v>600</v>
      </c>
      <c r="F87" s="58" t="s">
        <v>67</v>
      </c>
      <c r="G87" s="58" t="s">
        <v>111</v>
      </c>
      <c r="H87" s="21" t="s">
        <v>102</v>
      </c>
      <c r="I87" s="21" t="s">
        <v>59</v>
      </c>
      <c r="J87" s="21"/>
      <c r="K87" s="21"/>
      <c r="L87" s="21"/>
      <c r="M87" s="69"/>
      <c r="N87" s="21"/>
      <c r="O87" s="21"/>
      <c r="P87" s="21"/>
      <c r="Q87" s="21" t="s">
        <v>601</v>
      </c>
      <c r="R87" s="58" t="s">
        <v>35</v>
      </c>
      <c r="S87" s="21" t="s">
        <v>140</v>
      </c>
      <c r="T87" s="21" t="s">
        <v>85</v>
      </c>
      <c r="U87" s="21" t="s">
        <v>38</v>
      </c>
      <c r="V87" s="21"/>
      <c r="W87" s="24" t="s">
        <v>40</v>
      </c>
      <c r="X87" s="174"/>
      <c r="Y87" s="21"/>
      <c r="Z87" s="61"/>
      <c r="AB87" s="21" t="s">
        <v>602</v>
      </c>
      <c r="AC87" s="21" t="s">
        <v>36</v>
      </c>
      <c r="AD87" s="29" t="s">
        <v>603</v>
      </c>
      <c r="AE87" s="175"/>
    </row>
    <row r="88" spans="1:41" ht="30" customHeight="1">
      <c r="A88" s="145">
        <v>83</v>
      </c>
      <c r="B88" s="32">
        <f t="shared" ca="1" si="0"/>
        <v>45953.429100000001</v>
      </c>
      <c r="C88" s="145"/>
      <c r="D88" s="63"/>
      <c r="E88" s="21" t="s">
        <v>604</v>
      </c>
      <c r="F88" s="58" t="s">
        <v>67</v>
      </c>
      <c r="G88" s="21" t="s">
        <v>588</v>
      </c>
      <c r="H88" s="21" t="s">
        <v>589</v>
      </c>
      <c r="I88" s="21"/>
      <c r="J88" s="21"/>
      <c r="K88" s="21"/>
      <c r="L88" s="21"/>
      <c r="M88" s="21"/>
      <c r="N88" s="21"/>
      <c r="O88" s="21"/>
      <c r="P88" s="21"/>
      <c r="Q88" s="21" t="s">
        <v>605</v>
      </c>
      <c r="R88" s="58" t="s">
        <v>146</v>
      </c>
      <c r="S88" s="21" t="s">
        <v>140</v>
      </c>
      <c r="T88" s="21" t="s">
        <v>562</v>
      </c>
      <c r="U88" s="21" t="s">
        <v>38</v>
      </c>
      <c r="V88" s="21"/>
      <c r="W88" s="24" t="s">
        <v>40</v>
      </c>
      <c r="X88" s="21"/>
      <c r="Y88" s="107"/>
      <c r="Z88" s="61"/>
      <c r="AA88" s="3"/>
      <c r="AB88" s="21" t="s">
        <v>606</v>
      </c>
      <c r="AC88" s="21" t="s">
        <v>36</v>
      </c>
      <c r="AD88" s="29" t="s">
        <v>607</v>
      </c>
      <c r="AE88" s="3"/>
      <c r="AF88" s="3"/>
      <c r="AG88" s="3"/>
      <c r="AH88" s="3"/>
      <c r="AI88" s="3"/>
      <c r="AJ88" s="3"/>
      <c r="AK88" s="3"/>
      <c r="AL88" s="3"/>
      <c r="AM88" s="3"/>
      <c r="AN88" s="3"/>
      <c r="AO88" s="3"/>
    </row>
    <row r="89" spans="1:41" ht="30" customHeight="1">
      <c r="A89" s="145">
        <v>84</v>
      </c>
      <c r="B89" s="32">
        <f t="shared" ca="1" si="0"/>
        <v>45953.48184</v>
      </c>
      <c r="C89" s="145"/>
      <c r="D89" s="176"/>
      <c r="E89" s="58" t="s">
        <v>608</v>
      </c>
      <c r="F89" s="58" t="s">
        <v>201</v>
      </c>
      <c r="G89" s="58" t="s">
        <v>416</v>
      </c>
      <c r="H89" s="21"/>
      <c r="I89" s="21"/>
      <c r="J89" s="21"/>
      <c r="K89" s="69"/>
      <c r="L89" s="21"/>
      <c r="M89" s="21"/>
      <c r="N89" s="21"/>
      <c r="O89" s="21"/>
      <c r="P89" s="21"/>
      <c r="Q89" s="21" t="s">
        <v>609</v>
      </c>
      <c r="R89" s="58" t="s">
        <v>146</v>
      </c>
      <c r="S89" s="21" t="s">
        <v>140</v>
      </c>
      <c r="T89" s="21" t="s">
        <v>562</v>
      </c>
      <c r="U89" s="21" t="s">
        <v>38</v>
      </c>
      <c r="V89" s="21"/>
      <c r="W89" s="24" t="s">
        <v>40</v>
      </c>
      <c r="X89" s="21"/>
      <c r="Y89" s="107"/>
      <c r="Z89" s="177"/>
      <c r="AB89" s="21" t="s">
        <v>610</v>
      </c>
      <c r="AC89" s="21" t="s">
        <v>36</v>
      </c>
      <c r="AD89" s="29" t="s">
        <v>611</v>
      </c>
      <c r="AE89" s="175"/>
    </row>
    <row r="90" spans="1:41" ht="30" customHeight="1">
      <c r="A90" s="145">
        <v>85</v>
      </c>
      <c r="B90" s="32">
        <f t="shared" ca="1" si="0"/>
        <v>45953.52622</v>
      </c>
      <c r="C90" s="145"/>
      <c r="D90" s="63"/>
      <c r="E90" s="58" t="s">
        <v>612</v>
      </c>
      <c r="F90" s="58" t="s">
        <v>201</v>
      </c>
      <c r="G90" s="88" t="s">
        <v>613</v>
      </c>
      <c r="H90" s="21" t="s">
        <v>375</v>
      </c>
      <c r="I90" s="21"/>
      <c r="J90" s="21"/>
      <c r="K90" s="21"/>
      <c r="L90" s="21"/>
      <c r="M90" s="21"/>
      <c r="N90" s="21"/>
      <c r="O90" s="21"/>
      <c r="P90" s="21"/>
      <c r="Q90" s="21"/>
      <c r="R90" s="58" t="s">
        <v>146</v>
      </c>
      <c r="S90" s="21" t="s">
        <v>140</v>
      </c>
      <c r="T90" s="21" t="s">
        <v>562</v>
      </c>
      <c r="U90" s="21" t="s">
        <v>38</v>
      </c>
      <c r="V90" s="21"/>
      <c r="W90" s="24" t="s">
        <v>40</v>
      </c>
      <c r="X90" s="178"/>
      <c r="Y90" s="107"/>
      <c r="Z90" s="61"/>
      <c r="AA90" s="3"/>
      <c r="AB90" s="179" t="s">
        <v>614</v>
      </c>
      <c r="AC90" s="34" t="s">
        <v>36</v>
      </c>
      <c r="AD90" s="180" t="s">
        <v>615</v>
      </c>
      <c r="AE90" s="3" t="s">
        <v>616</v>
      </c>
      <c r="AF90" s="3"/>
      <c r="AG90" s="3"/>
      <c r="AH90" s="3"/>
      <c r="AI90" s="3"/>
      <c r="AJ90" s="3"/>
      <c r="AK90" s="3"/>
      <c r="AL90" s="3"/>
      <c r="AM90" s="3"/>
      <c r="AN90" s="3"/>
      <c r="AO90" s="3"/>
    </row>
    <row r="91" spans="1:41" ht="30" customHeight="1">
      <c r="A91" s="145">
        <v>86</v>
      </c>
      <c r="B91" s="32">
        <f t="shared" ca="1" si="0"/>
        <v>45953.535300000003</v>
      </c>
      <c r="C91" s="154"/>
      <c r="D91" s="63"/>
      <c r="E91" s="58" t="s">
        <v>617</v>
      </c>
      <c r="F91" s="58" t="s">
        <v>32</v>
      </c>
      <c r="G91" s="58" t="s">
        <v>33</v>
      </c>
      <c r="H91" s="21" t="s">
        <v>128</v>
      </c>
      <c r="I91" s="21" t="s">
        <v>531</v>
      </c>
      <c r="J91" s="21" t="s">
        <v>192</v>
      </c>
      <c r="K91" s="21"/>
      <c r="L91" s="69"/>
      <c r="M91" s="21"/>
      <c r="N91" s="21"/>
      <c r="O91" s="21"/>
      <c r="P91" s="21"/>
      <c r="Q91" s="21" t="s">
        <v>618</v>
      </c>
      <c r="R91" s="58" t="s">
        <v>146</v>
      </c>
      <c r="S91" s="21" t="s">
        <v>140</v>
      </c>
      <c r="T91" s="21" t="s">
        <v>562</v>
      </c>
      <c r="U91" s="21" t="s">
        <v>38</v>
      </c>
      <c r="V91" s="21"/>
      <c r="W91" s="24" t="s">
        <v>40</v>
      </c>
      <c r="X91" s="181"/>
      <c r="Y91" s="107"/>
      <c r="Z91" s="56"/>
      <c r="AB91" s="21" t="s">
        <v>619</v>
      </c>
      <c r="AC91" s="182" t="s">
        <v>36</v>
      </c>
      <c r="AD91" s="183" t="s">
        <v>620</v>
      </c>
      <c r="AE91" s="175"/>
    </row>
    <row r="92" spans="1:41" ht="30" customHeight="1">
      <c r="A92" s="145">
        <v>87</v>
      </c>
      <c r="B92" s="32">
        <f t="shared" ca="1" si="0"/>
        <v>45953.538509999998</v>
      </c>
      <c r="C92" s="154"/>
      <c r="D92" s="63"/>
      <c r="E92" s="21" t="s">
        <v>621</v>
      </c>
      <c r="F92" s="58" t="s">
        <v>32</v>
      </c>
      <c r="G92" s="21" t="s">
        <v>33</v>
      </c>
      <c r="H92" s="21"/>
      <c r="I92" s="21"/>
      <c r="J92" s="21"/>
      <c r="K92" s="21"/>
      <c r="L92" s="21"/>
      <c r="M92" s="21"/>
      <c r="N92" s="21"/>
      <c r="O92" s="21"/>
      <c r="P92" s="21"/>
      <c r="Q92" s="21" t="s">
        <v>622</v>
      </c>
      <c r="R92" s="58" t="s">
        <v>146</v>
      </c>
      <c r="S92" s="21" t="s">
        <v>140</v>
      </c>
      <c r="T92" s="21" t="s">
        <v>562</v>
      </c>
      <c r="U92" s="21" t="s">
        <v>38</v>
      </c>
      <c r="V92" s="21"/>
      <c r="W92" s="24" t="s">
        <v>40</v>
      </c>
      <c r="X92" s="178"/>
      <c r="Y92" s="107"/>
      <c r="Z92" s="61"/>
      <c r="AA92" s="3"/>
      <c r="AB92" s="58" t="s">
        <v>623</v>
      </c>
      <c r="AC92" s="34" t="s">
        <v>36</v>
      </c>
      <c r="AD92" s="180" t="s">
        <v>624</v>
      </c>
      <c r="AE92" s="3"/>
      <c r="AF92" s="3"/>
      <c r="AG92" s="3"/>
      <c r="AH92" s="3"/>
      <c r="AI92" s="3"/>
      <c r="AJ92" s="3"/>
      <c r="AK92" s="3"/>
      <c r="AL92" s="3"/>
      <c r="AM92" s="3"/>
      <c r="AN92" s="3"/>
      <c r="AO92" s="3"/>
    </row>
    <row r="93" spans="1:41" ht="30" customHeight="1">
      <c r="A93" s="145">
        <v>88</v>
      </c>
      <c r="B93" s="32">
        <f t="shared" ca="1" si="0"/>
        <v>45953.854370000001</v>
      </c>
      <c r="C93" s="154"/>
      <c r="D93" s="63"/>
      <c r="E93" s="21" t="s">
        <v>625</v>
      </c>
      <c r="F93" s="58" t="s">
        <v>32</v>
      </c>
      <c r="G93" s="21" t="s">
        <v>626</v>
      </c>
      <c r="H93" s="21"/>
      <c r="I93" s="21"/>
      <c r="J93" s="21"/>
      <c r="K93" s="21"/>
      <c r="L93" s="21"/>
      <c r="M93" s="21"/>
      <c r="N93" s="21"/>
      <c r="O93" s="21"/>
      <c r="P93" s="21"/>
      <c r="Q93" s="21" t="s">
        <v>627</v>
      </c>
      <c r="R93" s="58" t="s">
        <v>146</v>
      </c>
      <c r="S93" s="21" t="s">
        <v>140</v>
      </c>
      <c r="T93" s="21" t="s">
        <v>562</v>
      </c>
      <c r="U93" s="21" t="s">
        <v>38</v>
      </c>
      <c r="V93" s="21"/>
      <c r="W93" s="24" t="s">
        <v>40</v>
      </c>
      <c r="X93" s="184"/>
      <c r="Y93" s="29"/>
      <c r="Z93" s="61"/>
      <c r="AA93" s="3"/>
      <c r="AB93" s="58" t="s">
        <v>628</v>
      </c>
      <c r="AC93" s="34" t="s">
        <v>36</v>
      </c>
      <c r="AD93" s="180" t="s">
        <v>629</v>
      </c>
      <c r="AE93" s="3"/>
      <c r="AF93" s="3"/>
      <c r="AG93" s="3"/>
      <c r="AH93" s="3"/>
      <c r="AI93" s="3"/>
      <c r="AJ93" s="3"/>
      <c r="AK93" s="3"/>
      <c r="AL93" s="3"/>
      <c r="AM93" s="3"/>
      <c r="AN93" s="3"/>
      <c r="AO93" s="3"/>
    </row>
    <row r="94" spans="1:41" ht="30" customHeight="1">
      <c r="A94" s="145">
        <v>89</v>
      </c>
      <c r="B94" s="32">
        <f t="shared" ca="1" si="0"/>
        <v>45953.863839999998</v>
      </c>
      <c r="C94" s="154"/>
      <c r="D94" s="63"/>
      <c r="E94" s="21" t="s">
        <v>630</v>
      </c>
      <c r="F94" s="58" t="s">
        <v>32</v>
      </c>
      <c r="G94" s="58"/>
      <c r="H94" s="21" t="s">
        <v>261</v>
      </c>
      <c r="I94" s="21" t="s">
        <v>626</v>
      </c>
      <c r="J94" s="21"/>
      <c r="K94" s="21"/>
      <c r="L94" s="21"/>
      <c r="M94" s="21"/>
      <c r="N94" s="21"/>
      <c r="O94" s="21"/>
      <c r="P94" s="21"/>
      <c r="Q94" s="21" t="s">
        <v>631</v>
      </c>
      <c r="R94" s="58" t="s">
        <v>146</v>
      </c>
      <c r="S94" s="21" t="s">
        <v>140</v>
      </c>
      <c r="T94" s="21" t="s">
        <v>562</v>
      </c>
      <c r="U94" s="21" t="s">
        <v>38</v>
      </c>
      <c r="V94" s="21"/>
      <c r="W94" s="24" t="s">
        <v>40</v>
      </c>
      <c r="X94" s="185"/>
      <c r="Y94" s="107"/>
      <c r="Z94" s="151"/>
      <c r="AB94" s="58" t="s">
        <v>632</v>
      </c>
      <c r="AC94" s="182" t="s">
        <v>36</v>
      </c>
      <c r="AD94" s="183" t="s">
        <v>633</v>
      </c>
      <c r="AE94" s="175"/>
    </row>
    <row r="95" spans="1:41" ht="30" customHeight="1">
      <c r="A95" s="145">
        <v>90</v>
      </c>
      <c r="B95" s="32">
        <f t="shared" ca="1" si="0"/>
        <v>45953.865129999998</v>
      </c>
      <c r="C95" s="154"/>
      <c r="D95" s="63"/>
      <c r="E95" s="21" t="s">
        <v>634</v>
      </c>
      <c r="F95" s="58" t="s">
        <v>32</v>
      </c>
      <c r="G95" s="21" t="s">
        <v>626</v>
      </c>
      <c r="H95" s="21"/>
      <c r="I95" s="21"/>
      <c r="J95" s="21"/>
      <c r="K95" s="21"/>
      <c r="L95" s="21"/>
      <c r="M95" s="21"/>
      <c r="N95" s="21"/>
      <c r="O95" s="21"/>
      <c r="P95" s="21"/>
      <c r="Q95" s="21" t="s">
        <v>635</v>
      </c>
      <c r="R95" s="58" t="s">
        <v>146</v>
      </c>
      <c r="S95" s="21" t="s">
        <v>140</v>
      </c>
      <c r="T95" s="21" t="s">
        <v>636</v>
      </c>
      <c r="U95" s="21" t="s">
        <v>38</v>
      </c>
      <c r="V95" s="21"/>
      <c r="W95" s="24" t="s">
        <v>40</v>
      </c>
      <c r="X95" s="184"/>
      <c r="Y95" s="29"/>
      <c r="Z95" s="151"/>
      <c r="AA95" s="3"/>
      <c r="AB95" s="58" t="s">
        <v>637</v>
      </c>
      <c r="AC95" s="34" t="s">
        <v>36</v>
      </c>
      <c r="AD95" s="180" t="s">
        <v>638</v>
      </c>
      <c r="AE95" s="3"/>
      <c r="AF95" s="3"/>
      <c r="AG95" s="3"/>
      <c r="AH95" s="3"/>
      <c r="AI95" s="3"/>
      <c r="AJ95" s="3"/>
      <c r="AK95" s="3"/>
      <c r="AL95" s="3"/>
      <c r="AM95" s="3"/>
      <c r="AN95" s="3"/>
      <c r="AO95" s="3"/>
    </row>
    <row r="96" spans="1:41" ht="30" customHeight="1">
      <c r="A96" s="145">
        <v>91</v>
      </c>
      <c r="B96" s="32">
        <f t="shared" ca="1" si="0"/>
        <v>45954.454059999996</v>
      </c>
      <c r="C96" s="154"/>
      <c r="D96" s="63"/>
      <c r="E96" s="186" t="s">
        <v>639</v>
      </c>
      <c r="F96" s="58" t="s">
        <v>58</v>
      </c>
      <c r="G96" s="21" t="s">
        <v>102</v>
      </c>
      <c r="H96" s="21" t="s">
        <v>274</v>
      </c>
      <c r="I96" s="21"/>
      <c r="J96" s="21"/>
      <c r="K96" s="21"/>
      <c r="L96" s="21"/>
      <c r="M96" s="21"/>
      <c r="N96" s="21"/>
      <c r="O96" s="21"/>
      <c r="P96" s="21"/>
      <c r="Q96" s="21" t="s">
        <v>640</v>
      </c>
      <c r="R96" s="58" t="s">
        <v>146</v>
      </c>
      <c r="S96" s="21" t="s">
        <v>140</v>
      </c>
      <c r="T96" s="21" t="s">
        <v>562</v>
      </c>
      <c r="U96" s="21" t="s">
        <v>38</v>
      </c>
      <c r="V96" s="21"/>
      <c r="W96" s="24" t="s">
        <v>40</v>
      </c>
      <c r="X96" s="184"/>
      <c r="Y96" s="29"/>
      <c r="Z96" s="61"/>
      <c r="AA96" s="3"/>
      <c r="AB96" s="21" t="s">
        <v>641</v>
      </c>
      <c r="AC96" s="34" t="s">
        <v>36</v>
      </c>
      <c r="AD96" s="180" t="s">
        <v>642</v>
      </c>
      <c r="AE96" s="3"/>
      <c r="AF96" s="3"/>
      <c r="AG96" s="3"/>
      <c r="AH96" s="3"/>
      <c r="AI96" s="3"/>
      <c r="AJ96" s="3"/>
      <c r="AK96" s="3"/>
      <c r="AL96" s="3"/>
      <c r="AM96" s="3"/>
      <c r="AN96" s="3"/>
      <c r="AO96" s="3"/>
    </row>
    <row r="97" spans="1:41" ht="30" customHeight="1">
      <c r="A97" s="145">
        <v>92</v>
      </c>
      <c r="B97" s="32">
        <f t="shared" ca="1" si="0"/>
        <v>45955.864269999998</v>
      </c>
      <c r="C97" s="145" t="s">
        <v>326</v>
      </c>
      <c r="D97" s="63"/>
      <c r="E97" s="21" t="s">
        <v>643</v>
      </c>
      <c r="F97" s="47" t="s">
        <v>201</v>
      </c>
      <c r="G97" s="21" t="s">
        <v>644</v>
      </c>
      <c r="H97" s="21"/>
      <c r="I97" s="21"/>
      <c r="J97" s="21"/>
      <c r="K97" s="21"/>
      <c r="L97" s="21"/>
      <c r="M97" s="21"/>
      <c r="N97" s="21"/>
      <c r="O97" s="21"/>
      <c r="P97" s="21"/>
      <c r="Q97" s="21" t="s">
        <v>645</v>
      </c>
      <c r="R97" s="58" t="s">
        <v>35</v>
      </c>
      <c r="S97" s="21" t="s">
        <v>36</v>
      </c>
      <c r="T97" s="165" t="s">
        <v>408</v>
      </c>
      <c r="U97" s="21" t="s">
        <v>38</v>
      </c>
      <c r="V97" s="21" t="s">
        <v>86</v>
      </c>
      <c r="W97" s="24" t="s">
        <v>40</v>
      </c>
      <c r="X97" s="187" t="s">
        <v>646</v>
      </c>
      <c r="Y97" s="55" t="s">
        <v>647</v>
      </c>
      <c r="Z97" s="61"/>
      <c r="AA97" s="3"/>
      <c r="AB97" s="86" t="s">
        <v>648</v>
      </c>
      <c r="AC97" s="34" t="s">
        <v>36</v>
      </c>
      <c r="AD97" s="180" t="s">
        <v>649</v>
      </c>
      <c r="AE97" s="3"/>
      <c r="AF97" s="3"/>
      <c r="AG97" s="3"/>
      <c r="AH97" s="3"/>
      <c r="AI97" s="3"/>
      <c r="AJ97" s="3"/>
      <c r="AK97" s="3"/>
      <c r="AL97" s="3"/>
      <c r="AM97" s="3"/>
      <c r="AN97" s="3"/>
      <c r="AO97" s="3"/>
    </row>
    <row r="98" spans="1:41" ht="30" customHeight="1">
      <c r="A98" s="145">
        <v>93</v>
      </c>
      <c r="B98" s="32">
        <f t="shared" ca="1" si="0"/>
        <v>45961.748240000001</v>
      </c>
      <c r="C98" s="145" t="s">
        <v>650</v>
      </c>
      <c r="D98" s="155"/>
      <c r="E98" s="21" t="s">
        <v>651</v>
      </c>
      <c r="F98" s="47" t="s">
        <v>49</v>
      </c>
      <c r="G98" s="58" t="s">
        <v>652</v>
      </c>
      <c r="H98" s="21"/>
      <c r="I98" s="21"/>
      <c r="J98" s="21"/>
      <c r="K98" s="21"/>
      <c r="L98" s="21"/>
      <c r="M98" s="21"/>
      <c r="N98" s="21"/>
      <c r="O98" s="21"/>
      <c r="P98" s="21"/>
      <c r="Q98" s="21" t="s">
        <v>653</v>
      </c>
      <c r="R98" s="58" t="s">
        <v>35</v>
      </c>
      <c r="S98" s="21" t="s">
        <v>36</v>
      </c>
      <c r="T98" s="21" t="s">
        <v>654</v>
      </c>
      <c r="U98" s="21" t="s">
        <v>38</v>
      </c>
      <c r="V98" s="21" t="s">
        <v>39</v>
      </c>
      <c r="W98" s="24" t="s">
        <v>40</v>
      </c>
      <c r="X98" s="188" t="s">
        <v>655</v>
      </c>
      <c r="Y98" s="65" t="s">
        <v>656</v>
      </c>
      <c r="Z98" s="151"/>
      <c r="AB98" s="86" t="s">
        <v>657</v>
      </c>
      <c r="AC98" s="182" t="s">
        <v>36</v>
      </c>
      <c r="AD98" s="183" t="s">
        <v>658</v>
      </c>
      <c r="AE98" s="175"/>
    </row>
    <row r="99" spans="1:41" ht="30" customHeight="1">
      <c r="A99" s="145">
        <v>94</v>
      </c>
      <c r="B99" s="32">
        <f t="shared" ca="1" si="0"/>
        <v>45965.413930000002</v>
      </c>
      <c r="C99" s="66"/>
      <c r="D99" s="63"/>
      <c r="E99" s="21" t="s">
        <v>659</v>
      </c>
      <c r="F99" s="58" t="s">
        <v>201</v>
      </c>
      <c r="G99" s="21" t="s">
        <v>497</v>
      </c>
      <c r="H99" s="21" t="s">
        <v>496</v>
      </c>
      <c r="I99" s="21" t="s">
        <v>263</v>
      </c>
      <c r="J99" s="21"/>
      <c r="K99" s="21"/>
      <c r="L99" s="21"/>
      <c r="M99" s="21"/>
      <c r="N99" s="21"/>
      <c r="O99" s="21"/>
      <c r="P99" s="21"/>
      <c r="Q99" s="21" t="s">
        <v>660</v>
      </c>
      <c r="R99" s="58" t="s">
        <v>146</v>
      </c>
      <c r="S99" s="21" t="s">
        <v>140</v>
      </c>
      <c r="T99" s="21" t="s">
        <v>562</v>
      </c>
      <c r="U99" s="21" t="s">
        <v>38</v>
      </c>
      <c r="V99" s="21"/>
      <c r="W99" s="24" t="s">
        <v>40</v>
      </c>
      <c r="X99" s="184"/>
      <c r="Y99" s="29"/>
      <c r="Z99" s="61"/>
      <c r="AA99" s="3"/>
      <c r="AB99" s="21" t="s">
        <v>661</v>
      </c>
      <c r="AC99" s="34" t="s">
        <v>36</v>
      </c>
      <c r="AD99" s="180" t="s">
        <v>662</v>
      </c>
      <c r="AE99" s="3"/>
      <c r="AF99" s="3"/>
      <c r="AG99" s="3"/>
      <c r="AH99" s="3"/>
      <c r="AI99" s="3"/>
      <c r="AJ99" s="3"/>
      <c r="AK99" s="3"/>
      <c r="AL99" s="3"/>
      <c r="AM99" s="3"/>
      <c r="AN99" s="3"/>
      <c r="AO99" s="3"/>
    </row>
    <row r="100" spans="1:41" ht="30" customHeight="1">
      <c r="A100" s="145">
        <v>95</v>
      </c>
      <c r="B100" s="32">
        <f t="shared" ca="1" si="0"/>
        <v>45967.507019999997</v>
      </c>
      <c r="C100" s="154"/>
      <c r="D100" s="63" t="s">
        <v>119</v>
      </c>
      <c r="E100" s="21" t="s">
        <v>663</v>
      </c>
      <c r="F100" s="58" t="s">
        <v>49</v>
      </c>
      <c r="G100" s="21" t="s">
        <v>664</v>
      </c>
      <c r="H100" s="21" t="s">
        <v>237</v>
      </c>
      <c r="I100" s="21"/>
      <c r="J100" s="21"/>
      <c r="K100" s="21"/>
      <c r="L100" s="21"/>
      <c r="M100" s="21"/>
      <c r="N100" s="21"/>
      <c r="O100" s="21"/>
      <c r="P100" s="21"/>
      <c r="Q100" s="21" t="s">
        <v>665</v>
      </c>
      <c r="R100" s="58" t="s">
        <v>35</v>
      </c>
      <c r="S100" s="21" t="s">
        <v>140</v>
      </c>
      <c r="T100" s="165" t="s">
        <v>377</v>
      </c>
      <c r="U100" s="21" t="s">
        <v>38</v>
      </c>
      <c r="V100" s="21" t="s">
        <v>39</v>
      </c>
      <c r="W100" s="24" t="s">
        <v>40</v>
      </c>
      <c r="X100" s="188" t="s">
        <v>666</v>
      </c>
      <c r="Y100" s="65" t="s">
        <v>667</v>
      </c>
      <c r="Z100" s="61"/>
      <c r="AA100" s="3"/>
      <c r="AB100" s="86" t="s">
        <v>668</v>
      </c>
      <c r="AC100" s="34" t="s">
        <v>36</v>
      </c>
      <c r="AD100" s="180" t="s">
        <v>669</v>
      </c>
      <c r="AE100" s="3"/>
      <c r="AF100" s="3"/>
      <c r="AG100" s="3"/>
      <c r="AH100" s="3"/>
      <c r="AI100" s="3"/>
      <c r="AJ100" s="3"/>
      <c r="AK100" s="3"/>
      <c r="AL100" s="3"/>
      <c r="AM100" s="3"/>
      <c r="AN100" s="3"/>
      <c r="AO100" s="3"/>
    </row>
    <row r="101" spans="1:41" ht="30" customHeight="1">
      <c r="A101" s="145">
        <v>96</v>
      </c>
      <c r="B101" s="32">
        <f t="shared" ca="1" si="0"/>
        <v>45967.507019999997</v>
      </c>
      <c r="C101" s="154"/>
      <c r="D101" s="63" t="s">
        <v>119</v>
      </c>
      <c r="E101" s="21" t="s">
        <v>670</v>
      </c>
      <c r="F101" s="58" t="s">
        <v>49</v>
      </c>
      <c r="G101" s="21" t="s">
        <v>664</v>
      </c>
      <c r="H101" s="21" t="s">
        <v>523</v>
      </c>
      <c r="I101" s="21" t="s">
        <v>112</v>
      </c>
      <c r="J101" s="21" t="s">
        <v>652</v>
      </c>
      <c r="K101" s="21" t="s">
        <v>671</v>
      </c>
      <c r="L101" s="21" t="s">
        <v>672</v>
      </c>
      <c r="M101" s="21"/>
      <c r="N101" s="21"/>
      <c r="O101" s="21"/>
      <c r="P101" s="21"/>
      <c r="Q101" s="21"/>
      <c r="R101" s="58" t="s">
        <v>146</v>
      </c>
      <c r="S101" s="21" t="s">
        <v>140</v>
      </c>
      <c r="T101" s="21" t="s">
        <v>673</v>
      </c>
      <c r="U101" s="21" t="s">
        <v>38</v>
      </c>
      <c r="V101" s="21"/>
      <c r="W101" s="24" t="s">
        <v>40</v>
      </c>
      <c r="X101" s="188" t="s">
        <v>674</v>
      </c>
      <c r="Y101" s="29"/>
      <c r="Z101" s="61"/>
      <c r="AA101" s="3"/>
      <c r="AB101" s="86" t="s">
        <v>675</v>
      </c>
      <c r="AC101" s="34" t="s">
        <v>36</v>
      </c>
      <c r="AD101" s="180" t="s">
        <v>676</v>
      </c>
      <c r="AE101" s="3"/>
      <c r="AF101" s="3"/>
      <c r="AG101" s="3"/>
      <c r="AH101" s="3"/>
      <c r="AI101" s="3"/>
      <c r="AJ101" s="3"/>
      <c r="AK101" s="3"/>
      <c r="AL101" s="3"/>
      <c r="AM101" s="3"/>
      <c r="AN101" s="3"/>
      <c r="AO101" s="3"/>
    </row>
    <row r="102" spans="1:41" ht="30" customHeight="1">
      <c r="A102" s="145">
        <v>97</v>
      </c>
      <c r="B102" s="32">
        <f t="shared" ca="1" si="0"/>
        <v>45973.497199999998</v>
      </c>
      <c r="C102" s="145"/>
      <c r="D102" s="63"/>
      <c r="E102" s="21" t="s">
        <v>677</v>
      </c>
      <c r="F102" s="58" t="s">
        <v>201</v>
      </c>
      <c r="G102" s="21" t="s">
        <v>496</v>
      </c>
      <c r="H102" s="21" t="s">
        <v>644</v>
      </c>
      <c r="I102" s="21" t="s">
        <v>359</v>
      </c>
      <c r="J102" s="21" t="s">
        <v>360</v>
      </c>
      <c r="K102" s="21" t="s">
        <v>414</v>
      </c>
      <c r="L102" s="21" t="s">
        <v>497</v>
      </c>
      <c r="M102" s="21"/>
      <c r="N102" s="21"/>
      <c r="O102" s="21"/>
      <c r="P102" s="21"/>
      <c r="Q102" s="21"/>
      <c r="R102" s="58" t="s">
        <v>146</v>
      </c>
      <c r="S102" s="21" t="s">
        <v>140</v>
      </c>
      <c r="T102" s="21" t="s">
        <v>562</v>
      </c>
      <c r="U102" s="21" t="s">
        <v>38</v>
      </c>
      <c r="V102" s="21"/>
      <c r="W102" s="24" t="s">
        <v>40</v>
      </c>
      <c r="X102" s="189"/>
      <c r="Y102" s="89"/>
      <c r="Z102" s="151"/>
      <c r="AA102" s="3"/>
      <c r="AB102" s="86" t="s">
        <v>678</v>
      </c>
      <c r="AC102" s="34" t="s">
        <v>36</v>
      </c>
      <c r="AD102" s="180" t="s">
        <v>679</v>
      </c>
      <c r="AE102" s="3"/>
      <c r="AF102" s="3"/>
      <c r="AG102" s="3"/>
      <c r="AH102" s="3"/>
      <c r="AI102" s="3"/>
      <c r="AJ102" s="3"/>
      <c r="AK102" s="3"/>
      <c r="AL102" s="3"/>
      <c r="AM102" s="3"/>
      <c r="AN102" s="3"/>
      <c r="AO102" s="3"/>
    </row>
    <row r="103" spans="1:41" ht="30" customHeight="1">
      <c r="A103" s="145">
        <v>98</v>
      </c>
      <c r="B103" s="32">
        <f t="shared" ca="1" si="0"/>
        <v>45973.565199999997</v>
      </c>
      <c r="C103" s="145"/>
      <c r="D103" s="63"/>
      <c r="E103" s="21" t="s">
        <v>680</v>
      </c>
      <c r="F103" s="58" t="s">
        <v>58</v>
      </c>
      <c r="G103" s="54" t="s">
        <v>276</v>
      </c>
      <c r="H103" s="21" t="s">
        <v>92</v>
      </c>
      <c r="I103" s="21"/>
      <c r="J103" s="21"/>
      <c r="K103" s="21"/>
      <c r="L103" s="21"/>
      <c r="M103" s="21"/>
      <c r="N103" s="21"/>
      <c r="O103" s="21"/>
      <c r="P103" s="21"/>
      <c r="Q103" s="21" t="s">
        <v>681</v>
      </c>
      <c r="R103" s="58" t="s">
        <v>146</v>
      </c>
      <c r="S103" s="21" t="s">
        <v>140</v>
      </c>
      <c r="T103" s="21" t="s">
        <v>562</v>
      </c>
      <c r="U103" s="21" t="s">
        <v>38</v>
      </c>
      <c r="V103" s="21"/>
      <c r="W103" s="24" t="s">
        <v>40</v>
      </c>
      <c r="X103" s="171"/>
      <c r="Y103" s="29"/>
      <c r="Z103" s="151"/>
      <c r="AA103" s="3"/>
      <c r="AB103" s="86" t="s">
        <v>682</v>
      </c>
      <c r="AC103" s="34" t="s">
        <v>36</v>
      </c>
      <c r="AD103" s="180" t="s">
        <v>683</v>
      </c>
      <c r="AE103" s="3"/>
      <c r="AF103" s="3"/>
      <c r="AG103" s="3"/>
      <c r="AH103" s="3"/>
      <c r="AI103" s="3"/>
      <c r="AJ103" s="3"/>
      <c r="AK103" s="3"/>
      <c r="AL103" s="3"/>
      <c r="AM103" s="3"/>
      <c r="AN103" s="3"/>
      <c r="AO103" s="3"/>
    </row>
    <row r="104" spans="1:41" ht="30" customHeight="1">
      <c r="A104" s="145">
        <v>99</v>
      </c>
      <c r="B104" s="32">
        <f t="shared" ca="1" si="0"/>
        <v>45973.571770000002</v>
      </c>
      <c r="C104" s="145"/>
      <c r="D104" s="63"/>
      <c r="E104" s="58" t="s">
        <v>684</v>
      </c>
      <c r="F104" s="58" t="s">
        <v>58</v>
      </c>
      <c r="G104" s="58" t="s">
        <v>276</v>
      </c>
      <c r="H104" s="54" t="s">
        <v>92</v>
      </c>
      <c r="I104" s="21" t="s">
        <v>102</v>
      </c>
      <c r="J104" s="21" t="s">
        <v>274</v>
      </c>
      <c r="K104" s="21"/>
      <c r="L104" s="21"/>
      <c r="M104" s="21"/>
      <c r="N104" s="21"/>
      <c r="O104" s="21"/>
      <c r="P104" s="21"/>
      <c r="Q104" s="21" t="s">
        <v>685</v>
      </c>
      <c r="R104" s="58" t="s">
        <v>35</v>
      </c>
      <c r="S104" s="21" t="s">
        <v>547</v>
      </c>
      <c r="T104" s="165" t="s">
        <v>254</v>
      </c>
      <c r="U104" s="21" t="s">
        <v>38</v>
      </c>
      <c r="V104" s="21" t="s">
        <v>78</v>
      </c>
      <c r="W104" s="24" t="s">
        <v>40</v>
      </c>
      <c r="X104" s="185"/>
      <c r="Y104" s="107"/>
      <c r="Z104" s="151"/>
      <c r="AB104" s="58" t="s">
        <v>686</v>
      </c>
      <c r="AC104" s="182" t="s">
        <v>36</v>
      </c>
      <c r="AD104" s="183" t="s">
        <v>687</v>
      </c>
      <c r="AE104" s="175"/>
    </row>
    <row r="105" spans="1:41" ht="30" customHeight="1">
      <c r="A105" s="145">
        <v>100</v>
      </c>
      <c r="B105" s="32">
        <f t="shared" ca="1" si="0"/>
        <v>45973.578159999997</v>
      </c>
      <c r="C105" s="145"/>
      <c r="D105" s="63"/>
      <c r="E105" s="21" t="s">
        <v>688</v>
      </c>
      <c r="F105" s="58" t="s">
        <v>58</v>
      </c>
      <c r="G105" s="21" t="s">
        <v>276</v>
      </c>
      <c r="H105" s="21" t="s">
        <v>92</v>
      </c>
      <c r="I105" s="21" t="s">
        <v>102</v>
      </c>
      <c r="J105" s="21" t="s">
        <v>274</v>
      </c>
      <c r="K105" s="21"/>
      <c r="L105" s="21"/>
      <c r="M105" s="21"/>
      <c r="N105" s="21"/>
      <c r="O105" s="21"/>
      <c r="P105" s="21"/>
      <c r="Q105" s="21" t="s">
        <v>689</v>
      </c>
      <c r="R105" s="58" t="s">
        <v>35</v>
      </c>
      <c r="S105" s="21" t="s">
        <v>547</v>
      </c>
      <c r="T105" s="21" t="s">
        <v>690</v>
      </c>
      <c r="U105" s="21" t="s">
        <v>38</v>
      </c>
      <c r="V105" s="21" t="s">
        <v>86</v>
      </c>
      <c r="W105" s="24" t="s">
        <v>40</v>
      </c>
      <c r="X105" s="184"/>
      <c r="Y105" s="29"/>
      <c r="Z105" s="151"/>
      <c r="AA105" s="3"/>
      <c r="AB105" s="58" t="s">
        <v>691</v>
      </c>
      <c r="AC105" s="34" t="s">
        <v>36</v>
      </c>
      <c r="AD105" s="180" t="s">
        <v>692</v>
      </c>
      <c r="AE105" s="3"/>
      <c r="AF105" s="3"/>
      <c r="AG105" s="3"/>
      <c r="AH105" s="3"/>
      <c r="AI105" s="3"/>
      <c r="AJ105" s="3"/>
      <c r="AK105" s="3"/>
      <c r="AL105" s="3"/>
      <c r="AM105" s="3"/>
      <c r="AN105" s="3"/>
      <c r="AO105" s="3"/>
    </row>
    <row r="106" spans="1:41" ht="30" customHeight="1">
      <c r="A106" s="145">
        <v>101</v>
      </c>
      <c r="B106" s="32">
        <f t="shared" ca="1" si="0"/>
        <v>45978.240980000002</v>
      </c>
      <c r="C106" s="154"/>
      <c r="D106" s="63"/>
      <c r="E106" s="115" t="s">
        <v>693</v>
      </c>
      <c r="F106" s="58" t="s">
        <v>201</v>
      </c>
      <c r="G106" s="21" t="s">
        <v>375</v>
      </c>
      <c r="H106" s="88" t="s">
        <v>694</v>
      </c>
      <c r="I106" s="21" t="s">
        <v>374</v>
      </c>
      <c r="J106" s="21" t="s">
        <v>376</v>
      </c>
      <c r="K106" s="21" t="s">
        <v>356</v>
      </c>
      <c r="L106" s="21" t="s">
        <v>360</v>
      </c>
      <c r="M106" s="21" t="s">
        <v>644</v>
      </c>
      <c r="N106" s="21"/>
      <c r="O106" s="21"/>
      <c r="P106" s="21"/>
      <c r="Q106" s="21"/>
      <c r="R106" s="58" t="s">
        <v>146</v>
      </c>
      <c r="S106" s="21" t="s">
        <v>140</v>
      </c>
      <c r="T106" s="21" t="s">
        <v>562</v>
      </c>
      <c r="U106" s="21" t="s">
        <v>38</v>
      </c>
      <c r="V106" s="21"/>
      <c r="W106" s="24" t="s">
        <v>40</v>
      </c>
      <c r="X106" s="190"/>
      <c r="Y106" s="29"/>
      <c r="Z106" s="151"/>
      <c r="AA106" s="3"/>
      <c r="AB106" s="86" t="s">
        <v>695</v>
      </c>
      <c r="AC106" s="34" t="s">
        <v>36</v>
      </c>
      <c r="AD106" s="180" t="s">
        <v>696</v>
      </c>
      <c r="AE106" s="3"/>
      <c r="AF106" s="3"/>
      <c r="AG106" s="3"/>
      <c r="AH106" s="3"/>
      <c r="AI106" s="3"/>
      <c r="AJ106" s="3"/>
      <c r="AK106" s="3"/>
      <c r="AL106" s="3"/>
      <c r="AM106" s="3"/>
      <c r="AN106" s="3"/>
      <c r="AO106" s="3"/>
    </row>
    <row r="107" spans="1:41" ht="30" customHeight="1">
      <c r="A107" s="145">
        <v>102</v>
      </c>
      <c r="B107" s="32">
        <f t="shared" ca="1" si="0"/>
        <v>45980.468840000001</v>
      </c>
      <c r="C107" s="145"/>
      <c r="D107" s="63"/>
      <c r="E107" s="21" t="s">
        <v>697</v>
      </c>
      <c r="F107" s="58" t="s">
        <v>67</v>
      </c>
      <c r="G107" s="21" t="s">
        <v>220</v>
      </c>
      <c r="H107" s="21" t="s">
        <v>588</v>
      </c>
      <c r="I107" s="21" t="s">
        <v>358</v>
      </c>
      <c r="J107" s="21" t="s">
        <v>111</v>
      </c>
      <c r="K107" s="21" t="s">
        <v>229</v>
      </c>
      <c r="L107" s="21" t="s">
        <v>698</v>
      </c>
      <c r="M107" s="21" t="s">
        <v>699</v>
      </c>
      <c r="N107" s="21" t="s">
        <v>68</v>
      </c>
      <c r="O107" s="21"/>
      <c r="P107" s="21"/>
      <c r="Q107" s="21" t="s">
        <v>700</v>
      </c>
      <c r="R107" s="58" t="s">
        <v>139</v>
      </c>
      <c r="S107" s="21" t="s">
        <v>140</v>
      </c>
      <c r="T107" s="21" t="s">
        <v>362</v>
      </c>
      <c r="U107" s="21" t="s">
        <v>38</v>
      </c>
      <c r="V107" s="21"/>
      <c r="W107" s="24" t="s">
        <v>40</v>
      </c>
      <c r="X107" s="184"/>
      <c r="Y107" s="29"/>
      <c r="Z107" s="151"/>
      <c r="AA107" s="3"/>
      <c r="AB107" s="58" t="s">
        <v>701</v>
      </c>
      <c r="AC107" s="34" t="s">
        <v>36</v>
      </c>
      <c r="AD107" s="34" t="s">
        <v>702</v>
      </c>
      <c r="AE107" s="3"/>
      <c r="AF107" s="3"/>
      <c r="AG107" s="3"/>
      <c r="AH107" s="3"/>
      <c r="AI107" s="3"/>
      <c r="AJ107" s="3"/>
      <c r="AK107" s="3"/>
      <c r="AL107" s="3"/>
      <c r="AM107" s="3"/>
      <c r="AN107" s="3"/>
      <c r="AO107" s="3"/>
    </row>
    <row r="108" spans="1:41" ht="30" customHeight="1">
      <c r="A108" s="145">
        <v>103</v>
      </c>
      <c r="B108" s="32">
        <f t="shared" ca="1" si="0"/>
        <v>45981.367489999997</v>
      </c>
      <c r="C108" s="145" t="s">
        <v>650</v>
      </c>
      <c r="D108" s="63"/>
      <c r="E108" s="21" t="s">
        <v>703</v>
      </c>
      <c r="F108" s="47" t="s">
        <v>67</v>
      </c>
      <c r="G108" s="21" t="s">
        <v>704</v>
      </c>
      <c r="H108" s="21"/>
      <c r="I108" s="21"/>
      <c r="J108" s="21"/>
      <c r="K108" s="21"/>
      <c r="L108" s="21"/>
      <c r="M108" s="21"/>
      <c r="N108" s="21"/>
      <c r="O108" s="21"/>
      <c r="P108" s="21"/>
      <c r="Q108" s="21" t="s">
        <v>705</v>
      </c>
      <c r="R108" s="58" t="s">
        <v>35</v>
      </c>
      <c r="S108" s="21" t="s">
        <v>36</v>
      </c>
      <c r="T108" s="165" t="s">
        <v>706</v>
      </c>
      <c r="U108" s="21" t="s">
        <v>38</v>
      </c>
      <c r="V108" s="21" t="s">
        <v>86</v>
      </c>
      <c r="W108" s="24" t="s">
        <v>40</v>
      </c>
      <c r="X108" s="188" t="s">
        <v>707</v>
      </c>
      <c r="Y108" s="65" t="s">
        <v>708</v>
      </c>
      <c r="Z108" s="61"/>
      <c r="AA108" s="3"/>
      <c r="AB108" s="58" t="s">
        <v>709</v>
      </c>
      <c r="AC108" s="34" t="s">
        <v>36</v>
      </c>
      <c r="AD108" s="180" t="s">
        <v>710</v>
      </c>
      <c r="AE108" s="3"/>
      <c r="AF108" s="3"/>
      <c r="AG108" s="3"/>
      <c r="AH108" s="3"/>
      <c r="AI108" s="3"/>
      <c r="AJ108" s="3"/>
      <c r="AK108" s="3"/>
      <c r="AL108" s="3"/>
      <c r="AM108" s="3"/>
      <c r="AN108" s="3"/>
      <c r="AO108" s="3"/>
    </row>
    <row r="109" spans="1:41" ht="30" customHeight="1">
      <c r="A109" s="145">
        <v>104</v>
      </c>
      <c r="B109" s="32">
        <f t="shared" ca="1" si="0"/>
        <v>45981.867440000002</v>
      </c>
      <c r="C109" s="145" t="s">
        <v>650</v>
      </c>
      <c r="D109" s="63"/>
      <c r="E109" s="21" t="s">
        <v>711</v>
      </c>
      <c r="F109" s="47" t="s">
        <v>58</v>
      </c>
      <c r="G109" s="21" t="s">
        <v>103</v>
      </c>
      <c r="H109" s="21"/>
      <c r="I109" s="21"/>
      <c r="J109" s="21"/>
      <c r="K109" s="21"/>
      <c r="L109" s="21"/>
      <c r="M109" s="21"/>
      <c r="N109" s="21"/>
      <c r="O109" s="21"/>
      <c r="P109" s="21"/>
      <c r="Q109" s="21" t="s">
        <v>712</v>
      </c>
      <c r="R109" s="58" t="s">
        <v>35</v>
      </c>
      <c r="S109" s="21" t="s">
        <v>36</v>
      </c>
      <c r="T109" s="165" t="s">
        <v>713</v>
      </c>
      <c r="U109" s="21" t="s">
        <v>38</v>
      </c>
      <c r="V109" s="21" t="s">
        <v>39</v>
      </c>
      <c r="W109" s="24" t="s">
        <v>40</v>
      </c>
      <c r="X109" s="191" t="s">
        <v>714</v>
      </c>
      <c r="Y109" s="65" t="s">
        <v>715</v>
      </c>
      <c r="Z109" s="61"/>
      <c r="AA109" s="3"/>
      <c r="AB109" s="58" t="s">
        <v>716</v>
      </c>
      <c r="AC109" s="34" t="s">
        <v>36</v>
      </c>
      <c r="AD109" s="180" t="s">
        <v>717</v>
      </c>
      <c r="AE109" s="3"/>
      <c r="AF109" s="3"/>
      <c r="AG109" s="3"/>
      <c r="AH109" s="3"/>
      <c r="AI109" s="3"/>
      <c r="AJ109" s="3"/>
      <c r="AK109" s="3"/>
      <c r="AL109" s="3"/>
      <c r="AM109" s="3"/>
      <c r="AN109" s="3"/>
      <c r="AO109" s="3"/>
    </row>
    <row r="110" spans="1:41" ht="30" customHeight="1">
      <c r="A110" s="21"/>
      <c r="B110" s="32">
        <f t="shared" ca="1" si="0"/>
        <v>45981.889710000003</v>
      </c>
      <c r="C110" s="145" t="s">
        <v>650</v>
      </c>
      <c r="D110" s="63"/>
      <c r="E110" s="21" t="s">
        <v>718</v>
      </c>
      <c r="F110" s="47" t="s">
        <v>67</v>
      </c>
      <c r="G110" s="21" t="s">
        <v>68</v>
      </c>
      <c r="H110" s="21"/>
      <c r="I110" s="21"/>
      <c r="J110" s="21"/>
      <c r="K110" s="21"/>
      <c r="L110" s="21"/>
      <c r="M110" s="69"/>
      <c r="N110" s="21"/>
      <c r="O110" s="21"/>
      <c r="P110" s="21"/>
      <c r="Q110" s="21" t="s">
        <v>719</v>
      </c>
      <c r="R110" s="58" t="s">
        <v>35</v>
      </c>
      <c r="S110" s="21" t="s">
        <v>36</v>
      </c>
      <c r="T110" s="165" t="s">
        <v>720</v>
      </c>
      <c r="U110" s="21" t="s">
        <v>38</v>
      </c>
      <c r="V110" s="21" t="s">
        <v>86</v>
      </c>
      <c r="W110" s="24" t="s">
        <v>40</v>
      </c>
      <c r="X110" s="187" t="s">
        <v>721</v>
      </c>
      <c r="Y110" s="65" t="s">
        <v>722</v>
      </c>
      <c r="Z110" s="61"/>
      <c r="AA110" s="3"/>
      <c r="AB110" s="34" t="s">
        <v>723</v>
      </c>
      <c r="AC110" s="34" t="s">
        <v>36</v>
      </c>
      <c r="AD110" s="180" t="s">
        <v>724</v>
      </c>
      <c r="AE110" s="3"/>
      <c r="AF110" s="3"/>
      <c r="AG110" s="3"/>
      <c r="AH110" s="3"/>
      <c r="AI110" s="3"/>
      <c r="AJ110" s="3"/>
      <c r="AK110" s="3"/>
      <c r="AL110" s="3"/>
      <c r="AM110" s="3"/>
      <c r="AN110" s="3"/>
      <c r="AO110" s="3"/>
    </row>
    <row r="111" spans="1:41" ht="30" customHeight="1">
      <c r="A111" s="145">
        <v>106</v>
      </c>
      <c r="B111" s="32">
        <f t="shared" ca="1" si="0"/>
        <v>45981.89385</v>
      </c>
      <c r="C111" s="145" t="s">
        <v>650</v>
      </c>
      <c r="D111" s="63"/>
      <c r="E111" s="21" t="s">
        <v>725</v>
      </c>
      <c r="F111" s="47" t="s">
        <v>67</v>
      </c>
      <c r="G111" s="21" t="s">
        <v>68</v>
      </c>
      <c r="H111" s="21"/>
      <c r="I111" s="21"/>
      <c r="J111" s="21"/>
      <c r="K111" s="21"/>
      <c r="L111" s="21"/>
      <c r="M111" s="21"/>
      <c r="N111" s="21"/>
      <c r="O111" s="21"/>
      <c r="P111" s="21"/>
      <c r="Q111" s="21" t="s">
        <v>726</v>
      </c>
      <c r="R111" s="58" t="s">
        <v>35</v>
      </c>
      <c r="S111" s="21" t="s">
        <v>36</v>
      </c>
      <c r="T111" s="165" t="s">
        <v>720</v>
      </c>
      <c r="U111" s="21" t="s">
        <v>38</v>
      </c>
      <c r="V111" s="21" t="s">
        <v>86</v>
      </c>
      <c r="W111" s="24" t="s">
        <v>40</v>
      </c>
      <c r="X111" s="191" t="s">
        <v>727</v>
      </c>
      <c r="Y111" s="65" t="s">
        <v>728</v>
      </c>
      <c r="Z111" s="61"/>
      <c r="AA111" s="3"/>
      <c r="AB111" s="34" t="s">
        <v>729</v>
      </c>
      <c r="AC111" s="34" t="s">
        <v>36</v>
      </c>
      <c r="AD111" s="180" t="s">
        <v>730</v>
      </c>
      <c r="AE111" s="3"/>
      <c r="AF111" s="3"/>
      <c r="AG111" s="3"/>
      <c r="AH111" s="3"/>
      <c r="AI111" s="3"/>
      <c r="AJ111" s="3"/>
      <c r="AK111" s="3"/>
      <c r="AL111" s="3"/>
      <c r="AM111" s="3"/>
      <c r="AN111" s="3"/>
      <c r="AO111" s="3"/>
    </row>
    <row r="112" spans="1:41" ht="30" customHeight="1">
      <c r="A112" s="145">
        <v>107</v>
      </c>
      <c r="B112" s="32">
        <f t="shared" ca="1" si="0"/>
        <v>45981.897140000001</v>
      </c>
      <c r="C112" s="145" t="s">
        <v>650</v>
      </c>
      <c r="D112" s="63"/>
      <c r="E112" s="21" t="s">
        <v>731</v>
      </c>
      <c r="F112" s="47" t="s">
        <v>67</v>
      </c>
      <c r="G112" s="21" t="s">
        <v>68</v>
      </c>
      <c r="H112" s="21"/>
      <c r="I112" s="21"/>
      <c r="J112" s="21"/>
      <c r="K112" s="21"/>
      <c r="L112" s="21"/>
      <c r="M112" s="21"/>
      <c r="N112" s="21"/>
      <c r="O112" s="21"/>
      <c r="P112" s="21"/>
      <c r="Q112" s="21" t="s">
        <v>732</v>
      </c>
      <c r="R112" s="58" t="s">
        <v>35</v>
      </c>
      <c r="S112" s="21" t="s">
        <v>36</v>
      </c>
      <c r="T112" s="165" t="s">
        <v>555</v>
      </c>
      <c r="U112" s="21" t="s">
        <v>38</v>
      </c>
      <c r="V112" s="21" t="s">
        <v>78</v>
      </c>
      <c r="W112" s="24" t="s">
        <v>40</v>
      </c>
      <c r="X112" s="191" t="s">
        <v>733</v>
      </c>
      <c r="Y112" s="192" t="s">
        <v>734</v>
      </c>
      <c r="Z112" s="151"/>
      <c r="AA112" s="3"/>
      <c r="AB112" s="34" t="s">
        <v>735</v>
      </c>
      <c r="AC112" s="34" t="s">
        <v>36</v>
      </c>
      <c r="AD112" s="180" t="s">
        <v>736</v>
      </c>
      <c r="AE112" s="3"/>
      <c r="AF112" s="3"/>
      <c r="AG112" s="3"/>
      <c r="AH112" s="3"/>
      <c r="AI112" s="3"/>
      <c r="AJ112" s="3"/>
      <c r="AK112" s="3"/>
      <c r="AL112" s="3"/>
      <c r="AM112" s="3"/>
      <c r="AN112" s="3"/>
      <c r="AO112" s="3"/>
    </row>
    <row r="113" spans="1:41" ht="30" customHeight="1">
      <c r="A113" s="145">
        <v>108</v>
      </c>
      <c r="B113" s="32">
        <f t="shared" ca="1" si="0"/>
        <v>45984.980759999999</v>
      </c>
      <c r="C113" s="145" t="s">
        <v>650</v>
      </c>
      <c r="D113" s="63"/>
      <c r="E113" s="193" t="s">
        <v>737</v>
      </c>
      <c r="F113" s="47" t="s">
        <v>58</v>
      </c>
      <c r="G113" s="21" t="s">
        <v>192</v>
      </c>
      <c r="H113" s="21"/>
      <c r="I113" s="21"/>
      <c r="J113" s="21"/>
      <c r="K113" s="21"/>
      <c r="L113" s="21"/>
      <c r="M113" s="21"/>
      <c r="N113" s="21"/>
      <c r="O113" s="21"/>
      <c r="P113" s="21"/>
      <c r="Q113" s="21" t="s">
        <v>738</v>
      </c>
      <c r="R113" s="58" t="s">
        <v>35</v>
      </c>
      <c r="S113" s="21" t="s">
        <v>36</v>
      </c>
      <c r="T113" s="21" t="s">
        <v>739</v>
      </c>
      <c r="U113" s="21" t="s">
        <v>38</v>
      </c>
      <c r="V113" s="21" t="s">
        <v>329</v>
      </c>
      <c r="W113" s="24" t="s">
        <v>40</v>
      </c>
      <c r="X113" s="188" t="s">
        <v>740</v>
      </c>
      <c r="Y113" s="65" t="s">
        <v>741</v>
      </c>
      <c r="Z113" s="151"/>
      <c r="AA113" s="3"/>
      <c r="AB113" s="34" t="s">
        <v>742</v>
      </c>
      <c r="AC113" s="34" t="s">
        <v>36</v>
      </c>
      <c r="AD113" s="34" t="s">
        <v>743</v>
      </c>
      <c r="AE113" s="3"/>
      <c r="AF113" s="3"/>
      <c r="AG113" s="3"/>
      <c r="AH113" s="3"/>
      <c r="AI113" s="3"/>
      <c r="AJ113" s="3"/>
      <c r="AK113" s="3"/>
      <c r="AL113" s="3"/>
      <c r="AM113" s="3"/>
      <c r="AN113" s="3"/>
      <c r="AO113" s="3"/>
    </row>
    <row r="114" spans="1:41" ht="30" customHeight="1">
      <c r="A114" s="145">
        <v>109</v>
      </c>
      <c r="B114" s="32">
        <f t="shared" ca="1" si="0"/>
        <v>45985.411119999997</v>
      </c>
      <c r="C114" s="145" t="s">
        <v>650</v>
      </c>
      <c r="D114" s="63"/>
      <c r="E114" s="21" t="s">
        <v>744</v>
      </c>
      <c r="F114" s="47" t="s">
        <v>201</v>
      </c>
      <c r="G114" s="21" t="s">
        <v>745</v>
      </c>
      <c r="H114" s="21"/>
      <c r="I114" s="21"/>
      <c r="J114" s="21"/>
      <c r="K114" s="21"/>
      <c r="L114" s="21"/>
      <c r="M114" s="21"/>
      <c r="N114" s="21"/>
      <c r="O114" s="21"/>
      <c r="P114" s="21"/>
      <c r="Q114" s="21" t="s">
        <v>746</v>
      </c>
      <c r="R114" s="58" t="s">
        <v>35</v>
      </c>
      <c r="S114" s="21" t="s">
        <v>36</v>
      </c>
      <c r="T114" s="21" t="s">
        <v>747</v>
      </c>
      <c r="U114" s="21" t="s">
        <v>38</v>
      </c>
      <c r="V114" s="21" t="s">
        <v>86</v>
      </c>
      <c r="W114" s="24" t="s">
        <v>40</v>
      </c>
      <c r="X114" s="188" t="s">
        <v>748</v>
      </c>
      <c r="Y114" s="194" t="s">
        <v>749</v>
      </c>
      <c r="Z114" s="61"/>
      <c r="AA114" s="3"/>
      <c r="AB114" s="34" t="s">
        <v>750</v>
      </c>
      <c r="AC114" s="34" t="s">
        <v>36</v>
      </c>
      <c r="AD114" s="180" t="s">
        <v>751</v>
      </c>
      <c r="AE114" s="3"/>
      <c r="AF114" s="3"/>
      <c r="AG114" s="3"/>
      <c r="AH114" s="3"/>
      <c r="AI114" s="3"/>
      <c r="AJ114" s="3"/>
      <c r="AK114" s="3"/>
      <c r="AL114" s="3"/>
      <c r="AM114" s="3"/>
      <c r="AN114" s="3"/>
      <c r="AO114" s="3"/>
    </row>
    <row r="115" spans="1:41" ht="30" customHeight="1">
      <c r="A115" s="145">
        <v>110</v>
      </c>
      <c r="B115" s="32">
        <f t="shared" ca="1" si="0"/>
        <v>45987.764199999998</v>
      </c>
      <c r="C115" s="154"/>
      <c r="D115" s="63"/>
      <c r="E115" s="21" t="s">
        <v>752</v>
      </c>
      <c r="F115" s="58" t="s">
        <v>58</v>
      </c>
      <c r="G115" s="21" t="s">
        <v>274</v>
      </c>
      <c r="H115" s="21"/>
      <c r="I115" s="21"/>
      <c r="J115" s="21"/>
      <c r="K115" s="21"/>
      <c r="L115" s="21"/>
      <c r="M115" s="21"/>
      <c r="N115" s="21"/>
      <c r="O115" s="21"/>
      <c r="P115" s="21"/>
      <c r="Q115" s="21" t="s">
        <v>753</v>
      </c>
      <c r="R115" s="58" t="s">
        <v>146</v>
      </c>
      <c r="S115" s="21" t="s">
        <v>36</v>
      </c>
      <c r="T115" s="21" t="s">
        <v>754</v>
      </c>
      <c r="U115" s="21" t="s">
        <v>755</v>
      </c>
      <c r="V115" s="21"/>
      <c r="W115" s="24" t="s">
        <v>40</v>
      </c>
      <c r="X115" s="188" t="s">
        <v>756</v>
      </c>
      <c r="Y115" s="195"/>
      <c r="Z115" s="3"/>
      <c r="AA115" s="3"/>
      <c r="AB115" s="34" t="s">
        <v>757</v>
      </c>
      <c r="AC115" s="34" t="s">
        <v>36</v>
      </c>
      <c r="AD115" s="180" t="s">
        <v>758</v>
      </c>
      <c r="AE115" s="3"/>
      <c r="AF115" s="3"/>
      <c r="AG115" s="3"/>
      <c r="AH115" s="3"/>
      <c r="AI115" s="3"/>
      <c r="AJ115" s="3"/>
      <c r="AK115" s="3"/>
      <c r="AL115" s="3"/>
      <c r="AM115" s="3"/>
      <c r="AN115" s="3"/>
      <c r="AO115" s="3"/>
    </row>
    <row r="116" spans="1:41" ht="30" customHeight="1">
      <c r="A116" s="145">
        <v>111</v>
      </c>
      <c r="B116" s="32">
        <f t="shared" ca="1" si="0"/>
        <v>45989.564760000001</v>
      </c>
      <c r="C116" s="154"/>
      <c r="D116" s="63"/>
      <c r="E116" s="21" t="s">
        <v>759</v>
      </c>
      <c r="F116" s="58" t="s">
        <v>58</v>
      </c>
      <c r="G116" s="21" t="s">
        <v>59</v>
      </c>
      <c r="H116" s="21"/>
      <c r="I116" s="21"/>
      <c r="J116" s="21"/>
      <c r="K116" s="21"/>
      <c r="L116" s="21"/>
      <c r="M116" s="21"/>
      <c r="N116" s="21"/>
      <c r="O116" s="21"/>
      <c r="P116" s="21"/>
      <c r="Q116" s="21" t="s">
        <v>760</v>
      </c>
      <c r="R116" s="58" t="s">
        <v>146</v>
      </c>
      <c r="S116" s="21" t="s">
        <v>140</v>
      </c>
      <c r="T116" s="21" t="s">
        <v>562</v>
      </c>
      <c r="U116" s="21" t="s">
        <v>38</v>
      </c>
      <c r="V116" s="21"/>
      <c r="W116" s="24" t="s">
        <v>40</v>
      </c>
      <c r="X116" s="184"/>
      <c r="Y116" s="107"/>
      <c r="Z116" s="61"/>
      <c r="AA116" s="3"/>
      <c r="AB116" s="34" t="s">
        <v>761</v>
      </c>
      <c r="AC116" s="34" t="s">
        <v>36</v>
      </c>
      <c r="AD116" s="180" t="s">
        <v>762</v>
      </c>
      <c r="AE116" s="3"/>
      <c r="AF116" s="3"/>
      <c r="AG116" s="3"/>
      <c r="AH116" s="3"/>
      <c r="AI116" s="3"/>
      <c r="AJ116" s="3"/>
      <c r="AK116" s="3"/>
      <c r="AL116" s="3"/>
      <c r="AM116" s="3"/>
      <c r="AN116" s="3"/>
      <c r="AO116" s="3"/>
    </row>
    <row r="117" spans="1:41" ht="30" customHeight="1">
      <c r="A117" s="145">
        <v>112</v>
      </c>
      <c r="B117" s="32">
        <f t="shared" ca="1" si="0"/>
        <v>45989.582369999996</v>
      </c>
      <c r="C117" s="145"/>
      <c r="D117" s="63"/>
      <c r="E117" s="21" t="s">
        <v>763</v>
      </c>
      <c r="F117" s="58" t="s">
        <v>58</v>
      </c>
      <c r="G117" s="21" t="s">
        <v>59</v>
      </c>
      <c r="H117" s="21" t="s">
        <v>102</v>
      </c>
      <c r="I117" s="21"/>
      <c r="J117" s="21"/>
      <c r="K117" s="21"/>
      <c r="L117" s="21"/>
      <c r="M117" s="21"/>
      <c r="N117" s="21"/>
      <c r="O117" s="21"/>
      <c r="P117" s="21"/>
      <c r="Q117" s="21" t="s">
        <v>764</v>
      </c>
      <c r="R117" s="58" t="s">
        <v>146</v>
      </c>
      <c r="S117" s="21" t="s">
        <v>140</v>
      </c>
      <c r="T117" s="21" t="s">
        <v>562</v>
      </c>
      <c r="U117" s="21" t="s">
        <v>38</v>
      </c>
      <c r="V117" s="21"/>
      <c r="W117" s="24" t="s">
        <v>40</v>
      </c>
      <c r="X117" s="171"/>
      <c r="Y117" s="29"/>
      <c r="Z117" s="151"/>
      <c r="AA117" s="3"/>
      <c r="AB117" s="34" t="s">
        <v>765</v>
      </c>
      <c r="AC117" s="34" t="s">
        <v>36</v>
      </c>
      <c r="AD117" s="180" t="s">
        <v>766</v>
      </c>
      <c r="AE117" s="3"/>
      <c r="AF117" s="3"/>
      <c r="AG117" s="3"/>
      <c r="AH117" s="3"/>
      <c r="AI117" s="3"/>
      <c r="AJ117" s="3"/>
      <c r="AK117" s="3"/>
      <c r="AL117" s="3"/>
      <c r="AM117" s="3"/>
      <c r="AN117" s="3"/>
      <c r="AO117" s="3"/>
    </row>
    <row r="118" spans="1:41" ht="30" customHeight="1">
      <c r="A118" s="145">
        <v>113</v>
      </c>
      <c r="B118" s="32">
        <f t="shared" ca="1" si="0"/>
        <v>45994.54866</v>
      </c>
      <c r="C118" s="145"/>
      <c r="D118" s="63"/>
      <c r="E118" s="21" t="s">
        <v>767</v>
      </c>
      <c r="F118" s="58" t="s">
        <v>201</v>
      </c>
      <c r="G118" s="21" t="s">
        <v>415</v>
      </c>
      <c r="H118" s="21" t="s">
        <v>193</v>
      </c>
      <c r="I118" s="21"/>
      <c r="J118" s="21"/>
      <c r="K118" s="21"/>
      <c r="L118" s="21"/>
      <c r="M118" s="21"/>
      <c r="N118" s="21"/>
      <c r="O118" s="21"/>
      <c r="P118" s="21"/>
      <c r="Q118" s="21" t="s">
        <v>768</v>
      </c>
      <c r="R118" s="58" t="s">
        <v>146</v>
      </c>
      <c r="S118" s="21" t="s">
        <v>140</v>
      </c>
      <c r="T118" s="21" t="s">
        <v>562</v>
      </c>
      <c r="U118" s="21" t="s">
        <v>38</v>
      </c>
      <c r="V118" s="21"/>
      <c r="W118" s="24" t="s">
        <v>40</v>
      </c>
      <c r="X118" s="171"/>
      <c r="Y118" s="29"/>
      <c r="Z118" s="151"/>
      <c r="AA118" s="3"/>
      <c r="AB118" s="34" t="s">
        <v>769</v>
      </c>
      <c r="AC118" s="34" t="s">
        <v>36</v>
      </c>
      <c r="AD118" s="180" t="s">
        <v>770</v>
      </c>
      <c r="AE118" s="3"/>
      <c r="AF118" s="3"/>
      <c r="AG118" s="3"/>
      <c r="AH118" s="3"/>
      <c r="AI118" s="3"/>
      <c r="AJ118" s="3"/>
      <c r="AK118" s="3"/>
      <c r="AL118" s="3"/>
      <c r="AM118" s="3"/>
      <c r="AN118" s="3"/>
      <c r="AO118" s="3"/>
    </row>
    <row r="119" spans="1:41" ht="30" customHeight="1">
      <c r="A119" s="145">
        <v>114</v>
      </c>
      <c r="B119" s="32">
        <f t="shared" ca="1" si="0"/>
        <v>45994.555840000001</v>
      </c>
      <c r="C119" s="145"/>
      <c r="D119" s="63"/>
      <c r="E119" s="21" t="s">
        <v>771</v>
      </c>
      <c r="F119" s="58" t="s">
        <v>201</v>
      </c>
      <c r="G119" s="21" t="s">
        <v>415</v>
      </c>
      <c r="H119" s="88" t="s">
        <v>772</v>
      </c>
      <c r="I119" s="21" t="s">
        <v>193</v>
      </c>
      <c r="J119" s="21" t="s">
        <v>414</v>
      </c>
      <c r="K119" s="21" t="s">
        <v>357</v>
      </c>
      <c r="L119" s="21"/>
      <c r="M119" s="21"/>
      <c r="N119" s="21"/>
      <c r="O119" s="21"/>
      <c r="P119" s="21"/>
      <c r="Q119" s="21" t="s">
        <v>773</v>
      </c>
      <c r="R119" s="58" t="s">
        <v>146</v>
      </c>
      <c r="S119" s="21" t="s">
        <v>140</v>
      </c>
      <c r="T119" s="21" t="s">
        <v>562</v>
      </c>
      <c r="U119" s="21" t="s">
        <v>38</v>
      </c>
      <c r="V119" s="21"/>
      <c r="W119" s="24" t="s">
        <v>40</v>
      </c>
      <c r="X119" s="190"/>
      <c r="Y119" s="29"/>
      <c r="Z119" s="125"/>
      <c r="AA119" s="3"/>
      <c r="AB119" s="34" t="s">
        <v>774</v>
      </c>
      <c r="AC119" s="34" t="s">
        <v>36</v>
      </c>
      <c r="AD119" s="180" t="s">
        <v>775</v>
      </c>
      <c r="AE119" s="3"/>
      <c r="AF119" s="3"/>
      <c r="AG119" s="3"/>
      <c r="AH119" s="3"/>
      <c r="AI119" s="3"/>
      <c r="AJ119" s="3"/>
      <c r="AK119" s="3"/>
      <c r="AL119" s="3"/>
      <c r="AM119" s="3"/>
      <c r="AN119" s="3"/>
      <c r="AO119" s="3"/>
    </row>
    <row r="120" spans="1:41" ht="30" customHeight="1">
      <c r="A120" s="145">
        <v>115</v>
      </c>
      <c r="B120" s="32">
        <f t="shared" ca="1" si="0"/>
        <v>45995.004529999998</v>
      </c>
      <c r="C120" s="145" t="s">
        <v>182</v>
      </c>
      <c r="D120" s="63"/>
      <c r="E120" s="196" t="s">
        <v>776</v>
      </c>
      <c r="F120" s="47" t="s">
        <v>58</v>
      </c>
      <c r="G120" s="21" t="s">
        <v>169</v>
      </c>
      <c r="H120" s="21"/>
      <c r="I120" s="21"/>
      <c r="J120" s="21"/>
      <c r="K120" s="21"/>
      <c r="L120" s="21"/>
      <c r="M120" s="21"/>
      <c r="N120" s="21"/>
      <c r="O120" s="21"/>
      <c r="P120" s="21"/>
      <c r="Q120" s="196" t="s">
        <v>777</v>
      </c>
      <c r="R120" s="58" t="s">
        <v>35</v>
      </c>
      <c r="S120" s="21" t="s">
        <v>36</v>
      </c>
      <c r="T120" s="21" t="s">
        <v>778</v>
      </c>
      <c r="U120" s="21" t="s">
        <v>38</v>
      </c>
      <c r="V120" s="21" t="s">
        <v>86</v>
      </c>
      <c r="W120" s="24" t="s">
        <v>40</v>
      </c>
      <c r="X120" s="188" t="s">
        <v>779</v>
      </c>
      <c r="Y120" s="55" t="s">
        <v>780</v>
      </c>
      <c r="Z120" s="61"/>
      <c r="AA120" s="3"/>
      <c r="AB120" s="34" t="s">
        <v>781</v>
      </c>
      <c r="AC120" s="34" t="s">
        <v>36</v>
      </c>
      <c r="AD120" s="180" t="s">
        <v>782</v>
      </c>
      <c r="AE120" s="3"/>
      <c r="AF120" s="3"/>
      <c r="AG120" s="3"/>
      <c r="AH120" s="3"/>
      <c r="AI120" s="3"/>
      <c r="AJ120" s="3"/>
      <c r="AK120" s="3"/>
      <c r="AL120" s="3"/>
      <c r="AM120" s="3"/>
      <c r="AN120" s="3"/>
      <c r="AO120" s="3"/>
    </row>
    <row r="121" spans="1:41" ht="30" customHeight="1">
      <c r="A121" s="145">
        <v>116</v>
      </c>
      <c r="B121" s="32">
        <f t="shared" ca="1" si="0"/>
        <v>45998.448700000001</v>
      </c>
      <c r="C121" s="145" t="s">
        <v>182</v>
      </c>
      <c r="D121" s="63"/>
      <c r="E121" s="197" t="s">
        <v>783</v>
      </c>
      <c r="F121" s="47" t="s">
        <v>49</v>
      </c>
      <c r="G121" s="58" t="s">
        <v>291</v>
      </c>
      <c r="H121" s="21"/>
      <c r="I121" s="21"/>
      <c r="J121" s="21"/>
      <c r="K121" s="21"/>
      <c r="L121" s="21"/>
      <c r="M121" s="21"/>
      <c r="N121" s="21"/>
      <c r="O121" s="21"/>
      <c r="P121" s="21"/>
      <c r="Q121" s="21" t="s">
        <v>784</v>
      </c>
      <c r="R121" s="58" t="s">
        <v>35</v>
      </c>
      <c r="S121" s="21" t="s">
        <v>36</v>
      </c>
      <c r="T121" s="21" t="s">
        <v>785</v>
      </c>
      <c r="U121" s="21" t="s">
        <v>38</v>
      </c>
      <c r="V121" s="21" t="s">
        <v>78</v>
      </c>
      <c r="W121" s="24" t="s">
        <v>40</v>
      </c>
      <c r="X121" s="198" t="s">
        <v>786</v>
      </c>
      <c r="Y121" s="65" t="s">
        <v>787</v>
      </c>
      <c r="Z121" s="151"/>
      <c r="AB121" s="182" t="s">
        <v>788</v>
      </c>
      <c r="AC121" s="182" t="s">
        <v>36</v>
      </c>
      <c r="AD121" s="183" t="s">
        <v>789</v>
      </c>
      <c r="AE121" s="175"/>
    </row>
    <row r="122" spans="1:41" ht="30" customHeight="1">
      <c r="A122" s="145">
        <v>117</v>
      </c>
      <c r="B122" s="32">
        <f t="shared" ca="1" si="0"/>
        <v>46002.869780000001</v>
      </c>
      <c r="C122" s="145"/>
      <c r="D122" s="63"/>
      <c r="E122" s="128" t="s">
        <v>790</v>
      </c>
      <c r="F122" s="106" t="s">
        <v>201</v>
      </c>
      <c r="G122" s="99" t="s">
        <v>644</v>
      </c>
      <c r="H122" s="99"/>
      <c r="I122" s="99"/>
      <c r="J122" s="99"/>
      <c r="K122" s="99"/>
      <c r="L122" s="99"/>
      <c r="M122" s="99"/>
      <c r="N122" s="99"/>
      <c r="O122" s="99"/>
      <c r="P122" s="99"/>
      <c r="Q122" s="99" t="s">
        <v>791</v>
      </c>
      <c r="R122" s="106" t="s">
        <v>146</v>
      </c>
      <c r="S122" s="22" t="s">
        <v>140</v>
      </c>
      <c r="T122" s="22" t="s">
        <v>562</v>
      </c>
      <c r="U122" s="22" t="s">
        <v>38</v>
      </c>
      <c r="V122" s="99"/>
      <c r="W122" s="199" t="s">
        <v>792</v>
      </c>
      <c r="X122" s="99"/>
      <c r="Y122" s="99"/>
      <c r="Z122" s="99"/>
      <c r="AB122" s="182" t="s">
        <v>793</v>
      </c>
      <c r="AC122" s="182" t="s">
        <v>36</v>
      </c>
      <c r="AD122" s="183" t="s">
        <v>794</v>
      </c>
      <c r="AE122" s="175"/>
    </row>
    <row r="123" spans="1:41" ht="30" customHeight="1">
      <c r="A123" s="145">
        <v>118</v>
      </c>
      <c r="B123" s="32">
        <f t="shared" ca="1" si="0"/>
        <v>46002.869780000001</v>
      </c>
      <c r="C123" s="150"/>
      <c r="D123" s="63"/>
      <c r="E123" s="22" t="s">
        <v>298</v>
      </c>
      <c r="F123" s="106" t="s">
        <v>32</v>
      </c>
      <c r="G123" s="22" t="s">
        <v>263</v>
      </c>
      <c r="H123" s="22" t="s">
        <v>33</v>
      </c>
      <c r="I123" s="22" t="s">
        <v>128</v>
      </c>
      <c r="J123" s="22" t="s">
        <v>262</v>
      </c>
      <c r="K123" s="22" t="s">
        <v>261</v>
      </c>
      <c r="L123" s="22" t="s">
        <v>260</v>
      </c>
      <c r="M123" s="22"/>
      <c r="N123" s="22"/>
      <c r="O123" s="22"/>
      <c r="P123" s="22"/>
      <c r="Q123" s="22"/>
      <c r="R123" s="106" t="s">
        <v>35</v>
      </c>
      <c r="S123" s="22" t="s">
        <v>36</v>
      </c>
      <c r="T123" s="22" t="s">
        <v>299</v>
      </c>
      <c r="U123" s="22" t="s">
        <v>38</v>
      </c>
      <c r="V123" s="22" t="s">
        <v>39</v>
      </c>
      <c r="W123" s="199" t="s">
        <v>795</v>
      </c>
      <c r="X123" s="200" t="s">
        <v>796</v>
      </c>
      <c r="Y123" s="201" t="s">
        <v>301</v>
      </c>
      <c r="Z123" s="202"/>
      <c r="AA123" s="3"/>
      <c r="AB123" s="34" t="s">
        <v>797</v>
      </c>
      <c r="AC123" s="34" t="s">
        <v>36</v>
      </c>
      <c r="AD123" s="180" t="s">
        <v>798</v>
      </c>
      <c r="AE123" s="3"/>
      <c r="AF123" s="3"/>
      <c r="AG123" s="3"/>
      <c r="AH123" s="3"/>
      <c r="AI123" s="3"/>
      <c r="AJ123" s="3"/>
      <c r="AK123" s="3"/>
      <c r="AL123" s="3"/>
      <c r="AM123" s="3"/>
      <c r="AN123" s="3"/>
      <c r="AO123" s="3"/>
    </row>
    <row r="124" spans="1:41" ht="30" customHeight="1">
      <c r="A124" s="145">
        <v>119</v>
      </c>
      <c r="B124" s="32">
        <f t="shared" ca="1" si="0"/>
        <v>46002.869780000001</v>
      </c>
      <c r="C124" s="154"/>
      <c r="D124" s="63"/>
      <c r="E124" s="22" t="s">
        <v>799</v>
      </c>
      <c r="F124" s="106" t="s">
        <v>32</v>
      </c>
      <c r="G124" s="22" t="s">
        <v>262</v>
      </c>
      <c r="H124" s="22" t="s">
        <v>261</v>
      </c>
      <c r="I124" s="22"/>
      <c r="J124" s="22"/>
      <c r="K124" s="22"/>
      <c r="L124" s="22"/>
      <c r="M124" s="22"/>
      <c r="N124" s="22"/>
      <c r="O124" s="22"/>
      <c r="P124" s="22"/>
      <c r="Q124" s="22" t="s">
        <v>800</v>
      </c>
      <c r="R124" s="106" t="s">
        <v>146</v>
      </c>
      <c r="S124" s="22" t="s">
        <v>140</v>
      </c>
      <c r="T124" s="21" t="s">
        <v>562</v>
      </c>
      <c r="U124" s="22" t="s">
        <v>38</v>
      </c>
      <c r="V124" s="22"/>
      <c r="W124" s="199" t="s">
        <v>801</v>
      </c>
      <c r="X124" s="203"/>
      <c r="Y124" s="204"/>
      <c r="Z124" s="202"/>
      <c r="AA124" s="3"/>
      <c r="AB124" s="34" t="s">
        <v>802</v>
      </c>
      <c r="AC124" s="34" t="s">
        <v>36</v>
      </c>
      <c r="AD124" s="180" t="s">
        <v>803</v>
      </c>
      <c r="AE124" s="3"/>
      <c r="AF124" s="3"/>
      <c r="AG124" s="3"/>
      <c r="AH124" s="3"/>
      <c r="AI124" s="3"/>
      <c r="AJ124" s="3"/>
      <c r="AK124" s="3"/>
      <c r="AL124" s="3"/>
      <c r="AM124" s="3"/>
      <c r="AN124" s="3"/>
      <c r="AO124" s="3"/>
    </row>
    <row r="125" spans="1:41" ht="30" customHeight="1">
      <c r="A125" s="145">
        <v>120</v>
      </c>
      <c r="B125" s="32">
        <f t="shared" ca="1" si="0"/>
        <v>46002.869780000001</v>
      </c>
      <c r="C125" s="154"/>
      <c r="D125" s="63"/>
      <c r="E125" s="22" t="s">
        <v>804</v>
      </c>
      <c r="F125" s="106" t="s">
        <v>32</v>
      </c>
      <c r="G125" s="22" t="s">
        <v>128</v>
      </c>
      <c r="H125" s="22" t="s">
        <v>263</v>
      </c>
      <c r="I125" s="22"/>
      <c r="J125" s="22"/>
      <c r="K125" s="22"/>
      <c r="L125" s="22"/>
      <c r="M125" s="22"/>
      <c r="N125" s="22"/>
      <c r="O125" s="22"/>
      <c r="P125" s="22"/>
      <c r="Q125" s="22" t="s">
        <v>805</v>
      </c>
      <c r="R125" s="106" t="s">
        <v>146</v>
      </c>
      <c r="S125" s="22" t="s">
        <v>140</v>
      </c>
      <c r="T125" s="21" t="s">
        <v>562</v>
      </c>
      <c r="U125" s="22" t="s">
        <v>38</v>
      </c>
      <c r="V125" s="22"/>
      <c r="W125" s="199" t="s">
        <v>806</v>
      </c>
      <c r="X125" s="203"/>
      <c r="Y125" s="204"/>
      <c r="Z125" s="202"/>
      <c r="AA125" s="3"/>
      <c r="AB125" s="34" t="s">
        <v>807</v>
      </c>
      <c r="AC125" s="34" t="s">
        <v>36</v>
      </c>
      <c r="AD125" s="180" t="s">
        <v>808</v>
      </c>
      <c r="AE125" s="3"/>
      <c r="AF125" s="3"/>
      <c r="AG125" s="3"/>
      <c r="AH125" s="3"/>
      <c r="AI125" s="3"/>
      <c r="AJ125" s="3"/>
      <c r="AK125" s="3"/>
      <c r="AL125" s="3"/>
      <c r="AM125" s="3"/>
      <c r="AN125" s="3"/>
      <c r="AO125" s="3"/>
    </row>
    <row r="126" spans="1:41" ht="30" customHeight="1">
      <c r="A126" s="145">
        <v>121</v>
      </c>
      <c r="B126" s="32">
        <f t="shared" ca="1" si="0"/>
        <v>46002.869780000001</v>
      </c>
      <c r="C126" s="154"/>
      <c r="D126" s="63"/>
      <c r="E126" s="22" t="s">
        <v>809</v>
      </c>
      <c r="F126" s="106" t="s">
        <v>32</v>
      </c>
      <c r="G126" s="22" t="s">
        <v>359</v>
      </c>
      <c r="H126" s="22" t="s">
        <v>263</v>
      </c>
      <c r="I126" s="22"/>
      <c r="J126" s="22"/>
      <c r="K126" s="22"/>
      <c r="L126" s="22"/>
      <c r="M126" s="22"/>
      <c r="N126" s="22"/>
      <c r="O126" s="22"/>
      <c r="P126" s="22"/>
      <c r="Q126" s="205" t="s">
        <v>810</v>
      </c>
      <c r="R126" s="106" t="s">
        <v>146</v>
      </c>
      <c r="S126" s="22" t="s">
        <v>140</v>
      </c>
      <c r="T126" s="21" t="s">
        <v>562</v>
      </c>
      <c r="U126" s="22" t="s">
        <v>38</v>
      </c>
      <c r="V126" s="22"/>
      <c r="W126" s="199" t="s">
        <v>811</v>
      </c>
      <c r="X126" s="203"/>
      <c r="Y126" s="204"/>
      <c r="Z126" s="202"/>
      <c r="AA126" s="3"/>
      <c r="AB126" s="34" t="s">
        <v>812</v>
      </c>
      <c r="AC126" s="34" t="s">
        <v>36</v>
      </c>
      <c r="AD126" s="180" t="s">
        <v>813</v>
      </c>
      <c r="AE126" s="3"/>
      <c r="AF126" s="3"/>
      <c r="AG126" s="3"/>
      <c r="AH126" s="3"/>
      <c r="AI126" s="3"/>
      <c r="AJ126" s="3"/>
      <c r="AK126" s="3"/>
      <c r="AL126" s="3"/>
      <c r="AM126" s="3"/>
      <c r="AN126" s="3"/>
      <c r="AO126" s="3"/>
    </row>
    <row r="127" spans="1:41" ht="30" customHeight="1">
      <c r="A127" s="145">
        <v>122</v>
      </c>
      <c r="B127" s="32">
        <f t="shared" ca="1" si="0"/>
        <v>46002.869780000001</v>
      </c>
      <c r="C127" s="145"/>
      <c r="D127" s="63"/>
      <c r="E127" s="22" t="s">
        <v>814</v>
      </c>
      <c r="F127" s="106" t="s">
        <v>32</v>
      </c>
      <c r="G127" s="22" t="s">
        <v>262</v>
      </c>
      <c r="H127" s="22" t="s">
        <v>261</v>
      </c>
      <c r="I127" s="22"/>
      <c r="J127" s="22"/>
      <c r="K127" s="22"/>
      <c r="L127" s="22"/>
      <c r="M127" s="22"/>
      <c r="N127" s="22"/>
      <c r="O127" s="22"/>
      <c r="P127" s="22"/>
      <c r="Q127" s="21" t="s">
        <v>815</v>
      </c>
      <c r="R127" s="106" t="s">
        <v>146</v>
      </c>
      <c r="S127" s="22" t="s">
        <v>140</v>
      </c>
      <c r="T127" s="21" t="s">
        <v>562</v>
      </c>
      <c r="U127" s="22" t="s">
        <v>38</v>
      </c>
      <c r="V127" s="22"/>
      <c r="W127" s="199" t="s">
        <v>816</v>
      </c>
      <c r="X127" s="203"/>
      <c r="Y127" s="204"/>
      <c r="Z127" s="202"/>
      <c r="AA127" s="3"/>
      <c r="AB127" s="34" t="s">
        <v>817</v>
      </c>
      <c r="AC127" s="34" t="s">
        <v>36</v>
      </c>
      <c r="AD127" s="180" t="s">
        <v>818</v>
      </c>
      <c r="AE127" s="3"/>
      <c r="AF127" s="3"/>
      <c r="AG127" s="3"/>
      <c r="AH127" s="3"/>
      <c r="AI127" s="3"/>
      <c r="AJ127" s="3"/>
      <c r="AK127" s="3"/>
      <c r="AL127" s="3"/>
      <c r="AM127" s="3"/>
      <c r="AN127" s="3"/>
      <c r="AO127" s="3"/>
    </row>
    <row r="128" spans="1:41" ht="30" customHeight="1">
      <c r="A128" s="145">
        <v>123</v>
      </c>
      <c r="B128" s="32">
        <f t="shared" ca="1" si="0"/>
        <v>46003.681810000002</v>
      </c>
      <c r="C128" s="154"/>
      <c r="D128" s="63"/>
      <c r="E128" s="21" t="s">
        <v>819</v>
      </c>
      <c r="F128" s="58" t="s">
        <v>58</v>
      </c>
      <c r="G128" s="21" t="s">
        <v>192</v>
      </c>
      <c r="H128" s="21" t="s">
        <v>274</v>
      </c>
      <c r="I128" s="21"/>
      <c r="J128" s="21"/>
      <c r="K128" s="21"/>
      <c r="L128" s="21"/>
      <c r="M128" s="21"/>
      <c r="N128" s="21"/>
      <c r="O128" s="21"/>
      <c r="P128" s="21"/>
      <c r="Q128" s="21" t="s">
        <v>820</v>
      </c>
      <c r="R128" s="58" t="s">
        <v>146</v>
      </c>
      <c r="S128" s="21" t="s">
        <v>140</v>
      </c>
      <c r="T128" s="21" t="s">
        <v>562</v>
      </c>
      <c r="U128" s="21" t="s">
        <v>38</v>
      </c>
      <c r="V128" s="21"/>
      <c r="W128" s="24" t="s">
        <v>40</v>
      </c>
      <c r="X128" s="188" t="s">
        <v>821</v>
      </c>
      <c r="Y128" s="29"/>
      <c r="Z128" s="151"/>
      <c r="AA128" s="3"/>
      <c r="AB128" s="34" t="s">
        <v>822</v>
      </c>
      <c r="AC128" s="34" t="s">
        <v>36</v>
      </c>
      <c r="AD128" s="180" t="s">
        <v>823</v>
      </c>
      <c r="AE128" s="3"/>
      <c r="AF128" s="3"/>
      <c r="AG128" s="3"/>
      <c r="AH128" s="3"/>
      <c r="AI128" s="3"/>
      <c r="AJ128" s="3"/>
      <c r="AK128" s="3"/>
      <c r="AL128" s="3"/>
      <c r="AM128" s="3"/>
      <c r="AN128" s="3"/>
      <c r="AO128" s="3"/>
    </row>
    <row r="129" spans="1:41" ht="30" customHeight="1">
      <c r="A129" s="145">
        <v>124</v>
      </c>
      <c r="B129" s="32">
        <f t="shared" ca="1" si="0"/>
        <v>46003.694100000001</v>
      </c>
      <c r="C129" s="154"/>
      <c r="D129" s="63"/>
      <c r="E129" s="21" t="s">
        <v>824</v>
      </c>
      <c r="F129" s="58" t="s">
        <v>58</v>
      </c>
      <c r="G129" s="21" t="s">
        <v>192</v>
      </c>
      <c r="H129" s="21"/>
      <c r="I129" s="21"/>
      <c r="J129" s="21"/>
      <c r="K129" s="21"/>
      <c r="L129" s="21"/>
      <c r="M129" s="21"/>
      <c r="N129" s="21"/>
      <c r="O129" s="21"/>
      <c r="P129" s="21"/>
      <c r="Q129" s="21"/>
      <c r="R129" s="58" t="s">
        <v>146</v>
      </c>
      <c r="S129" s="21" t="s">
        <v>140</v>
      </c>
      <c r="T129" s="21" t="s">
        <v>825</v>
      </c>
      <c r="U129" s="21" t="s">
        <v>38</v>
      </c>
      <c r="V129" s="21"/>
      <c r="W129" s="24" t="s">
        <v>40</v>
      </c>
      <c r="X129" s="188" t="s">
        <v>826</v>
      </c>
      <c r="Y129" s="29"/>
      <c r="Z129" s="151"/>
      <c r="AA129" s="3"/>
      <c r="AB129" s="34" t="s">
        <v>827</v>
      </c>
      <c r="AC129" s="34" t="s">
        <v>36</v>
      </c>
      <c r="AD129" s="34" t="s">
        <v>828</v>
      </c>
      <c r="AE129" s="3"/>
      <c r="AF129" s="3"/>
      <c r="AG129" s="3"/>
      <c r="AH129" s="3"/>
      <c r="AI129" s="3"/>
      <c r="AJ129" s="3"/>
      <c r="AK129" s="3"/>
      <c r="AL129" s="3"/>
      <c r="AM129" s="3"/>
      <c r="AN129" s="3"/>
      <c r="AO129" s="3"/>
    </row>
    <row r="130" spans="1:41" ht="30" customHeight="1">
      <c r="A130" s="145">
        <v>125</v>
      </c>
      <c r="B130" s="32">
        <f t="shared" ca="1" si="0"/>
        <v>46003.694100000001</v>
      </c>
      <c r="C130" s="154"/>
      <c r="D130" s="63"/>
      <c r="E130" s="21" t="s">
        <v>829</v>
      </c>
      <c r="F130" s="58" t="s">
        <v>58</v>
      </c>
      <c r="G130" s="21" t="s">
        <v>192</v>
      </c>
      <c r="H130" s="21"/>
      <c r="I130" s="21"/>
      <c r="J130" s="21"/>
      <c r="K130" s="21"/>
      <c r="L130" s="21"/>
      <c r="M130" s="21"/>
      <c r="N130" s="21"/>
      <c r="O130" s="21"/>
      <c r="P130" s="21"/>
      <c r="Q130" s="21"/>
      <c r="R130" s="58" t="s">
        <v>146</v>
      </c>
      <c r="S130" s="21" t="s">
        <v>140</v>
      </c>
      <c r="T130" s="21" t="s">
        <v>825</v>
      </c>
      <c r="U130" s="21" t="s">
        <v>38</v>
      </c>
      <c r="V130" s="21"/>
      <c r="W130" s="24" t="s">
        <v>40</v>
      </c>
      <c r="X130" s="191" t="s">
        <v>830</v>
      </c>
      <c r="Y130" s="29"/>
      <c r="Z130" s="151"/>
      <c r="AA130" s="3"/>
      <c r="AB130" s="34" t="s">
        <v>831</v>
      </c>
      <c r="AC130" s="34" t="s">
        <v>36</v>
      </c>
      <c r="AD130" s="34" t="s">
        <v>832</v>
      </c>
      <c r="AE130" s="3"/>
      <c r="AF130" s="3"/>
      <c r="AG130" s="3"/>
      <c r="AH130" s="3"/>
      <c r="AI130" s="3"/>
      <c r="AJ130" s="3"/>
      <c r="AK130" s="3"/>
      <c r="AL130" s="3"/>
      <c r="AM130" s="3"/>
      <c r="AN130" s="3"/>
      <c r="AO130" s="3"/>
    </row>
    <row r="131" spans="1:41" ht="30" customHeight="1">
      <c r="A131" s="145">
        <v>126</v>
      </c>
      <c r="B131" s="32">
        <f t="shared" ca="1" si="0"/>
        <v>46006.353690000004</v>
      </c>
      <c r="C131" s="145" t="s">
        <v>182</v>
      </c>
      <c r="D131" s="63"/>
      <c r="E131" s="58" t="s">
        <v>833</v>
      </c>
      <c r="F131" s="47" t="s">
        <v>58</v>
      </c>
      <c r="G131" s="58" t="s">
        <v>273</v>
      </c>
      <c r="H131" s="21"/>
      <c r="I131" s="21"/>
      <c r="J131" s="21"/>
      <c r="K131" s="21"/>
      <c r="L131" s="21"/>
      <c r="M131" s="21"/>
      <c r="N131" s="21"/>
      <c r="O131" s="21"/>
      <c r="P131" s="21"/>
      <c r="Q131" s="21" t="s">
        <v>834</v>
      </c>
      <c r="R131" s="58" t="s">
        <v>35</v>
      </c>
      <c r="S131" s="21" t="s">
        <v>36</v>
      </c>
      <c r="T131" s="21" t="s">
        <v>377</v>
      </c>
      <c r="U131" s="21" t="s">
        <v>38</v>
      </c>
      <c r="V131" s="21" t="s">
        <v>39</v>
      </c>
      <c r="W131" s="24" t="s">
        <v>40</v>
      </c>
      <c r="X131" s="206" t="s">
        <v>835</v>
      </c>
      <c r="Y131" s="65" t="s">
        <v>836</v>
      </c>
      <c r="Z131" s="151"/>
      <c r="AB131" s="182" t="s">
        <v>837</v>
      </c>
      <c r="AC131" s="182" t="s">
        <v>36</v>
      </c>
      <c r="AD131" s="182" t="s">
        <v>838</v>
      </c>
      <c r="AE131" s="175"/>
    </row>
    <row r="132" spans="1:41" ht="30" customHeight="1">
      <c r="A132" s="145">
        <v>127</v>
      </c>
      <c r="B132" s="32">
        <f t="shared" ca="1" si="0"/>
        <v>46006.355470000002</v>
      </c>
      <c r="C132" s="145" t="s">
        <v>182</v>
      </c>
      <c r="D132" s="63"/>
      <c r="E132" s="21" t="s">
        <v>839</v>
      </c>
      <c r="F132" s="47" t="s">
        <v>58</v>
      </c>
      <c r="G132" s="21" t="s">
        <v>273</v>
      </c>
      <c r="H132" s="21"/>
      <c r="I132" s="21"/>
      <c r="J132" s="21"/>
      <c r="K132" s="21"/>
      <c r="L132" s="21"/>
      <c r="M132" s="21"/>
      <c r="N132" s="21"/>
      <c r="O132" s="21"/>
      <c r="P132" s="21"/>
      <c r="Q132" s="21" t="s">
        <v>840</v>
      </c>
      <c r="R132" s="58" t="s">
        <v>35</v>
      </c>
      <c r="S132" s="21" t="s">
        <v>36</v>
      </c>
      <c r="T132" s="21" t="s">
        <v>841</v>
      </c>
      <c r="U132" s="21" t="s">
        <v>38</v>
      </c>
      <c r="V132" s="21" t="s">
        <v>78</v>
      </c>
      <c r="W132" s="24" t="s">
        <v>40</v>
      </c>
      <c r="X132" s="188" t="s">
        <v>842</v>
      </c>
      <c r="Y132" s="65" t="s">
        <v>843</v>
      </c>
      <c r="Z132" s="151"/>
      <c r="AA132" s="3"/>
      <c r="AB132" s="34" t="s">
        <v>844</v>
      </c>
      <c r="AC132" s="34" t="s">
        <v>36</v>
      </c>
      <c r="AD132" s="34" t="s">
        <v>845</v>
      </c>
      <c r="AE132" s="3"/>
      <c r="AF132" s="3"/>
      <c r="AG132" s="3"/>
      <c r="AH132" s="3"/>
      <c r="AI132" s="3"/>
      <c r="AJ132" s="3"/>
      <c r="AK132" s="3"/>
      <c r="AL132" s="3"/>
      <c r="AM132" s="3"/>
      <c r="AN132" s="3"/>
      <c r="AO132" s="3"/>
    </row>
    <row r="133" spans="1:41" ht="30" customHeight="1">
      <c r="A133" s="145">
        <v>128</v>
      </c>
      <c r="B133" s="32">
        <f t="shared" ca="1" si="0"/>
        <v>46006.357109999997</v>
      </c>
      <c r="C133" s="145"/>
      <c r="D133" s="63"/>
      <c r="E133" s="58" t="s">
        <v>846</v>
      </c>
      <c r="F133" s="58" t="s">
        <v>58</v>
      </c>
      <c r="G133" s="58" t="s">
        <v>273</v>
      </c>
      <c r="H133" s="21"/>
      <c r="I133" s="21"/>
      <c r="J133" s="21"/>
      <c r="K133" s="21"/>
      <c r="L133" s="21"/>
      <c r="M133" s="21"/>
      <c r="N133" s="21"/>
      <c r="O133" s="21"/>
      <c r="P133" s="21"/>
      <c r="Q133" s="21" t="s">
        <v>847</v>
      </c>
      <c r="R133" s="58" t="s">
        <v>146</v>
      </c>
      <c r="S133" s="21" t="s">
        <v>140</v>
      </c>
      <c r="T133" s="21" t="s">
        <v>562</v>
      </c>
      <c r="U133" s="21" t="s">
        <v>38</v>
      </c>
      <c r="V133" s="21"/>
      <c r="W133" s="24" t="s">
        <v>40</v>
      </c>
      <c r="X133" s="181"/>
      <c r="Y133" s="107"/>
      <c r="Z133" s="151"/>
      <c r="AB133" s="182" t="s">
        <v>848</v>
      </c>
      <c r="AC133" s="182" t="s">
        <v>36</v>
      </c>
      <c r="AD133" s="182" t="s">
        <v>849</v>
      </c>
      <c r="AE133" s="175"/>
    </row>
    <row r="134" spans="1:41" ht="30" customHeight="1">
      <c r="A134" s="145">
        <v>129</v>
      </c>
      <c r="B134" s="32">
        <f t="shared" ca="1" si="0"/>
        <v>46006.361320000004</v>
      </c>
      <c r="C134" s="154"/>
      <c r="D134" s="63"/>
      <c r="E134" s="21" t="s">
        <v>850</v>
      </c>
      <c r="F134" s="58" t="s">
        <v>201</v>
      </c>
      <c r="G134" s="21" t="s">
        <v>374</v>
      </c>
      <c r="H134" s="21"/>
      <c r="I134" s="21"/>
      <c r="J134" s="21"/>
      <c r="K134" s="21"/>
      <c r="L134" s="21"/>
      <c r="M134" s="21"/>
      <c r="N134" s="21"/>
      <c r="O134" s="21"/>
      <c r="P134" s="21"/>
      <c r="Q134" s="21" t="s">
        <v>3184</v>
      </c>
      <c r="R134" s="58" t="s">
        <v>146</v>
      </c>
      <c r="S134" s="21" t="s">
        <v>140</v>
      </c>
      <c r="T134" s="21" t="s">
        <v>562</v>
      </c>
      <c r="U134" s="21" t="s">
        <v>38</v>
      </c>
      <c r="V134" s="21"/>
      <c r="W134" s="24" t="s">
        <v>40</v>
      </c>
      <c r="X134" s="187"/>
      <c r="Y134" s="29"/>
      <c r="Z134" s="151"/>
      <c r="AA134" s="3"/>
      <c r="AB134" s="34" t="s">
        <v>851</v>
      </c>
      <c r="AC134" s="34" t="s">
        <v>36</v>
      </c>
      <c r="AD134" s="34" t="s">
        <v>852</v>
      </c>
      <c r="AE134" s="3"/>
      <c r="AF134" s="3"/>
      <c r="AG134" s="3"/>
      <c r="AH134" s="3"/>
      <c r="AI134" s="3"/>
      <c r="AJ134" s="3"/>
      <c r="AK134" s="3"/>
      <c r="AL134" s="3"/>
      <c r="AM134" s="3"/>
      <c r="AN134" s="3"/>
      <c r="AO134" s="3"/>
    </row>
    <row r="135" spans="1:41" ht="30" customHeight="1">
      <c r="A135" s="145">
        <v>130</v>
      </c>
      <c r="B135" s="32">
        <f t="shared" ca="1" si="0"/>
        <v>46006.362979999998</v>
      </c>
      <c r="C135" s="154"/>
      <c r="D135" s="63"/>
      <c r="E135" s="21" t="s">
        <v>853</v>
      </c>
      <c r="F135" s="58" t="s">
        <v>58</v>
      </c>
      <c r="G135" s="21" t="s">
        <v>273</v>
      </c>
      <c r="H135" s="21"/>
      <c r="I135" s="21"/>
      <c r="J135" s="21"/>
      <c r="K135" s="21"/>
      <c r="L135" s="21"/>
      <c r="M135" s="21"/>
      <c r="N135" s="21"/>
      <c r="O135" s="21"/>
      <c r="P135" s="21"/>
      <c r="Q135" s="21" t="s">
        <v>854</v>
      </c>
      <c r="R135" s="58" t="s">
        <v>146</v>
      </c>
      <c r="S135" s="21" t="s">
        <v>140</v>
      </c>
      <c r="T135" s="21" t="s">
        <v>855</v>
      </c>
      <c r="U135" s="21" t="s">
        <v>38</v>
      </c>
      <c r="V135" s="21"/>
      <c r="W135" s="24" t="s">
        <v>40</v>
      </c>
      <c r="X135" s="188" t="s">
        <v>856</v>
      </c>
      <c r="Y135" s="29"/>
      <c r="Z135" s="151"/>
      <c r="AA135" s="3"/>
      <c r="AB135" s="34" t="s">
        <v>857</v>
      </c>
      <c r="AC135" s="34" t="s">
        <v>36</v>
      </c>
      <c r="AD135" s="34" t="s">
        <v>858</v>
      </c>
      <c r="AE135" s="3"/>
      <c r="AF135" s="3"/>
      <c r="AG135" s="3"/>
      <c r="AH135" s="3"/>
      <c r="AI135" s="3"/>
      <c r="AJ135" s="3"/>
      <c r="AK135" s="3"/>
      <c r="AL135" s="3"/>
      <c r="AM135" s="3"/>
      <c r="AN135" s="3"/>
      <c r="AO135" s="3"/>
    </row>
    <row r="136" spans="1:41" ht="30" customHeight="1">
      <c r="A136" s="145">
        <v>131</v>
      </c>
      <c r="B136" s="32">
        <f t="shared" ca="1" si="0"/>
        <v>46006.794629999997</v>
      </c>
      <c r="C136" s="154"/>
      <c r="D136" s="63"/>
      <c r="E136" s="21" t="s">
        <v>859</v>
      </c>
      <c r="F136" s="58" t="s">
        <v>201</v>
      </c>
      <c r="G136" s="21" t="s">
        <v>376</v>
      </c>
      <c r="H136" s="21"/>
      <c r="I136" s="21"/>
      <c r="J136" s="21"/>
      <c r="K136" s="21"/>
      <c r="L136" s="21"/>
      <c r="M136" s="21"/>
      <c r="N136" s="21"/>
      <c r="O136" s="21"/>
      <c r="P136" s="21"/>
      <c r="Q136" s="21" t="s">
        <v>773</v>
      </c>
      <c r="R136" s="58" t="s">
        <v>146</v>
      </c>
      <c r="S136" s="21" t="s">
        <v>140</v>
      </c>
      <c r="T136" s="21" t="s">
        <v>562</v>
      </c>
      <c r="U136" s="21" t="s">
        <v>38</v>
      </c>
      <c r="V136" s="21"/>
      <c r="W136" s="24" t="s">
        <v>40</v>
      </c>
      <c r="X136" s="187" t="s">
        <v>860</v>
      </c>
      <c r="Y136" s="29"/>
      <c r="Z136" s="151"/>
      <c r="AA136" s="3"/>
      <c r="AB136" s="34" t="s">
        <v>861</v>
      </c>
      <c r="AC136" s="34" t="s">
        <v>36</v>
      </c>
      <c r="AD136" s="34" t="s">
        <v>862</v>
      </c>
      <c r="AE136" s="3"/>
      <c r="AF136" s="3"/>
      <c r="AG136" s="3"/>
      <c r="AH136" s="3"/>
      <c r="AI136" s="3"/>
      <c r="AJ136" s="3"/>
      <c r="AK136" s="3"/>
      <c r="AL136" s="3"/>
      <c r="AM136" s="3"/>
      <c r="AN136" s="3"/>
      <c r="AO136" s="3"/>
    </row>
    <row r="137" spans="1:41" ht="30" customHeight="1">
      <c r="A137" s="145">
        <v>132</v>
      </c>
      <c r="B137" s="32" t="str">
        <f t="shared" ca="1" si="0"/>
        <v/>
      </c>
      <c r="C137" s="145"/>
      <c r="D137" s="63"/>
      <c r="E137" s="21"/>
      <c r="F137" s="58"/>
      <c r="G137" s="21"/>
      <c r="H137" s="21"/>
      <c r="I137" s="21"/>
      <c r="J137" s="21"/>
      <c r="K137" s="21"/>
      <c r="L137" s="21"/>
      <c r="M137" s="21"/>
      <c r="N137" s="21"/>
      <c r="O137" s="21"/>
      <c r="P137" s="21"/>
      <c r="Q137" s="21"/>
      <c r="R137" s="58"/>
      <c r="S137" s="21"/>
      <c r="T137" s="21"/>
      <c r="U137" s="21"/>
      <c r="V137" s="21"/>
      <c r="W137" s="24" t="s">
        <v>40</v>
      </c>
      <c r="X137" s="184"/>
      <c r="Y137" s="29"/>
      <c r="Z137" s="151"/>
      <c r="AA137" s="3"/>
      <c r="AB137" s="34" t="s">
        <v>863</v>
      </c>
      <c r="AC137" s="34" t="s">
        <v>36</v>
      </c>
      <c r="AD137" s="34" t="s">
        <v>864</v>
      </c>
      <c r="AE137" s="3"/>
      <c r="AF137" s="3"/>
      <c r="AG137" s="3"/>
      <c r="AH137" s="3"/>
      <c r="AI137" s="3"/>
      <c r="AJ137" s="3"/>
      <c r="AK137" s="3"/>
      <c r="AL137" s="3"/>
      <c r="AM137" s="3"/>
      <c r="AN137" s="3"/>
      <c r="AO137" s="3"/>
    </row>
    <row r="138" spans="1:41" ht="30" customHeight="1">
      <c r="A138" s="145">
        <v>133</v>
      </c>
      <c r="B138" s="32" t="str">
        <f t="shared" ca="1" si="0"/>
        <v/>
      </c>
      <c r="C138" s="145"/>
      <c r="D138" s="63"/>
      <c r="E138" s="21"/>
      <c r="F138" s="58"/>
      <c r="G138" s="21"/>
      <c r="H138" s="21"/>
      <c r="I138" s="21"/>
      <c r="J138" s="21"/>
      <c r="K138" s="21"/>
      <c r="L138" s="21"/>
      <c r="M138" s="21"/>
      <c r="N138" s="21"/>
      <c r="O138" s="21"/>
      <c r="P138" s="21"/>
      <c r="Q138" s="21"/>
      <c r="R138" s="58"/>
      <c r="S138" s="21"/>
      <c r="T138" s="21"/>
      <c r="U138" s="21"/>
      <c r="V138" s="21"/>
      <c r="W138" s="24" t="s">
        <v>40</v>
      </c>
      <c r="X138" s="184"/>
      <c r="Y138" s="29"/>
      <c r="Z138" s="151"/>
      <c r="AA138" s="3"/>
      <c r="AB138" s="34" t="s">
        <v>865</v>
      </c>
      <c r="AC138" s="34" t="s">
        <v>36</v>
      </c>
      <c r="AD138" s="34" t="s">
        <v>866</v>
      </c>
      <c r="AE138" s="3"/>
      <c r="AF138" s="3"/>
      <c r="AG138" s="3"/>
      <c r="AH138" s="3"/>
      <c r="AI138" s="3"/>
      <c r="AJ138" s="3"/>
      <c r="AK138" s="3"/>
      <c r="AL138" s="3"/>
      <c r="AM138" s="3"/>
      <c r="AN138" s="3"/>
      <c r="AO138" s="3"/>
    </row>
    <row r="139" spans="1:41" ht="30" customHeight="1">
      <c r="A139" s="145">
        <v>134</v>
      </c>
      <c r="B139" s="32" t="str">
        <f t="shared" ca="1" si="0"/>
        <v/>
      </c>
      <c r="C139" s="145"/>
      <c r="D139" s="63"/>
      <c r="E139" s="21"/>
      <c r="F139" s="58"/>
      <c r="G139" s="21"/>
      <c r="H139" s="21"/>
      <c r="I139" s="21"/>
      <c r="J139" s="21"/>
      <c r="K139" s="21"/>
      <c r="L139" s="21"/>
      <c r="M139" s="21"/>
      <c r="N139" s="21"/>
      <c r="O139" s="21"/>
      <c r="P139" s="21"/>
      <c r="Q139" s="21"/>
      <c r="R139" s="58"/>
      <c r="S139" s="21"/>
      <c r="T139" s="21"/>
      <c r="U139" s="21"/>
      <c r="V139" s="21"/>
      <c r="W139" s="24" t="s">
        <v>40</v>
      </c>
      <c r="X139" s="184"/>
      <c r="Y139" s="29"/>
      <c r="Z139" s="151"/>
      <c r="AA139" s="3"/>
      <c r="AB139" s="34" t="s">
        <v>867</v>
      </c>
      <c r="AC139" s="34" t="s">
        <v>36</v>
      </c>
      <c r="AD139" s="34" t="s">
        <v>868</v>
      </c>
      <c r="AE139" s="3"/>
      <c r="AF139" s="3"/>
      <c r="AG139" s="3"/>
      <c r="AH139" s="3"/>
      <c r="AI139" s="3"/>
      <c r="AJ139" s="3"/>
      <c r="AK139" s="3"/>
      <c r="AL139" s="3"/>
      <c r="AM139" s="3"/>
      <c r="AN139" s="3"/>
      <c r="AO139" s="3"/>
    </row>
    <row r="140" spans="1:41" ht="30" customHeight="1">
      <c r="A140" s="145">
        <v>135</v>
      </c>
      <c r="B140" s="32" t="str">
        <f t="shared" ca="1" si="0"/>
        <v/>
      </c>
      <c r="C140" s="145"/>
      <c r="D140" s="63"/>
      <c r="E140" s="21"/>
      <c r="F140" s="58"/>
      <c r="G140" s="21"/>
      <c r="H140" s="21"/>
      <c r="I140" s="21"/>
      <c r="J140" s="21"/>
      <c r="K140" s="21"/>
      <c r="L140" s="21"/>
      <c r="M140" s="21"/>
      <c r="N140" s="21"/>
      <c r="O140" s="21"/>
      <c r="P140" s="21"/>
      <c r="Q140" s="21"/>
      <c r="R140" s="58"/>
      <c r="S140" s="21"/>
      <c r="T140" s="21"/>
      <c r="U140" s="21"/>
      <c r="V140" s="21"/>
      <c r="W140" s="24" t="s">
        <v>40</v>
      </c>
      <c r="X140" s="184"/>
      <c r="Y140" s="29"/>
      <c r="Z140" s="151"/>
      <c r="AA140" s="3"/>
      <c r="AB140" s="34" t="s">
        <v>869</v>
      </c>
      <c r="AC140" s="34" t="s">
        <v>140</v>
      </c>
      <c r="AD140" s="34"/>
      <c r="AE140" s="3"/>
      <c r="AF140" s="3"/>
      <c r="AG140" s="3"/>
      <c r="AH140" s="3"/>
      <c r="AI140" s="3"/>
      <c r="AJ140" s="3"/>
      <c r="AK140" s="3"/>
      <c r="AL140" s="3"/>
      <c r="AM140" s="3"/>
      <c r="AN140" s="3"/>
      <c r="AO140" s="3"/>
    </row>
    <row r="141" spans="1:41" ht="30" customHeight="1">
      <c r="A141" s="145">
        <v>136</v>
      </c>
      <c r="B141" s="32" t="str">
        <f t="shared" ca="1" si="0"/>
        <v/>
      </c>
      <c r="C141" s="145"/>
      <c r="D141" s="63"/>
      <c r="E141" s="21"/>
      <c r="F141" s="58"/>
      <c r="G141" s="21"/>
      <c r="H141" s="21"/>
      <c r="I141" s="21"/>
      <c r="J141" s="21"/>
      <c r="K141" s="21"/>
      <c r="L141" s="21"/>
      <c r="M141" s="21"/>
      <c r="N141" s="21"/>
      <c r="O141" s="21"/>
      <c r="P141" s="21"/>
      <c r="Q141" s="21"/>
      <c r="R141" s="58"/>
      <c r="S141" s="21"/>
      <c r="T141" s="21"/>
      <c r="U141" s="21"/>
      <c r="V141" s="21"/>
      <c r="W141" s="24" t="s">
        <v>40</v>
      </c>
      <c r="X141" s="184"/>
      <c r="Y141" s="29"/>
      <c r="Z141" s="151"/>
      <c r="AA141" s="3"/>
      <c r="AB141" s="34" t="s">
        <v>870</v>
      </c>
      <c r="AC141" s="34" t="s">
        <v>36</v>
      </c>
      <c r="AD141" s="34" t="s">
        <v>871</v>
      </c>
      <c r="AE141" s="3"/>
      <c r="AF141" s="3"/>
      <c r="AG141" s="3"/>
      <c r="AH141" s="3"/>
      <c r="AI141" s="3"/>
      <c r="AJ141" s="3"/>
      <c r="AK141" s="3"/>
      <c r="AL141" s="3"/>
      <c r="AM141" s="3"/>
      <c r="AN141" s="3"/>
      <c r="AO141" s="3"/>
    </row>
    <row r="142" spans="1:41" ht="30" customHeight="1">
      <c r="A142" s="145">
        <v>137</v>
      </c>
      <c r="B142" s="32" t="str">
        <f t="shared" ca="1" si="0"/>
        <v/>
      </c>
      <c r="C142" s="145"/>
      <c r="D142" s="63"/>
      <c r="E142" s="106"/>
      <c r="F142" s="58"/>
      <c r="G142" s="58"/>
      <c r="H142" s="21"/>
      <c r="I142" s="21"/>
      <c r="J142" s="21"/>
      <c r="K142" s="21"/>
      <c r="L142" s="21"/>
      <c r="M142" s="21"/>
      <c r="N142" s="21"/>
      <c r="O142" s="21"/>
      <c r="P142" s="21"/>
      <c r="Q142" s="21"/>
      <c r="R142" s="58"/>
      <c r="S142" s="21"/>
      <c r="T142" s="21"/>
      <c r="U142" s="21"/>
      <c r="V142" s="21"/>
      <c r="W142" s="24" t="s">
        <v>40</v>
      </c>
      <c r="X142" s="59"/>
      <c r="Y142" s="29"/>
      <c r="Z142" s="56"/>
      <c r="AB142" s="182" t="s">
        <v>872</v>
      </c>
      <c r="AC142" s="182" t="s">
        <v>36</v>
      </c>
      <c r="AD142" s="182" t="s">
        <v>873</v>
      </c>
      <c r="AE142" s="175"/>
    </row>
    <row r="143" spans="1:41" ht="30" customHeight="1">
      <c r="A143" s="145">
        <v>138</v>
      </c>
      <c r="B143" s="32" t="str">
        <f t="shared" ca="1" si="0"/>
        <v/>
      </c>
      <c r="C143" s="145"/>
      <c r="D143" s="63"/>
      <c r="E143" s="58"/>
      <c r="F143" s="58"/>
      <c r="G143" s="58"/>
      <c r="H143" s="21"/>
      <c r="I143" s="21"/>
      <c r="J143" s="21"/>
      <c r="K143" s="207"/>
      <c r="L143" s="207"/>
      <c r="M143" s="207"/>
      <c r="N143" s="207"/>
      <c r="O143" s="207"/>
      <c r="P143" s="207"/>
      <c r="Q143" s="21"/>
      <c r="R143" s="58"/>
      <c r="S143" s="21"/>
      <c r="T143" s="21"/>
      <c r="U143" s="21"/>
      <c r="V143" s="21"/>
      <c r="W143" s="24" t="s">
        <v>40</v>
      </c>
      <c r="X143" s="29"/>
      <c r="Y143" s="29"/>
      <c r="Z143" s="56"/>
      <c r="AB143" s="182" t="s">
        <v>874</v>
      </c>
      <c r="AC143" s="182" t="s">
        <v>36</v>
      </c>
      <c r="AD143" s="183" t="s">
        <v>875</v>
      </c>
      <c r="AE143" s="175"/>
    </row>
    <row r="144" spans="1:41" ht="30" customHeight="1">
      <c r="A144" s="145">
        <v>139</v>
      </c>
      <c r="B144" s="32" t="str">
        <f t="shared" ca="1" si="0"/>
        <v/>
      </c>
      <c r="C144" s="145"/>
      <c r="D144" s="63"/>
      <c r="E144" s="21"/>
      <c r="F144" s="58"/>
      <c r="G144" s="21"/>
      <c r="H144" s="21"/>
      <c r="I144" s="21"/>
      <c r="J144" s="21"/>
      <c r="K144" s="21"/>
      <c r="L144" s="21"/>
      <c r="M144" s="21"/>
      <c r="N144" s="21"/>
      <c r="O144" s="21"/>
      <c r="P144" s="21"/>
      <c r="Q144" s="21"/>
      <c r="R144" s="58"/>
      <c r="S144" s="21"/>
      <c r="T144" s="21"/>
      <c r="U144" s="21"/>
      <c r="V144" s="21"/>
      <c r="W144" s="24" t="s">
        <v>40</v>
      </c>
      <c r="X144" s="171"/>
      <c r="Y144" s="29"/>
      <c r="Z144" s="151"/>
      <c r="AA144" s="3"/>
      <c r="AB144" s="34" t="s">
        <v>876</v>
      </c>
      <c r="AC144" s="34" t="s">
        <v>36</v>
      </c>
      <c r="AD144" s="34"/>
      <c r="AE144" s="3"/>
      <c r="AF144" s="3"/>
      <c r="AG144" s="3"/>
      <c r="AH144" s="3"/>
      <c r="AI144" s="3"/>
      <c r="AJ144" s="3"/>
      <c r="AK144" s="3"/>
      <c r="AL144" s="3"/>
      <c r="AM144" s="3"/>
      <c r="AN144" s="3"/>
      <c r="AO144" s="3"/>
    </row>
    <row r="145" spans="1:41" ht="30" customHeight="1">
      <c r="A145" s="145">
        <v>140</v>
      </c>
      <c r="B145" s="32" t="str">
        <f t="shared" ca="1" si="0"/>
        <v/>
      </c>
      <c r="C145" s="145"/>
      <c r="D145" s="63"/>
      <c r="E145" s="21"/>
      <c r="F145" s="58"/>
      <c r="G145" s="21"/>
      <c r="H145" s="21"/>
      <c r="I145" s="21"/>
      <c r="J145" s="21"/>
      <c r="K145" s="21"/>
      <c r="L145" s="21"/>
      <c r="M145" s="21"/>
      <c r="N145" s="21"/>
      <c r="O145" s="21"/>
      <c r="P145" s="21"/>
      <c r="Q145" s="21"/>
      <c r="R145" s="58"/>
      <c r="S145" s="21"/>
      <c r="T145" s="21"/>
      <c r="U145" s="21"/>
      <c r="V145" s="21"/>
      <c r="W145" s="24" t="s">
        <v>40</v>
      </c>
      <c r="X145" s="171"/>
      <c r="Y145" s="29"/>
      <c r="Z145" s="151"/>
      <c r="AA145" s="3"/>
      <c r="AB145" s="34" t="s">
        <v>877</v>
      </c>
      <c r="AC145" s="34" t="s">
        <v>36</v>
      </c>
      <c r="AD145" s="34" t="s">
        <v>878</v>
      </c>
      <c r="AE145" s="3"/>
      <c r="AF145" s="3"/>
      <c r="AG145" s="3"/>
      <c r="AH145" s="3"/>
      <c r="AI145" s="3"/>
      <c r="AJ145" s="3"/>
      <c r="AK145" s="3"/>
      <c r="AL145" s="3"/>
      <c r="AM145" s="3"/>
      <c r="AN145" s="3"/>
      <c r="AO145" s="3"/>
    </row>
    <row r="146" spans="1:41" ht="30" customHeight="1">
      <c r="A146" s="145">
        <v>141</v>
      </c>
      <c r="B146" s="32" t="str">
        <f t="shared" ca="1" si="0"/>
        <v/>
      </c>
      <c r="C146" s="145"/>
      <c r="D146" s="63"/>
      <c r="E146" s="21"/>
      <c r="F146" s="58"/>
      <c r="G146" s="21"/>
      <c r="H146" s="21"/>
      <c r="I146" s="21"/>
      <c r="J146" s="21"/>
      <c r="K146" s="21"/>
      <c r="L146" s="21"/>
      <c r="M146" s="21"/>
      <c r="N146" s="21"/>
      <c r="O146" s="21"/>
      <c r="P146" s="21"/>
      <c r="Q146" s="21"/>
      <c r="R146" s="58"/>
      <c r="S146" s="21"/>
      <c r="T146" s="21"/>
      <c r="U146" s="21"/>
      <c r="V146" s="21"/>
      <c r="W146" s="24" t="s">
        <v>40</v>
      </c>
      <c r="X146" s="184"/>
      <c r="Y146" s="29"/>
      <c r="Z146" s="151"/>
      <c r="AA146" s="3"/>
      <c r="AB146" s="34" t="s">
        <v>879</v>
      </c>
      <c r="AC146" s="34" t="s">
        <v>36</v>
      </c>
      <c r="AD146" s="34" t="s">
        <v>880</v>
      </c>
      <c r="AE146" s="3"/>
      <c r="AF146" s="3"/>
      <c r="AG146" s="3"/>
      <c r="AH146" s="3"/>
      <c r="AI146" s="3"/>
      <c r="AJ146" s="3"/>
      <c r="AK146" s="3"/>
      <c r="AL146" s="3"/>
      <c r="AM146" s="3"/>
      <c r="AN146" s="3"/>
      <c r="AO146" s="3"/>
    </row>
    <row r="147" spans="1:41" ht="30" customHeight="1">
      <c r="A147" s="145">
        <v>142</v>
      </c>
      <c r="B147" s="32" t="str">
        <f t="shared" ca="1" si="0"/>
        <v/>
      </c>
      <c r="C147" s="145"/>
      <c r="D147" s="63"/>
      <c r="E147" s="3"/>
      <c r="F147" s="58"/>
      <c r="G147" s="21"/>
      <c r="H147" s="21"/>
      <c r="I147" s="21"/>
      <c r="J147" s="21"/>
      <c r="K147" s="21"/>
      <c r="L147" s="21"/>
      <c r="M147" s="21"/>
      <c r="N147" s="21"/>
      <c r="O147" s="21"/>
      <c r="P147" s="21"/>
      <c r="Q147" s="21"/>
      <c r="R147" s="58"/>
      <c r="S147" s="21"/>
      <c r="T147" s="21"/>
      <c r="U147" s="21"/>
      <c r="V147" s="21"/>
      <c r="W147" s="24" t="s">
        <v>40</v>
      </c>
      <c r="X147" s="184"/>
      <c r="Y147" s="208"/>
      <c r="Z147" s="151"/>
      <c r="AA147" s="3"/>
      <c r="AB147" s="34" t="s">
        <v>881</v>
      </c>
      <c r="AC147" s="34" t="s">
        <v>36</v>
      </c>
      <c r="AD147" s="34" t="s">
        <v>882</v>
      </c>
      <c r="AE147" s="3"/>
      <c r="AF147" s="3"/>
      <c r="AG147" s="3"/>
      <c r="AH147" s="3"/>
      <c r="AI147" s="3"/>
      <c r="AJ147" s="3"/>
      <c r="AK147" s="3"/>
      <c r="AL147" s="3"/>
      <c r="AM147" s="3"/>
      <c r="AN147" s="3"/>
      <c r="AO147" s="3"/>
    </row>
    <row r="148" spans="1:41" ht="30" customHeight="1">
      <c r="A148" s="145">
        <v>143</v>
      </c>
      <c r="B148" s="32" t="str">
        <f t="shared" ca="1" si="0"/>
        <v/>
      </c>
      <c r="C148" s="145"/>
      <c r="D148" s="63"/>
      <c r="E148" s="21"/>
      <c r="F148" s="58"/>
      <c r="G148" s="21"/>
      <c r="H148" s="21"/>
      <c r="I148" s="21"/>
      <c r="J148" s="21"/>
      <c r="K148" s="21"/>
      <c r="L148" s="21"/>
      <c r="M148" s="21"/>
      <c r="N148" s="21"/>
      <c r="O148" s="21"/>
      <c r="P148" s="21"/>
      <c r="Q148" s="21"/>
      <c r="R148" s="58"/>
      <c r="S148" s="21"/>
      <c r="T148" s="21"/>
      <c r="U148" s="21"/>
      <c r="V148" s="21"/>
      <c r="W148" s="24" t="s">
        <v>40</v>
      </c>
      <c r="X148" s="184"/>
      <c r="Y148" s="29"/>
      <c r="Z148" s="151"/>
      <c r="AA148" s="3"/>
      <c r="AB148" s="34" t="s">
        <v>883</v>
      </c>
      <c r="AC148" s="34" t="s">
        <v>36</v>
      </c>
      <c r="AD148" s="180" t="s">
        <v>884</v>
      </c>
      <c r="AE148" s="3"/>
      <c r="AF148" s="3"/>
      <c r="AG148" s="3"/>
      <c r="AH148" s="3"/>
      <c r="AI148" s="3"/>
      <c r="AJ148" s="3"/>
      <c r="AK148" s="3"/>
      <c r="AL148" s="3"/>
      <c r="AM148" s="3"/>
      <c r="AN148" s="3"/>
      <c r="AO148" s="3"/>
    </row>
    <row r="149" spans="1:41" ht="30" customHeight="1">
      <c r="A149" s="145">
        <v>144</v>
      </c>
      <c r="B149" s="32" t="str">
        <f t="shared" ca="1" si="0"/>
        <v/>
      </c>
      <c r="C149" s="145"/>
      <c r="D149" s="63"/>
      <c r="E149" s="21"/>
      <c r="F149" s="58"/>
      <c r="G149" s="21"/>
      <c r="H149" s="21"/>
      <c r="I149" s="21"/>
      <c r="J149" s="21"/>
      <c r="K149" s="21"/>
      <c r="L149" s="21"/>
      <c r="M149" s="21"/>
      <c r="N149" s="21"/>
      <c r="O149" s="21"/>
      <c r="P149" s="21"/>
      <c r="Q149" s="21"/>
      <c r="R149" s="58"/>
      <c r="S149" s="21"/>
      <c r="T149" s="21"/>
      <c r="U149" s="21"/>
      <c r="V149" s="21"/>
      <c r="W149" s="24" t="s">
        <v>40</v>
      </c>
      <c r="X149" s="184"/>
      <c r="Y149" s="29"/>
      <c r="Z149" s="151"/>
      <c r="AA149" s="3"/>
      <c r="AB149" s="34" t="s">
        <v>885</v>
      </c>
      <c r="AC149" s="34" t="s">
        <v>36</v>
      </c>
      <c r="AD149" s="34" t="s">
        <v>886</v>
      </c>
      <c r="AE149" s="3"/>
      <c r="AF149" s="3"/>
      <c r="AG149" s="3"/>
      <c r="AH149" s="3"/>
      <c r="AI149" s="3"/>
      <c r="AJ149" s="3"/>
      <c r="AK149" s="3"/>
      <c r="AL149" s="3"/>
      <c r="AM149" s="3"/>
      <c r="AN149" s="3"/>
      <c r="AO149" s="3"/>
    </row>
    <row r="150" spans="1:41" ht="30" customHeight="1">
      <c r="A150" s="145">
        <v>145</v>
      </c>
      <c r="B150" s="32" t="str">
        <f t="shared" ca="1" si="0"/>
        <v/>
      </c>
      <c r="C150" s="145"/>
      <c r="D150" s="63"/>
      <c r="E150" s="21"/>
      <c r="F150" s="58"/>
      <c r="G150" s="21"/>
      <c r="H150" s="21"/>
      <c r="I150" s="21"/>
      <c r="J150" s="21"/>
      <c r="K150" s="21"/>
      <c r="L150" s="21"/>
      <c r="M150" s="21"/>
      <c r="N150" s="21"/>
      <c r="O150" s="21"/>
      <c r="P150" s="21"/>
      <c r="Q150" s="21"/>
      <c r="R150" s="58"/>
      <c r="S150" s="21"/>
      <c r="T150" s="209"/>
      <c r="U150" s="21"/>
      <c r="V150" s="21"/>
      <c r="W150" s="24" t="s">
        <v>40</v>
      </c>
      <c r="X150" s="171"/>
      <c r="Y150" s="29"/>
      <c r="Z150" s="151"/>
      <c r="AA150" s="3"/>
      <c r="AB150" s="34" t="s">
        <v>887</v>
      </c>
      <c r="AC150" s="34" t="s">
        <v>36</v>
      </c>
      <c r="AD150" s="34" t="s">
        <v>888</v>
      </c>
      <c r="AE150" s="3"/>
      <c r="AF150" s="3"/>
      <c r="AG150" s="3"/>
      <c r="AH150" s="3"/>
      <c r="AI150" s="3"/>
      <c r="AJ150" s="3"/>
      <c r="AK150" s="3"/>
      <c r="AL150" s="3"/>
      <c r="AM150" s="3"/>
      <c r="AN150" s="3"/>
      <c r="AO150" s="3"/>
    </row>
    <row r="151" spans="1:41" ht="30" customHeight="1">
      <c r="A151" s="145">
        <v>146</v>
      </c>
      <c r="B151" s="32" t="str">
        <f t="shared" ca="1" si="0"/>
        <v/>
      </c>
      <c r="C151" s="145"/>
      <c r="D151" s="63"/>
      <c r="E151" s="58"/>
      <c r="F151" s="58"/>
      <c r="G151" s="58"/>
      <c r="H151" s="21"/>
      <c r="I151" s="21"/>
      <c r="J151" s="21"/>
      <c r="K151" s="21"/>
      <c r="L151" s="21"/>
      <c r="M151" s="21"/>
      <c r="N151" s="21"/>
      <c r="O151" s="21"/>
      <c r="P151" s="21"/>
      <c r="Q151" s="21"/>
      <c r="R151" s="58"/>
      <c r="S151" s="21"/>
      <c r="T151" s="21"/>
      <c r="U151" s="21"/>
      <c r="V151" s="21"/>
      <c r="W151" s="24" t="s">
        <v>40</v>
      </c>
      <c r="X151" s="185"/>
      <c r="Y151" s="107"/>
      <c r="Z151" s="151"/>
      <c r="AB151" s="182" t="s">
        <v>889</v>
      </c>
      <c r="AC151" s="182" t="s">
        <v>36</v>
      </c>
      <c r="AD151" s="182"/>
      <c r="AE151" s="175"/>
    </row>
    <row r="152" spans="1:41" ht="30" customHeight="1">
      <c r="A152" s="145">
        <v>147</v>
      </c>
      <c r="B152" s="32" t="str">
        <f t="shared" ca="1" si="0"/>
        <v/>
      </c>
      <c r="C152" s="145"/>
      <c r="D152" s="63"/>
      <c r="E152" s="58"/>
      <c r="F152" s="58"/>
      <c r="G152" s="58"/>
      <c r="H152" s="21"/>
      <c r="I152" s="21"/>
      <c r="J152" s="21"/>
      <c r="K152" s="21"/>
      <c r="L152" s="21"/>
      <c r="M152" s="21"/>
      <c r="N152" s="21"/>
      <c r="O152" s="21"/>
      <c r="P152" s="21"/>
      <c r="Q152" s="21"/>
      <c r="R152" s="58"/>
      <c r="S152" s="21"/>
      <c r="T152" s="21"/>
      <c r="U152" s="21"/>
      <c r="V152" s="21"/>
      <c r="W152" s="24" t="s">
        <v>40</v>
      </c>
      <c r="X152" s="185"/>
      <c r="Y152" s="107"/>
      <c r="Z152" s="151"/>
      <c r="AB152" s="182" t="s">
        <v>890</v>
      </c>
      <c r="AC152" s="182" t="s">
        <v>36</v>
      </c>
      <c r="AD152" s="25" t="s">
        <v>891</v>
      </c>
      <c r="AE152" s="175"/>
    </row>
    <row r="153" spans="1:41" ht="30" customHeight="1">
      <c r="A153" s="145">
        <v>148</v>
      </c>
      <c r="B153" s="32" t="str">
        <f t="shared" ca="1" si="0"/>
        <v/>
      </c>
      <c r="C153" s="145"/>
      <c r="D153" s="63"/>
      <c r="E153" s="21"/>
      <c r="F153" s="58"/>
      <c r="G153" s="21"/>
      <c r="H153" s="21"/>
      <c r="I153" s="21"/>
      <c r="J153" s="21"/>
      <c r="K153" s="21"/>
      <c r="L153" s="21"/>
      <c r="M153" s="21"/>
      <c r="N153" s="21"/>
      <c r="O153" s="21"/>
      <c r="P153" s="21"/>
      <c r="Q153" s="21"/>
      <c r="R153" s="58"/>
      <c r="S153" s="21"/>
      <c r="T153" s="21"/>
      <c r="U153" s="21"/>
      <c r="V153" s="21"/>
      <c r="W153" s="24" t="s">
        <v>40</v>
      </c>
      <c r="X153" s="184"/>
      <c r="Y153" s="29"/>
      <c r="Z153" s="151"/>
      <c r="AA153" s="3"/>
      <c r="AB153" s="34" t="s">
        <v>892</v>
      </c>
      <c r="AC153" s="34" t="s">
        <v>140</v>
      </c>
      <c r="AD153" s="34"/>
      <c r="AE153" s="3"/>
      <c r="AF153" s="3"/>
      <c r="AG153" s="3"/>
      <c r="AH153" s="3"/>
      <c r="AI153" s="3"/>
      <c r="AJ153" s="3"/>
      <c r="AK153" s="3"/>
      <c r="AL153" s="3"/>
      <c r="AM153" s="3"/>
      <c r="AN153" s="3"/>
      <c r="AO153" s="3"/>
    </row>
    <row r="154" spans="1:41" ht="30" customHeight="1">
      <c r="A154" s="145">
        <v>149</v>
      </c>
      <c r="B154" s="32" t="str">
        <f t="shared" ca="1" si="0"/>
        <v/>
      </c>
      <c r="C154" s="145"/>
      <c r="D154" s="63"/>
      <c r="E154" s="58"/>
      <c r="F154" s="58"/>
      <c r="G154" s="58"/>
      <c r="H154" s="21"/>
      <c r="I154" s="21"/>
      <c r="J154" s="21"/>
      <c r="K154" s="69"/>
      <c r="L154" s="21"/>
      <c r="M154" s="21"/>
      <c r="N154" s="21"/>
      <c r="O154" s="21"/>
      <c r="P154" s="21"/>
      <c r="Q154" s="21"/>
      <c r="R154" s="58"/>
      <c r="S154" s="21"/>
      <c r="T154" s="21"/>
      <c r="U154" s="21"/>
      <c r="V154" s="21"/>
      <c r="W154" s="24" t="s">
        <v>40</v>
      </c>
      <c r="X154" s="181"/>
      <c r="Y154" s="210"/>
      <c r="Z154" s="211"/>
      <c r="AB154" s="182" t="s">
        <v>893</v>
      </c>
      <c r="AC154" s="182" t="s">
        <v>140</v>
      </c>
      <c r="AD154" s="182"/>
      <c r="AE154" s="175"/>
    </row>
    <row r="155" spans="1:41" ht="30" customHeight="1">
      <c r="A155" s="145">
        <v>150</v>
      </c>
      <c r="B155" s="32" t="str">
        <f t="shared" ca="1" si="0"/>
        <v/>
      </c>
      <c r="C155" s="145"/>
      <c r="D155" s="63"/>
      <c r="E155" s="21"/>
      <c r="F155" s="58"/>
      <c r="G155" s="69"/>
      <c r="H155" s="21"/>
      <c r="I155" s="21"/>
      <c r="J155" s="21"/>
      <c r="K155" s="21"/>
      <c r="L155" s="21"/>
      <c r="M155" s="21"/>
      <c r="N155" s="21"/>
      <c r="O155" s="21"/>
      <c r="P155" s="21"/>
      <c r="Q155" s="21"/>
      <c r="R155" s="58"/>
      <c r="S155" s="21"/>
      <c r="T155" s="21"/>
      <c r="U155" s="21"/>
      <c r="V155" s="21"/>
      <c r="W155" s="24" t="s">
        <v>40</v>
      </c>
      <c r="X155" s="171"/>
      <c r="Y155" s="29"/>
      <c r="Z155" s="151"/>
      <c r="AA155" s="3"/>
      <c r="AB155" s="34" t="s">
        <v>894</v>
      </c>
      <c r="AC155" s="34" t="s">
        <v>36</v>
      </c>
      <c r="AD155" s="180" t="s">
        <v>895</v>
      </c>
      <c r="AE155" s="3"/>
      <c r="AF155" s="3"/>
      <c r="AG155" s="3"/>
      <c r="AH155" s="3"/>
      <c r="AI155" s="3"/>
      <c r="AJ155" s="3"/>
      <c r="AK155" s="3"/>
      <c r="AL155" s="3"/>
      <c r="AM155" s="3"/>
      <c r="AN155" s="3"/>
      <c r="AO155" s="3"/>
    </row>
    <row r="156" spans="1:41" ht="30" customHeight="1">
      <c r="A156" s="145">
        <v>151</v>
      </c>
      <c r="B156" s="32" t="str">
        <f t="shared" ca="1" si="0"/>
        <v/>
      </c>
      <c r="C156" s="145"/>
      <c r="D156" s="63"/>
      <c r="E156" s="21"/>
      <c r="F156" s="58"/>
      <c r="G156" s="21"/>
      <c r="H156" s="69"/>
      <c r="I156" s="21"/>
      <c r="J156" s="21"/>
      <c r="K156" s="21"/>
      <c r="L156" s="21"/>
      <c r="M156" s="21"/>
      <c r="N156" s="21"/>
      <c r="O156" s="21"/>
      <c r="P156" s="21"/>
      <c r="Q156" s="21"/>
      <c r="R156" s="58"/>
      <c r="S156" s="21"/>
      <c r="T156" s="212"/>
      <c r="U156" s="21"/>
      <c r="V156" s="21"/>
      <c r="W156" s="24" t="s">
        <v>40</v>
      </c>
      <c r="X156" s="171"/>
      <c r="Y156" s="29"/>
      <c r="Z156" s="151"/>
      <c r="AA156" s="3"/>
      <c r="AB156" s="34" t="s">
        <v>896</v>
      </c>
      <c r="AC156" s="34" t="s">
        <v>36</v>
      </c>
      <c r="AD156" s="180" t="s">
        <v>897</v>
      </c>
      <c r="AE156" s="3"/>
      <c r="AF156" s="3"/>
      <c r="AG156" s="3"/>
      <c r="AH156" s="3"/>
      <c r="AI156" s="3"/>
      <c r="AJ156" s="3"/>
      <c r="AK156" s="3"/>
      <c r="AL156" s="3"/>
      <c r="AM156" s="3"/>
      <c r="AN156" s="3"/>
      <c r="AO156" s="3"/>
    </row>
    <row r="157" spans="1:41" ht="30" customHeight="1">
      <c r="A157" s="145">
        <v>152</v>
      </c>
      <c r="B157" s="32" t="str">
        <f t="shared" ca="1" si="0"/>
        <v/>
      </c>
      <c r="C157" s="145"/>
      <c r="D157" s="63"/>
      <c r="E157" s="3"/>
      <c r="F157" s="58"/>
      <c r="G157" s="21"/>
      <c r="H157" s="21"/>
      <c r="I157" s="21"/>
      <c r="J157" s="21"/>
      <c r="K157" s="21"/>
      <c r="L157" s="21"/>
      <c r="M157" s="69"/>
      <c r="N157" s="21"/>
      <c r="O157" s="21"/>
      <c r="P157" s="21"/>
      <c r="Q157" s="21"/>
      <c r="R157" s="58"/>
      <c r="S157" s="21"/>
      <c r="T157" s="212"/>
      <c r="U157" s="21"/>
      <c r="V157" s="21"/>
      <c r="W157" s="24" t="s">
        <v>40</v>
      </c>
      <c r="X157" s="171"/>
      <c r="Y157" s="29"/>
      <c r="Z157" s="151"/>
      <c r="AA157" s="3"/>
      <c r="AB157" s="34" t="s">
        <v>898</v>
      </c>
      <c r="AC157" s="34" t="s">
        <v>36</v>
      </c>
      <c r="AD157" s="180" t="s">
        <v>899</v>
      </c>
      <c r="AE157" s="3"/>
      <c r="AF157" s="3"/>
      <c r="AG157" s="3"/>
      <c r="AH157" s="3"/>
      <c r="AI157" s="3"/>
      <c r="AJ157" s="3"/>
      <c r="AK157" s="3"/>
      <c r="AL157" s="3"/>
      <c r="AM157" s="3"/>
      <c r="AN157" s="3"/>
      <c r="AO157" s="3"/>
    </row>
    <row r="158" spans="1:41" ht="30" customHeight="1">
      <c r="A158" s="145">
        <v>153</v>
      </c>
      <c r="B158" s="32" t="str">
        <f t="shared" ca="1" si="0"/>
        <v/>
      </c>
      <c r="C158" s="145"/>
      <c r="D158" s="63"/>
      <c r="E158" s="21"/>
      <c r="F158" s="58"/>
      <c r="G158" s="21"/>
      <c r="H158" s="21"/>
      <c r="I158" s="21"/>
      <c r="J158" s="21"/>
      <c r="K158" s="21"/>
      <c r="L158" s="21"/>
      <c r="M158" s="21"/>
      <c r="N158" s="21"/>
      <c r="O158" s="21"/>
      <c r="P158" s="21"/>
      <c r="Q158" s="21"/>
      <c r="R158" s="58"/>
      <c r="S158" s="21"/>
      <c r="T158" s="21"/>
      <c r="U158" s="21"/>
      <c r="V158" s="21"/>
      <c r="W158" s="24" t="s">
        <v>40</v>
      </c>
      <c r="X158" s="171"/>
      <c r="Y158" s="29"/>
      <c r="Z158" s="151"/>
      <c r="AA158" s="3"/>
      <c r="AB158" s="34" t="s">
        <v>900</v>
      </c>
      <c r="AC158" s="34" t="s">
        <v>36</v>
      </c>
      <c r="AD158" s="180" t="s">
        <v>901</v>
      </c>
      <c r="AE158" s="3"/>
      <c r="AF158" s="3"/>
      <c r="AG158" s="3"/>
      <c r="AH158" s="3"/>
      <c r="AI158" s="3"/>
      <c r="AJ158" s="3"/>
      <c r="AK158" s="3"/>
      <c r="AL158" s="3"/>
      <c r="AM158" s="3"/>
      <c r="AN158" s="3"/>
      <c r="AO158" s="3"/>
    </row>
    <row r="159" spans="1:41" ht="30" customHeight="1">
      <c r="A159" s="145">
        <v>154</v>
      </c>
      <c r="B159" s="32" t="str">
        <f t="shared" ca="1" si="0"/>
        <v/>
      </c>
      <c r="C159" s="145"/>
      <c r="D159" s="63"/>
      <c r="E159" s="21"/>
      <c r="F159" s="58"/>
      <c r="G159" s="21"/>
      <c r="H159" s="21"/>
      <c r="I159" s="21"/>
      <c r="J159" s="21"/>
      <c r="K159" s="21"/>
      <c r="L159" s="21"/>
      <c r="M159" s="21"/>
      <c r="N159" s="21"/>
      <c r="O159" s="21"/>
      <c r="P159" s="21"/>
      <c r="Q159" s="21"/>
      <c r="R159" s="58"/>
      <c r="S159" s="21"/>
      <c r="T159" s="21"/>
      <c r="U159" s="21"/>
      <c r="V159" s="21"/>
      <c r="W159" s="24" t="s">
        <v>40</v>
      </c>
      <c r="X159" s="171"/>
      <c r="Y159" s="29"/>
      <c r="Z159" s="151"/>
      <c r="AA159" s="3"/>
      <c r="AB159" s="34" t="s">
        <v>902</v>
      </c>
      <c r="AC159" s="34" t="s">
        <v>36</v>
      </c>
      <c r="AD159" s="180" t="s">
        <v>903</v>
      </c>
      <c r="AE159" s="3"/>
      <c r="AF159" s="3"/>
      <c r="AG159" s="3"/>
      <c r="AH159" s="3"/>
      <c r="AI159" s="3"/>
      <c r="AJ159" s="3"/>
      <c r="AK159" s="3"/>
      <c r="AL159" s="3"/>
      <c r="AM159" s="3"/>
      <c r="AN159" s="3"/>
      <c r="AO159" s="3"/>
    </row>
    <row r="160" spans="1:41" ht="30" customHeight="1">
      <c r="A160" s="145">
        <v>155</v>
      </c>
      <c r="B160" s="32" t="str">
        <f t="shared" ca="1" si="0"/>
        <v/>
      </c>
      <c r="C160" s="145"/>
      <c r="D160" s="63"/>
      <c r="E160" s="34"/>
      <c r="F160" s="58"/>
      <c r="G160" s="21"/>
      <c r="H160" s="21"/>
      <c r="I160" s="21"/>
      <c r="J160" s="21"/>
      <c r="K160" s="21"/>
      <c r="L160" s="21"/>
      <c r="M160" s="21"/>
      <c r="N160" s="21"/>
      <c r="O160" s="21"/>
      <c r="P160" s="21"/>
      <c r="Q160" s="21"/>
      <c r="R160" s="58"/>
      <c r="S160" s="21"/>
      <c r="T160" s="21"/>
      <c r="U160" s="21"/>
      <c r="V160" s="21"/>
      <c r="W160" s="24" t="s">
        <v>40</v>
      </c>
      <c r="X160" s="184"/>
      <c r="Y160" s="213"/>
      <c r="Z160" s="151"/>
      <c r="AA160" s="3"/>
      <c r="AB160" s="34" t="s">
        <v>904</v>
      </c>
      <c r="AC160" s="34" t="s">
        <v>36</v>
      </c>
      <c r="AD160" s="180" t="s">
        <v>905</v>
      </c>
      <c r="AE160" s="3"/>
      <c r="AF160" s="3"/>
      <c r="AG160" s="3"/>
      <c r="AH160" s="3"/>
      <c r="AI160" s="3"/>
      <c r="AJ160" s="3"/>
      <c r="AK160" s="3"/>
      <c r="AL160" s="3"/>
      <c r="AM160" s="3"/>
      <c r="AN160" s="3"/>
      <c r="AO160" s="3"/>
    </row>
    <row r="161" spans="1:41" ht="30" customHeight="1">
      <c r="A161" s="145">
        <v>156</v>
      </c>
      <c r="B161" s="32" t="str">
        <f t="shared" ca="1" si="0"/>
        <v/>
      </c>
      <c r="C161" s="145"/>
      <c r="D161" s="63"/>
      <c r="E161" s="214"/>
      <c r="F161" s="58"/>
      <c r="G161" s="21"/>
      <c r="H161" s="21"/>
      <c r="I161" s="21"/>
      <c r="J161" s="21"/>
      <c r="K161" s="21"/>
      <c r="L161" s="21"/>
      <c r="M161" s="21"/>
      <c r="N161" s="21"/>
      <c r="O161" s="21"/>
      <c r="P161" s="21"/>
      <c r="Q161" s="21"/>
      <c r="R161" s="58"/>
      <c r="S161" s="21"/>
      <c r="T161" s="21"/>
      <c r="U161" s="21"/>
      <c r="V161" s="21"/>
      <c r="W161" s="24" t="s">
        <v>40</v>
      </c>
      <c r="X161" s="184"/>
      <c r="Y161" s="29"/>
      <c r="Z161" s="151"/>
      <c r="AA161" s="3"/>
      <c r="AB161" s="34" t="s">
        <v>906</v>
      </c>
      <c r="AC161" s="34" t="s">
        <v>36</v>
      </c>
      <c r="AD161" s="180" t="s">
        <v>907</v>
      </c>
      <c r="AE161" s="3"/>
      <c r="AF161" s="3"/>
      <c r="AG161" s="3"/>
      <c r="AH161" s="3"/>
      <c r="AI161" s="3"/>
      <c r="AJ161" s="3"/>
      <c r="AK161" s="3"/>
      <c r="AL161" s="3"/>
      <c r="AM161" s="3"/>
      <c r="AN161" s="3"/>
      <c r="AO161" s="3"/>
    </row>
    <row r="162" spans="1:41" ht="30" customHeight="1">
      <c r="A162" s="145">
        <v>157</v>
      </c>
      <c r="B162" s="32" t="str">
        <f t="shared" ca="1" si="0"/>
        <v/>
      </c>
      <c r="C162" s="145"/>
      <c r="D162" s="63"/>
      <c r="E162" s="21"/>
      <c r="F162" s="58"/>
      <c r="G162" s="21"/>
      <c r="H162" s="21"/>
      <c r="I162" s="21"/>
      <c r="J162" s="21"/>
      <c r="K162" s="21"/>
      <c r="L162" s="21"/>
      <c r="M162" s="21"/>
      <c r="N162" s="21"/>
      <c r="O162" s="21"/>
      <c r="P162" s="21"/>
      <c r="Q162" s="21"/>
      <c r="R162" s="58"/>
      <c r="S162" s="21"/>
      <c r="T162" s="3"/>
      <c r="U162" s="21"/>
      <c r="V162" s="21"/>
      <c r="W162" s="24" t="s">
        <v>40</v>
      </c>
      <c r="X162" s="171"/>
      <c r="Y162" s="29"/>
      <c r="Z162" s="151"/>
      <c r="AA162" s="3"/>
      <c r="AB162" s="34" t="s">
        <v>908</v>
      </c>
      <c r="AC162" s="34" t="s">
        <v>36</v>
      </c>
      <c r="AD162" s="180" t="s">
        <v>909</v>
      </c>
      <c r="AE162" s="3"/>
      <c r="AF162" s="3"/>
      <c r="AG162" s="3"/>
      <c r="AH162" s="3"/>
      <c r="AI162" s="3"/>
      <c r="AJ162" s="3"/>
      <c r="AK162" s="3"/>
      <c r="AL162" s="3"/>
      <c r="AM162" s="3"/>
      <c r="AN162" s="3"/>
      <c r="AO162" s="3"/>
    </row>
    <row r="163" spans="1:41" ht="30" customHeight="1">
      <c r="A163" s="145">
        <v>158</v>
      </c>
      <c r="B163" s="32" t="str">
        <f t="shared" ca="1" si="0"/>
        <v/>
      </c>
      <c r="C163" s="145"/>
      <c r="D163" s="63"/>
      <c r="E163" s="21"/>
      <c r="F163" s="58"/>
      <c r="G163" s="21"/>
      <c r="H163" s="21"/>
      <c r="I163" s="21"/>
      <c r="J163" s="21"/>
      <c r="K163" s="21"/>
      <c r="L163" s="21"/>
      <c r="M163" s="21"/>
      <c r="N163" s="21"/>
      <c r="O163" s="21"/>
      <c r="P163" s="21"/>
      <c r="Q163" s="21"/>
      <c r="R163" s="58"/>
      <c r="S163" s="21"/>
      <c r="T163" s="21"/>
      <c r="U163" s="21"/>
      <c r="V163" s="21"/>
      <c r="W163" s="24" t="s">
        <v>40</v>
      </c>
      <c r="X163" s="184"/>
      <c r="Y163" s="29"/>
      <c r="Z163" s="151"/>
      <c r="AA163" s="3"/>
      <c r="AB163" s="34" t="s">
        <v>910</v>
      </c>
      <c r="AC163" s="34" t="s">
        <v>36</v>
      </c>
      <c r="AD163" s="34"/>
      <c r="AE163" s="3"/>
      <c r="AF163" s="3"/>
      <c r="AG163" s="3"/>
      <c r="AH163" s="3"/>
      <c r="AI163" s="3"/>
      <c r="AJ163" s="3"/>
      <c r="AK163" s="3"/>
      <c r="AL163" s="3"/>
      <c r="AM163" s="3"/>
      <c r="AN163" s="3"/>
      <c r="AO163" s="3"/>
    </row>
    <row r="164" spans="1:41" ht="30" customHeight="1">
      <c r="A164" s="145">
        <v>159</v>
      </c>
      <c r="B164" s="32" t="str">
        <f t="shared" ca="1" si="0"/>
        <v/>
      </c>
      <c r="C164" s="145"/>
      <c r="D164" s="63"/>
      <c r="E164" s="21"/>
      <c r="F164" s="58"/>
      <c r="G164" s="21"/>
      <c r="H164" s="21"/>
      <c r="I164" s="21"/>
      <c r="J164" s="21"/>
      <c r="K164" s="21"/>
      <c r="L164" s="21"/>
      <c r="M164" s="21"/>
      <c r="N164" s="21"/>
      <c r="O164" s="21"/>
      <c r="P164" s="21"/>
      <c r="Q164" s="21"/>
      <c r="R164" s="58"/>
      <c r="S164" s="21"/>
      <c r="T164" s="21"/>
      <c r="U164" s="21"/>
      <c r="V164" s="21"/>
      <c r="W164" s="24" t="s">
        <v>40</v>
      </c>
      <c r="X164" s="184"/>
      <c r="Y164" s="107"/>
      <c r="Z164" s="151"/>
      <c r="AA164" s="3"/>
      <c r="AB164" s="34" t="s">
        <v>911</v>
      </c>
      <c r="AC164" s="34" t="s">
        <v>36</v>
      </c>
      <c r="AD164" s="180" t="s">
        <v>912</v>
      </c>
      <c r="AE164" s="3"/>
      <c r="AF164" s="3"/>
      <c r="AG164" s="3"/>
      <c r="AH164" s="3"/>
      <c r="AI164" s="3"/>
      <c r="AJ164" s="3"/>
      <c r="AK164" s="3"/>
      <c r="AL164" s="3"/>
      <c r="AM164" s="3"/>
      <c r="AN164" s="3"/>
      <c r="AO164" s="3"/>
    </row>
    <row r="165" spans="1:41" ht="30" customHeight="1">
      <c r="A165" s="145">
        <v>160</v>
      </c>
      <c r="B165" s="32" t="str">
        <f t="shared" ca="1" si="0"/>
        <v/>
      </c>
      <c r="C165" s="145"/>
      <c r="D165" s="63"/>
      <c r="E165" s="215"/>
      <c r="F165" s="58"/>
      <c r="G165" s="21"/>
      <c r="H165" s="21"/>
      <c r="I165" s="21"/>
      <c r="J165" s="21"/>
      <c r="K165" s="21"/>
      <c r="L165" s="21"/>
      <c r="M165" s="21"/>
      <c r="N165" s="21"/>
      <c r="O165" s="21"/>
      <c r="P165" s="21"/>
      <c r="Q165" s="21"/>
      <c r="R165" s="58"/>
      <c r="S165" s="21"/>
      <c r="T165" s="21"/>
      <c r="U165" s="21"/>
      <c r="V165" s="21"/>
      <c r="W165" s="24" t="s">
        <v>40</v>
      </c>
      <c r="X165" s="184"/>
      <c r="Y165" s="107"/>
      <c r="Z165" s="151"/>
      <c r="AA165" s="3"/>
      <c r="AB165" s="34" t="s">
        <v>913</v>
      </c>
      <c r="AC165" s="34" t="s">
        <v>36</v>
      </c>
      <c r="AD165" s="180" t="s">
        <v>912</v>
      </c>
      <c r="AE165" s="3"/>
      <c r="AF165" s="3"/>
      <c r="AG165" s="3"/>
      <c r="AH165" s="3"/>
      <c r="AI165" s="3"/>
      <c r="AJ165" s="3"/>
      <c r="AK165" s="3"/>
      <c r="AL165" s="3"/>
      <c r="AM165" s="3"/>
      <c r="AN165" s="3"/>
      <c r="AO165" s="3"/>
    </row>
    <row r="166" spans="1:41" ht="30" customHeight="1">
      <c r="A166" s="145">
        <v>161</v>
      </c>
      <c r="B166" s="32" t="str">
        <f t="shared" ca="1" si="0"/>
        <v/>
      </c>
      <c r="C166" s="145"/>
      <c r="D166" s="63"/>
      <c r="E166" s="21"/>
      <c r="F166" s="58"/>
      <c r="G166" s="21"/>
      <c r="H166" s="21"/>
      <c r="I166" s="21"/>
      <c r="J166" s="21"/>
      <c r="K166" s="21"/>
      <c r="L166" s="21"/>
      <c r="M166" s="21"/>
      <c r="N166" s="21"/>
      <c r="O166" s="21"/>
      <c r="P166" s="21"/>
      <c r="Q166" s="21"/>
      <c r="R166" s="58"/>
      <c r="S166" s="21"/>
      <c r="T166" s="21"/>
      <c r="U166" s="21"/>
      <c r="V166" s="21"/>
      <c r="W166" s="24" t="s">
        <v>40</v>
      </c>
      <c r="X166" s="184"/>
      <c r="Y166" s="29"/>
      <c r="Z166" s="151"/>
      <c r="AA166" s="3"/>
      <c r="AB166" s="34" t="s">
        <v>914</v>
      </c>
      <c r="AC166" s="34" t="s">
        <v>140</v>
      </c>
      <c r="AD166" s="180" t="s">
        <v>915</v>
      </c>
      <c r="AE166" s="3"/>
      <c r="AF166" s="3"/>
      <c r="AG166" s="3"/>
      <c r="AH166" s="3"/>
      <c r="AI166" s="3"/>
      <c r="AJ166" s="3"/>
      <c r="AK166" s="3"/>
      <c r="AL166" s="3"/>
      <c r="AM166" s="3"/>
      <c r="AN166" s="3"/>
      <c r="AO166" s="3"/>
    </row>
    <row r="167" spans="1:41" ht="30" customHeight="1">
      <c r="A167" s="145">
        <v>162</v>
      </c>
      <c r="B167" s="32" t="str">
        <f t="shared" ca="1" si="0"/>
        <v/>
      </c>
      <c r="C167" s="145"/>
      <c r="D167" s="63"/>
      <c r="E167" s="58"/>
      <c r="F167" s="58"/>
      <c r="G167" s="58"/>
      <c r="H167" s="21"/>
      <c r="I167" s="21"/>
      <c r="J167" s="21"/>
      <c r="K167" s="21"/>
      <c r="L167" s="21"/>
      <c r="M167" s="21"/>
      <c r="N167" s="21"/>
      <c r="O167" s="21"/>
      <c r="P167" s="21"/>
      <c r="Q167" s="21"/>
      <c r="R167" s="58"/>
      <c r="S167" s="21"/>
      <c r="T167" s="21"/>
      <c r="U167" s="21"/>
      <c r="V167" s="21"/>
      <c r="W167" s="24" t="s">
        <v>40</v>
      </c>
      <c r="X167" s="185"/>
      <c r="Y167" s="107"/>
      <c r="Z167" s="151"/>
      <c r="AB167" s="182" t="s">
        <v>916</v>
      </c>
      <c r="AC167" s="182" t="s">
        <v>36</v>
      </c>
      <c r="AD167" s="183" t="s">
        <v>917</v>
      </c>
      <c r="AE167" s="175"/>
    </row>
    <row r="168" spans="1:41" ht="30" customHeight="1">
      <c r="A168" s="145">
        <v>163</v>
      </c>
      <c r="B168" s="32" t="str">
        <f t="shared" ca="1" si="0"/>
        <v/>
      </c>
      <c r="C168" s="145"/>
      <c r="D168" s="63"/>
      <c r="E168" s="21"/>
      <c r="F168" s="58"/>
      <c r="G168" s="21"/>
      <c r="H168" s="21"/>
      <c r="I168" s="21"/>
      <c r="J168" s="21"/>
      <c r="K168" s="21"/>
      <c r="L168" s="21"/>
      <c r="M168" s="21"/>
      <c r="N168" s="21"/>
      <c r="O168" s="21"/>
      <c r="P168" s="21"/>
      <c r="Q168" s="21"/>
      <c r="R168" s="58"/>
      <c r="S168" s="21"/>
      <c r="T168" s="21"/>
      <c r="U168" s="21"/>
      <c r="V168" s="21"/>
      <c r="W168" s="24" t="s">
        <v>40</v>
      </c>
      <c r="X168" s="184"/>
      <c r="Y168" s="29"/>
      <c r="Z168" s="151"/>
      <c r="AA168" s="3"/>
      <c r="AB168" s="34" t="s">
        <v>918</v>
      </c>
      <c r="AC168" s="34" t="s">
        <v>36</v>
      </c>
      <c r="AD168" s="34"/>
      <c r="AE168" s="3"/>
      <c r="AF168" s="3"/>
      <c r="AG168" s="3"/>
      <c r="AH168" s="3"/>
      <c r="AI168" s="3"/>
      <c r="AJ168" s="3"/>
      <c r="AK168" s="3"/>
      <c r="AL168" s="3"/>
      <c r="AM168" s="3"/>
      <c r="AN168" s="3"/>
      <c r="AO168" s="3"/>
    </row>
    <row r="169" spans="1:41" ht="30" customHeight="1">
      <c r="A169" s="145">
        <v>164</v>
      </c>
      <c r="B169" s="32" t="str">
        <f t="shared" ca="1" si="0"/>
        <v/>
      </c>
      <c r="C169" s="145"/>
      <c r="D169" s="63"/>
      <c r="E169" s="58"/>
      <c r="F169" s="58"/>
      <c r="G169" s="58"/>
      <c r="H169" s="21"/>
      <c r="I169" s="21"/>
      <c r="J169" s="21"/>
      <c r="K169" s="21"/>
      <c r="L169" s="21"/>
      <c r="M169" s="21"/>
      <c r="N169" s="21"/>
      <c r="O169" s="21"/>
      <c r="P169" s="21"/>
      <c r="Q169" s="21"/>
      <c r="R169" s="58"/>
      <c r="S169" s="21"/>
      <c r="T169" s="21"/>
      <c r="U169" s="21"/>
      <c r="V169" s="21"/>
      <c r="W169" s="24" t="s">
        <v>40</v>
      </c>
      <c r="X169" s="185"/>
      <c r="Y169" s="107"/>
      <c r="Z169" s="151"/>
      <c r="AB169" s="182" t="s">
        <v>919</v>
      </c>
      <c r="AC169" s="182" t="s">
        <v>36</v>
      </c>
      <c r="AD169" s="182"/>
      <c r="AE169" s="175"/>
    </row>
    <row r="170" spans="1:41" ht="30" customHeight="1">
      <c r="A170" s="145">
        <v>165</v>
      </c>
      <c r="B170" s="32" t="str">
        <f t="shared" ca="1" si="0"/>
        <v/>
      </c>
      <c r="C170" s="145"/>
      <c r="D170" s="63"/>
      <c r="E170" s="58"/>
      <c r="F170" s="58"/>
      <c r="G170" s="58"/>
      <c r="H170" s="21"/>
      <c r="I170" s="21"/>
      <c r="J170" s="21"/>
      <c r="K170" s="21"/>
      <c r="L170" s="21"/>
      <c r="M170" s="21"/>
      <c r="N170" s="21"/>
      <c r="O170" s="21"/>
      <c r="P170" s="21"/>
      <c r="Q170" s="21"/>
      <c r="R170" s="58"/>
      <c r="S170" s="21"/>
      <c r="T170" s="21"/>
      <c r="U170" s="21"/>
      <c r="V170" s="21"/>
      <c r="W170" s="24" t="s">
        <v>40</v>
      </c>
      <c r="X170" s="216"/>
      <c r="Y170" s="29"/>
      <c r="Z170" s="151"/>
      <c r="AB170" s="182" t="s">
        <v>920</v>
      </c>
      <c r="AC170" s="182" t="s">
        <v>36</v>
      </c>
      <c r="AD170" s="182"/>
      <c r="AE170" s="175"/>
    </row>
    <row r="171" spans="1:41" ht="30" customHeight="1">
      <c r="A171" s="145">
        <v>166</v>
      </c>
      <c r="B171" s="32" t="str">
        <f t="shared" ca="1" si="0"/>
        <v/>
      </c>
      <c r="C171" s="145"/>
      <c r="D171" s="63"/>
      <c r="E171" s="217"/>
      <c r="F171" s="58"/>
      <c r="G171" s="21"/>
      <c r="H171" s="21"/>
      <c r="I171" s="21"/>
      <c r="J171" s="21"/>
      <c r="K171" s="21"/>
      <c r="L171" s="21"/>
      <c r="M171" s="21"/>
      <c r="N171" s="21"/>
      <c r="O171" s="21"/>
      <c r="P171" s="21"/>
      <c r="Q171" s="21"/>
      <c r="R171" s="58"/>
      <c r="S171" s="21"/>
      <c r="T171" s="21"/>
      <c r="U171" s="21"/>
      <c r="V171" s="21"/>
      <c r="W171" s="24" t="s">
        <v>40</v>
      </c>
      <c r="X171" s="184"/>
      <c r="Y171" s="29"/>
      <c r="Z171" s="151"/>
      <c r="AA171" s="3"/>
      <c r="AB171" s="34" t="s">
        <v>921</v>
      </c>
      <c r="AC171" s="34" t="s">
        <v>36</v>
      </c>
      <c r="AD171" s="34"/>
      <c r="AE171" s="3"/>
      <c r="AF171" s="3"/>
      <c r="AG171" s="3"/>
      <c r="AH171" s="3"/>
      <c r="AI171" s="3"/>
      <c r="AJ171" s="3"/>
      <c r="AK171" s="3"/>
      <c r="AL171" s="3"/>
      <c r="AM171" s="3"/>
      <c r="AN171" s="3"/>
      <c r="AO171" s="3"/>
    </row>
    <row r="172" spans="1:41" ht="30" customHeight="1">
      <c r="A172" s="145">
        <v>167</v>
      </c>
      <c r="B172" s="32" t="str">
        <f t="shared" ca="1" si="0"/>
        <v/>
      </c>
      <c r="C172" s="145"/>
      <c r="D172" s="63"/>
      <c r="E172" s="218"/>
      <c r="F172" s="58"/>
      <c r="G172" s="58"/>
      <c r="H172" s="21"/>
      <c r="I172" s="21"/>
      <c r="J172" s="21"/>
      <c r="K172" s="21"/>
      <c r="L172" s="21"/>
      <c r="M172" s="21"/>
      <c r="N172" s="21"/>
      <c r="O172" s="21"/>
      <c r="P172" s="21"/>
      <c r="Q172" s="21"/>
      <c r="R172" s="58"/>
      <c r="S172" s="21"/>
      <c r="T172" s="21"/>
      <c r="U172" s="21"/>
      <c r="V172" s="21"/>
      <c r="W172" s="24" t="s">
        <v>40</v>
      </c>
      <c r="X172" s="185"/>
      <c r="Y172" s="107"/>
      <c r="Z172" s="151"/>
      <c r="AB172" s="182" t="s">
        <v>922</v>
      </c>
      <c r="AC172" s="182" t="s">
        <v>36</v>
      </c>
      <c r="AD172" s="182"/>
      <c r="AE172" s="175"/>
    </row>
    <row r="173" spans="1:41" ht="30" customHeight="1">
      <c r="A173" s="145">
        <v>168</v>
      </c>
      <c r="B173" s="32" t="str">
        <f t="shared" ca="1" si="0"/>
        <v/>
      </c>
      <c r="C173" s="145"/>
      <c r="D173" s="63"/>
      <c r="E173" s="21"/>
      <c r="F173" s="58"/>
      <c r="G173" s="21"/>
      <c r="H173" s="21"/>
      <c r="I173" s="21"/>
      <c r="J173" s="21"/>
      <c r="K173" s="21"/>
      <c r="L173" s="21"/>
      <c r="M173" s="21"/>
      <c r="N173" s="21"/>
      <c r="O173" s="21"/>
      <c r="P173" s="21"/>
      <c r="Q173" s="21"/>
      <c r="R173" s="58"/>
      <c r="S173" s="21"/>
      <c r="T173" s="21"/>
      <c r="U173" s="21"/>
      <c r="V173" s="21"/>
      <c r="W173" s="24" t="s">
        <v>40</v>
      </c>
      <c r="X173" s="171"/>
      <c r="Y173" s="29"/>
      <c r="Z173" s="151"/>
      <c r="AA173" s="3"/>
      <c r="AB173" s="34" t="s">
        <v>923</v>
      </c>
      <c r="AC173" s="34" t="s">
        <v>36</v>
      </c>
      <c r="AD173" s="34"/>
      <c r="AE173" s="3"/>
      <c r="AF173" s="3"/>
      <c r="AG173" s="3"/>
      <c r="AH173" s="3"/>
      <c r="AI173" s="3"/>
      <c r="AJ173" s="3"/>
      <c r="AK173" s="3"/>
      <c r="AL173" s="3"/>
      <c r="AM173" s="3"/>
      <c r="AN173" s="3"/>
      <c r="AO173" s="3"/>
    </row>
    <row r="174" spans="1:41" ht="30" customHeight="1">
      <c r="A174" s="145">
        <v>169</v>
      </c>
      <c r="B174" s="32" t="str">
        <f t="shared" ca="1" si="0"/>
        <v/>
      </c>
      <c r="C174" s="145"/>
      <c r="D174" s="63"/>
      <c r="E174" s="58"/>
      <c r="F174" s="58"/>
      <c r="G174" s="58"/>
      <c r="H174" s="21"/>
      <c r="I174" s="21"/>
      <c r="J174" s="21"/>
      <c r="K174" s="21"/>
      <c r="L174" s="21"/>
      <c r="M174" s="21"/>
      <c r="N174" s="21"/>
      <c r="O174" s="21"/>
      <c r="P174" s="21"/>
      <c r="Q174" s="21"/>
      <c r="R174" s="58"/>
      <c r="S174" s="21"/>
      <c r="T174" s="21"/>
      <c r="U174" s="21"/>
      <c r="V174" s="21"/>
      <c r="W174" s="24" t="s">
        <v>40</v>
      </c>
      <c r="X174" s="185"/>
      <c r="Y174" s="107"/>
      <c r="Z174" s="151"/>
      <c r="AB174" s="182" t="s">
        <v>924</v>
      </c>
      <c r="AC174" s="182" t="s">
        <v>36</v>
      </c>
      <c r="AD174" s="182"/>
      <c r="AE174" s="175"/>
    </row>
    <row r="175" spans="1:41" ht="30" customHeight="1">
      <c r="A175" s="145">
        <v>170</v>
      </c>
      <c r="B175" s="32" t="str">
        <f t="shared" ca="1" si="0"/>
        <v/>
      </c>
      <c r="C175" s="145"/>
      <c r="D175" s="63"/>
      <c r="E175" s="58"/>
      <c r="F175" s="58"/>
      <c r="G175" s="58"/>
      <c r="H175" s="21"/>
      <c r="I175" s="21"/>
      <c r="J175" s="21"/>
      <c r="K175" s="21"/>
      <c r="L175" s="21"/>
      <c r="M175" s="21"/>
      <c r="N175" s="21"/>
      <c r="O175" s="21"/>
      <c r="P175" s="21"/>
      <c r="Q175" s="21"/>
      <c r="R175" s="58"/>
      <c r="S175" s="21"/>
      <c r="T175" s="21"/>
      <c r="U175" s="21"/>
      <c r="V175" s="21"/>
      <c r="W175" s="24" t="s">
        <v>40</v>
      </c>
      <c r="X175" s="185"/>
      <c r="Y175" s="107"/>
      <c r="Z175" s="151"/>
      <c r="AB175" s="182" t="s">
        <v>925</v>
      </c>
      <c r="AC175" s="182" t="s">
        <v>36</v>
      </c>
      <c r="AD175" s="182"/>
      <c r="AE175" s="175"/>
    </row>
    <row r="176" spans="1:41" ht="30" customHeight="1">
      <c r="A176" s="145">
        <v>171</v>
      </c>
      <c r="B176" s="32" t="str">
        <f t="shared" ca="1" si="0"/>
        <v/>
      </c>
      <c r="C176" s="145"/>
      <c r="D176" s="63"/>
      <c r="E176" s="21"/>
      <c r="F176" s="58"/>
      <c r="G176" s="21"/>
      <c r="H176" s="21"/>
      <c r="I176" s="21"/>
      <c r="J176" s="21"/>
      <c r="K176" s="21"/>
      <c r="L176" s="21"/>
      <c r="M176" s="21"/>
      <c r="N176" s="21"/>
      <c r="O176" s="21"/>
      <c r="P176" s="21"/>
      <c r="Q176" s="21"/>
      <c r="R176" s="58"/>
      <c r="S176" s="21"/>
      <c r="T176" s="21"/>
      <c r="U176" s="21"/>
      <c r="V176" s="21"/>
      <c r="W176" s="24" t="s">
        <v>40</v>
      </c>
      <c r="X176" s="184"/>
      <c r="Y176" s="29"/>
      <c r="Z176" s="151"/>
      <c r="AA176" s="3"/>
      <c r="AB176" s="34" t="s">
        <v>926</v>
      </c>
      <c r="AC176" s="34" t="s">
        <v>36</v>
      </c>
      <c r="AD176" s="34"/>
      <c r="AE176" s="3"/>
      <c r="AF176" s="3"/>
      <c r="AG176" s="3"/>
      <c r="AH176" s="3"/>
      <c r="AI176" s="3"/>
      <c r="AJ176" s="3"/>
      <c r="AK176" s="3"/>
      <c r="AL176" s="3"/>
      <c r="AM176" s="3"/>
      <c r="AN176" s="3"/>
      <c r="AO176" s="3"/>
    </row>
    <row r="177" spans="1:41" ht="30" customHeight="1">
      <c r="A177" s="145">
        <v>172</v>
      </c>
      <c r="B177" s="32" t="str">
        <f t="shared" ca="1" si="0"/>
        <v/>
      </c>
      <c r="C177" s="145"/>
      <c r="D177" s="63"/>
      <c r="E177" s="58"/>
      <c r="F177" s="58"/>
      <c r="G177" s="58"/>
      <c r="H177" s="21"/>
      <c r="I177" s="21"/>
      <c r="J177" s="21"/>
      <c r="K177" s="21"/>
      <c r="L177" s="21"/>
      <c r="M177" s="21"/>
      <c r="N177" s="21"/>
      <c r="O177" s="21"/>
      <c r="P177" s="21"/>
      <c r="Q177" s="21"/>
      <c r="R177" s="58"/>
      <c r="S177" s="21"/>
      <c r="T177" s="21"/>
      <c r="U177" s="21"/>
      <c r="V177" s="21"/>
      <c r="W177" s="24" t="s">
        <v>40</v>
      </c>
      <c r="X177" s="219"/>
      <c r="Y177" s="107"/>
      <c r="Z177" s="151"/>
      <c r="AB177" s="182" t="s">
        <v>927</v>
      </c>
      <c r="AC177" s="182" t="s">
        <v>36</v>
      </c>
      <c r="AD177" s="183" t="s">
        <v>928</v>
      </c>
      <c r="AE177" s="175"/>
    </row>
    <row r="178" spans="1:41" ht="30" customHeight="1">
      <c r="A178" s="145">
        <v>173</v>
      </c>
      <c r="B178" s="32" t="str">
        <f t="shared" ca="1" si="0"/>
        <v/>
      </c>
      <c r="C178" s="145"/>
      <c r="D178" s="63"/>
      <c r="E178" s="21"/>
      <c r="F178" s="58"/>
      <c r="G178" s="21"/>
      <c r="H178" s="21"/>
      <c r="I178" s="21"/>
      <c r="J178" s="21"/>
      <c r="K178" s="21"/>
      <c r="L178" s="21"/>
      <c r="M178" s="21"/>
      <c r="N178" s="21"/>
      <c r="O178" s="21"/>
      <c r="P178" s="21"/>
      <c r="Q178" s="21"/>
      <c r="R178" s="58"/>
      <c r="S178" s="21"/>
      <c r="T178" s="21"/>
      <c r="U178" s="21"/>
      <c r="V178" s="21"/>
      <c r="W178" s="24" t="s">
        <v>40</v>
      </c>
      <c r="X178" s="184"/>
      <c r="Y178" s="29"/>
      <c r="Z178" s="151"/>
      <c r="AA178" s="3"/>
      <c r="AB178" s="34" t="s">
        <v>929</v>
      </c>
      <c r="AC178" s="34" t="s">
        <v>140</v>
      </c>
      <c r="AD178" s="180" t="s">
        <v>930</v>
      </c>
      <c r="AE178" s="3"/>
      <c r="AF178" s="3"/>
      <c r="AG178" s="3"/>
      <c r="AH178" s="3"/>
      <c r="AI178" s="3"/>
      <c r="AJ178" s="3"/>
      <c r="AK178" s="3"/>
      <c r="AL178" s="3"/>
      <c r="AM178" s="3"/>
      <c r="AN178" s="3"/>
      <c r="AO178" s="3"/>
    </row>
    <row r="179" spans="1:41" ht="30" customHeight="1">
      <c r="A179" s="145">
        <v>174</v>
      </c>
      <c r="B179" s="32" t="str">
        <f t="shared" ca="1" si="0"/>
        <v/>
      </c>
      <c r="C179" s="145"/>
      <c r="D179" s="63"/>
      <c r="E179" s="21"/>
      <c r="F179" s="58"/>
      <c r="G179" s="21"/>
      <c r="H179" s="21"/>
      <c r="I179" s="21"/>
      <c r="J179" s="21"/>
      <c r="K179" s="21"/>
      <c r="L179" s="21"/>
      <c r="M179" s="21"/>
      <c r="N179" s="21"/>
      <c r="O179" s="21"/>
      <c r="P179" s="21"/>
      <c r="Q179" s="21"/>
      <c r="R179" s="58"/>
      <c r="S179" s="21"/>
      <c r="T179" s="21"/>
      <c r="U179" s="21"/>
      <c r="V179" s="21"/>
      <c r="W179" s="24" t="s">
        <v>40</v>
      </c>
      <c r="X179" s="184"/>
      <c r="Y179" s="29"/>
      <c r="Z179" s="151"/>
      <c r="AA179" s="3"/>
      <c r="AB179" s="34" t="s">
        <v>931</v>
      </c>
      <c r="AC179" s="34" t="s">
        <v>36</v>
      </c>
      <c r="AD179" s="34"/>
      <c r="AE179" s="3"/>
      <c r="AF179" s="3"/>
      <c r="AG179" s="3"/>
      <c r="AH179" s="3"/>
      <c r="AI179" s="3"/>
      <c r="AJ179" s="3"/>
      <c r="AK179" s="3"/>
      <c r="AL179" s="3"/>
      <c r="AM179" s="3"/>
      <c r="AN179" s="3"/>
      <c r="AO179" s="3"/>
    </row>
    <row r="180" spans="1:41" ht="30" customHeight="1">
      <c r="A180" s="145">
        <v>175</v>
      </c>
      <c r="B180" s="32" t="str">
        <f t="shared" ca="1" si="0"/>
        <v/>
      </c>
      <c r="C180" s="145"/>
      <c r="D180" s="63"/>
      <c r="E180" s="21"/>
      <c r="F180" s="58"/>
      <c r="G180" s="21"/>
      <c r="H180" s="21"/>
      <c r="I180" s="21"/>
      <c r="J180" s="21"/>
      <c r="K180" s="21"/>
      <c r="L180" s="21"/>
      <c r="M180" s="21"/>
      <c r="N180" s="21"/>
      <c r="O180" s="21"/>
      <c r="P180" s="21"/>
      <c r="Q180" s="21"/>
      <c r="R180" s="58"/>
      <c r="S180" s="21"/>
      <c r="T180" s="21"/>
      <c r="U180" s="21"/>
      <c r="V180" s="21"/>
      <c r="W180" s="24" t="s">
        <v>40</v>
      </c>
      <c r="X180" s="184"/>
      <c r="Y180" s="29"/>
      <c r="Z180" s="151"/>
      <c r="AA180" s="3"/>
      <c r="AB180" s="34" t="s">
        <v>932</v>
      </c>
      <c r="AC180" s="34" t="s">
        <v>36</v>
      </c>
      <c r="AD180" s="180" t="s">
        <v>933</v>
      </c>
      <c r="AE180" s="3"/>
      <c r="AF180" s="3"/>
      <c r="AG180" s="3"/>
      <c r="AH180" s="3"/>
      <c r="AI180" s="3"/>
      <c r="AJ180" s="3"/>
      <c r="AK180" s="3"/>
      <c r="AL180" s="3"/>
      <c r="AM180" s="3"/>
      <c r="AN180" s="3"/>
      <c r="AO180" s="3"/>
    </row>
    <row r="181" spans="1:41" ht="30" customHeight="1">
      <c r="A181" s="145">
        <v>176</v>
      </c>
      <c r="B181" s="32" t="str">
        <f t="shared" ca="1" si="0"/>
        <v/>
      </c>
      <c r="C181" s="145"/>
      <c r="D181" s="63"/>
      <c r="E181" s="58"/>
      <c r="F181" s="58"/>
      <c r="G181" s="220"/>
      <c r="H181" s="21"/>
      <c r="I181" s="21"/>
      <c r="J181" s="21"/>
      <c r="K181" s="21"/>
      <c r="L181" s="21"/>
      <c r="M181" s="21"/>
      <c r="N181" s="21"/>
      <c r="O181" s="21"/>
      <c r="P181" s="21"/>
      <c r="Q181" s="21"/>
      <c r="R181" s="58"/>
      <c r="S181" s="21"/>
      <c r="T181" s="21"/>
      <c r="U181" s="21"/>
      <c r="V181" s="21"/>
      <c r="W181" s="24" t="s">
        <v>40</v>
      </c>
      <c r="X181" s="185"/>
      <c r="Y181" s="107"/>
      <c r="Z181" s="151"/>
      <c r="AB181" s="182" t="s">
        <v>934</v>
      </c>
      <c r="AC181" s="182" t="s">
        <v>36</v>
      </c>
      <c r="AD181" s="182"/>
      <c r="AE181" s="175"/>
    </row>
    <row r="182" spans="1:41" ht="30" customHeight="1">
      <c r="A182" s="145">
        <v>177</v>
      </c>
      <c r="B182" s="32" t="str">
        <f t="shared" ca="1" si="0"/>
        <v/>
      </c>
      <c r="C182" s="145"/>
      <c r="D182" s="63"/>
      <c r="E182" s="21"/>
      <c r="F182" s="58"/>
      <c r="G182" s="21"/>
      <c r="H182" s="21"/>
      <c r="I182" s="21"/>
      <c r="J182" s="21"/>
      <c r="K182" s="21"/>
      <c r="L182" s="21"/>
      <c r="M182" s="21"/>
      <c r="N182" s="21"/>
      <c r="O182" s="21"/>
      <c r="P182" s="21"/>
      <c r="Q182" s="21"/>
      <c r="R182" s="58"/>
      <c r="S182" s="21"/>
      <c r="T182" s="21"/>
      <c r="U182" s="21"/>
      <c r="V182" s="21"/>
      <c r="W182" s="24" t="s">
        <v>40</v>
      </c>
      <c r="X182" s="171"/>
      <c r="Y182" s="221"/>
      <c r="Z182" s="151"/>
      <c r="AA182" s="3"/>
      <c r="AB182" s="34" t="s">
        <v>935</v>
      </c>
      <c r="AC182" s="34" t="s">
        <v>36</v>
      </c>
      <c r="AD182" s="34"/>
      <c r="AE182" s="3"/>
      <c r="AF182" s="3"/>
      <c r="AG182" s="3"/>
      <c r="AH182" s="3"/>
      <c r="AI182" s="3"/>
      <c r="AJ182" s="3"/>
      <c r="AK182" s="3"/>
      <c r="AL182" s="3"/>
      <c r="AM182" s="3"/>
      <c r="AN182" s="3"/>
      <c r="AO182" s="3"/>
    </row>
    <row r="183" spans="1:41" ht="30" customHeight="1">
      <c r="A183" s="145">
        <v>178</v>
      </c>
      <c r="B183" s="32" t="str">
        <f t="shared" ca="1" si="0"/>
        <v/>
      </c>
      <c r="C183" s="145"/>
      <c r="D183" s="63"/>
      <c r="E183" s="21"/>
      <c r="F183" s="58"/>
      <c r="G183" s="21"/>
      <c r="H183" s="21"/>
      <c r="I183" s="21"/>
      <c r="J183" s="21"/>
      <c r="K183" s="21"/>
      <c r="L183" s="21"/>
      <c r="M183" s="21"/>
      <c r="N183" s="21"/>
      <c r="O183" s="21"/>
      <c r="P183" s="21"/>
      <c r="Q183" s="21"/>
      <c r="R183" s="58"/>
      <c r="S183" s="21"/>
      <c r="T183" s="21"/>
      <c r="U183" s="21"/>
      <c r="V183" s="21"/>
      <c r="W183" s="24" t="s">
        <v>40</v>
      </c>
      <c r="X183" s="171"/>
      <c r="Y183" s="29"/>
      <c r="Z183" s="151"/>
      <c r="AA183" s="3"/>
      <c r="AB183" s="34" t="s">
        <v>936</v>
      </c>
      <c r="AC183" s="34" t="s">
        <v>36</v>
      </c>
      <c r="AD183" s="180" t="s">
        <v>937</v>
      </c>
      <c r="AE183" s="3"/>
      <c r="AF183" s="3"/>
      <c r="AG183" s="3"/>
      <c r="AH183" s="3"/>
      <c r="AI183" s="3"/>
      <c r="AJ183" s="3"/>
      <c r="AK183" s="3"/>
      <c r="AL183" s="3"/>
      <c r="AM183" s="3"/>
      <c r="AN183" s="3"/>
      <c r="AO183" s="3"/>
    </row>
    <row r="184" spans="1:41" ht="30" customHeight="1">
      <c r="A184" s="145">
        <v>179</v>
      </c>
      <c r="B184" s="32" t="str">
        <f t="shared" ca="1" si="0"/>
        <v/>
      </c>
      <c r="C184" s="145"/>
      <c r="D184" s="63"/>
      <c r="E184" s="21"/>
      <c r="F184" s="58"/>
      <c r="G184" s="21"/>
      <c r="H184" s="21"/>
      <c r="I184" s="21"/>
      <c r="J184" s="21"/>
      <c r="K184" s="21"/>
      <c r="L184" s="21"/>
      <c r="M184" s="21"/>
      <c r="N184" s="21"/>
      <c r="O184" s="21"/>
      <c r="P184" s="21"/>
      <c r="Q184" s="21"/>
      <c r="R184" s="58"/>
      <c r="S184" s="21"/>
      <c r="T184" s="21"/>
      <c r="U184" s="21"/>
      <c r="V184" s="21"/>
      <c r="W184" s="24" t="s">
        <v>40</v>
      </c>
      <c r="X184" s="184"/>
      <c r="Y184" s="107"/>
      <c r="Z184" s="151"/>
      <c r="AA184" s="3"/>
      <c r="AB184" s="34" t="s">
        <v>938</v>
      </c>
      <c r="AC184" s="34" t="s">
        <v>36</v>
      </c>
      <c r="AD184" s="180" t="s">
        <v>939</v>
      </c>
      <c r="AE184" s="3"/>
      <c r="AF184" s="3"/>
      <c r="AG184" s="3"/>
      <c r="AH184" s="3"/>
      <c r="AI184" s="3"/>
      <c r="AJ184" s="3"/>
      <c r="AK184" s="3"/>
      <c r="AL184" s="3"/>
      <c r="AM184" s="3"/>
      <c r="AN184" s="3"/>
      <c r="AO184" s="3"/>
    </row>
    <row r="185" spans="1:41" ht="30" customHeight="1">
      <c r="A185" s="145">
        <v>180</v>
      </c>
      <c r="B185" s="32" t="str">
        <f t="shared" ca="1" si="0"/>
        <v/>
      </c>
      <c r="C185" s="145"/>
      <c r="D185" s="63"/>
      <c r="E185" s="21"/>
      <c r="F185" s="58"/>
      <c r="G185" s="21"/>
      <c r="H185" s="21"/>
      <c r="I185" s="21"/>
      <c r="J185" s="21"/>
      <c r="K185" s="21"/>
      <c r="L185" s="21"/>
      <c r="M185" s="21"/>
      <c r="N185" s="21"/>
      <c r="O185" s="21"/>
      <c r="P185" s="21"/>
      <c r="Q185" s="21"/>
      <c r="R185" s="58"/>
      <c r="S185" s="21"/>
      <c r="T185" s="21"/>
      <c r="U185" s="21"/>
      <c r="V185" s="21"/>
      <c r="W185" s="24" t="s">
        <v>40</v>
      </c>
      <c r="X185" s="171"/>
      <c r="Y185" s="213"/>
      <c r="Z185" s="151"/>
      <c r="AA185" s="3"/>
      <c r="AB185" s="34" t="s">
        <v>940</v>
      </c>
      <c r="AC185" s="34" t="s">
        <v>36</v>
      </c>
      <c r="AD185" s="180" t="s">
        <v>941</v>
      </c>
      <c r="AE185" s="3"/>
      <c r="AF185" s="3"/>
      <c r="AG185" s="3"/>
      <c r="AH185" s="3"/>
      <c r="AI185" s="3"/>
      <c r="AJ185" s="3"/>
      <c r="AK185" s="3"/>
      <c r="AL185" s="3"/>
      <c r="AM185" s="3"/>
      <c r="AN185" s="3"/>
      <c r="AO185" s="3"/>
    </row>
    <row r="186" spans="1:41" ht="30" customHeight="1">
      <c r="A186" s="145">
        <v>181</v>
      </c>
      <c r="B186" s="32" t="str">
        <f t="shared" ca="1" si="0"/>
        <v/>
      </c>
      <c r="C186" s="145"/>
      <c r="D186" s="63"/>
      <c r="E186" s="21"/>
      <c r="F186" s="58"/>
      <c r="G186" s="21"/>
      <c r="H186" s="21"/>
      <c r="I186" s="21"/>
      <c r="J186" s="21"/>
      <c r="K186" s="21"/>
      <c r="L186" s="21"/>
      <c r="M186" s="21"/>
      <c r="N186" s="21"/>
      <c r="O186" s="21"/>
      <c r="P186" s="21"/>
      <c r="Q186" s="21"/>
      <c r="R186" s="58"/>
      <c r="S186" s="21"/>
      <c r="T186" s="21"/>
      <c r="U186" s="21"/>
      <c r="V186" s="21"/>
      <c r="W186" s="24" t="s">
        <v>40</v>
      </c>
      <c r="X186" s="171"/>
      <c r="Y186" s="107"/>
      <c r="Z186" s="151"/>
      <c r="AA186" s="3"/>
      <c r="AB186" s="34" t="s">
        <v>942</v>
      </c>
      <c r="AC186" s="34" t="s">
        <v>36</v>
      </c>
      <c r="AD186" s="180" t="s">
        <v>943</v>
      </c>
      <c r="AE186" s="3"/>
      <c r="AF186" s="3"/>
      <c r="AG186" s="3"/>
      <c r="AH186" s="3"/>
      <c r="AI186" s="3"/>
      <c r="AJ186" s="3"/>
      <c r="AK186" s="3"/>
      <c r="AL186" s="3"/>
      <c r="AM186" s="3"/>
      <c r="AN186" s="3"/>
      <c r="AO186" s="3"/>
    </row>
    <row r="187" spans="1:41" ht="30" customHeight="1">
      <c r="A187" s="145">
        <v>182</v>
      </c>
      <c r="B187" s="32" t="str">
        <f t="shared" ca="1" si="0"/>
        <v/>
      </c>
      <c r="C187" s="145"/>
      <c r="D187" s="63"/>
      <c r="E187" s="21"/>
      <c r="F187" s="58"/>
      <c r="G187" s="21"/>
      <c r="H187" s="21"/>
      <c r="I187" s="21"/>
      <c r="J187" s="21"/>
      <c r="K187" s="21"/>
      <c r="L187" s="21"/>
      <c r="M187" s="21"/>
      <c r="N187" s="21"/>
      <c r="O187" s="21"/>
      <c r="P187" s="21"/>
      <c r="Q187" s="21"/>
      <c r="R187" s="58"/>
      <c r="S187" s="21"/>
      <c r="T187" s="21"/>
      <c r="U187" s="21"/>
      <c r="V187" s="21"/>
      <c r="W187" s="24" t="s">
        <v>40</v>
      </c>
      <c r="X187" s="171"/>
      <c r="Y187" s="107"/>
      <c r="Z187" s="151"/>
      <c r="AA187" s="3"/>
      <c r="AB187" s="34" t="s">
        <v>944</v>
      </c>
      <c r="AC187" s="34" t="s">
        <v>36</v>
      </c>
      <c r="AD187" s="180" t="s">
        <v>945</v>
      </c>
      <c r="AE187" s="3"/>
      <c r="AF187" s="3"/>
      <c r="AG187" s="3"/>
      <c r="AH187" s="3"/>
      <c r="AI187" s="3"/>
      <c r="AJ187" s="3"/>
      <c r="AK187" s="3"/>
      <c r="AL187" s="3"/>
      <c r="AM187" s="3"/>
      <c r="AN187" s="3"/>
      <c r="AO187" s="3"/>
    </row>
    <row r="188" spans="1:41" ht="30" customHeight="1">
      <c r="A188" s="145">
        <v>183</v>
      </c>
      <c r="B188" s="32" t="str">
        <f t="shared" ca="1" si="0"/>
        <v/>
      </c>
      <c r="C188" s="145"/>
      <c r="D188" s="63"/>
      <c r="E188" s="21"/>
      <c r="F188" s="58"/>
      <c r="G188" s="21"/>
      <c r="H188" s="21"/>
      <c r="I188" s="21"/>
      <c r="J188" s="21"/>
      <c r="K188" s="21"/>
      <c r="L188" s="21"/>
      <c r="M188" s="21"/>
      <c r="N188" s="21"/>
      <c r="O188" s="21"/>
      <c r="P188" s="21"/>
      <c r="Q188" s="21"/>
      <c r="R188" s="58"/>
      <c r="S188" s="21"/>
      <c r="T188" s="21"/>
      <c r="U188" s="21"/>
      <c r="V188" s="21"/>
      <c r="W188" s="24" t="s">
        <v>40</v>
      </c>
      <c r="X188" s="190"/>
      <c r="Y188" s="29"/>
      <c r="Z188" s="151"/>
      <c r="AA188" s="3"/>
      <c r="AB188" s="34" t="s">
        <v>946</v>
      </c>
      <c r="AC188" s="34" t="s">
        <v>36</v>
      </c>
      <c r="AD188" s="34"/>
      <c r="AE188" s="3"/>
      <c r="AF188" s="3"/>
      <c r="AG188" s="3"/>
      <c r="AH188" s="3"/>
      <c r="AI188" s="3"/>
      <c r="AJ188" s="3"/>
      <c r="AK188" s="3"/>
      <c r="AL188" s="3"/>
      <c r="AM188" s="3"/>
      <c r="AN188" s="3"/>
      <c r="AO188" s="3"/>
    </row>
    <row r="189" spans="1:41" ht="30" customHeight="1">
      <c r="A189" s="145">
        <v>184</v>
      </c>
      <c r="B189" s="32" t="str">
        <f t="shared" ca="1" si="0"/>
        <v/>
      </c>
      <c r="C189" s="145"/>
      <c r="D189" s="63"/>
      <c r="E189" s="21"/>
      <c r="F189" s="58"/>
      <c r="G189" s="21"/>
      <c r="H189" s="21"/>
      <c r="I189" s="21"/>
      <c r="J189" s="21"/>
      <c r="K189" s="21"/>
      <c r="L189" s="21"/>
      <c r="M189" s="21"/>
      <c r="N189" s="21"/>
      <c r="O189" s="21"/>
      <c r="P189" s="21"/>
      <c r="Q189" s="21"/>
      <c r="R189" s="58"/>
      <c r="S189" s="21"/>
      <c r="T189" s="21"/>
      <c r="U189" s="21"/>
      <c r="V189" s="21"/>
      <c r="W189" s="24" t="s">
        <v>40</v>
      </c>
      <c r="X189" s="171"/>
      <c r="Y189" s="107"/>
      <c r="Z189" s="151"/>
      <c r="AA189" s="3"/>
      <c r="AB189" s="34" t="s">
        <v>947</v>
      </c>
      <c r="AC189" s="34" t="s">
        <v>36</v>
      </c>
      <c r="AD189" s="34"/>
      <c r="AE189" s="3"/>
      <c r="AF189" s="3"/>
      <c r="AG189" s="3"/>
      <c r="AH189" s="3"/>
      <c r="AI189" s="3"/>
      <c r="AJ189" s="3"/>
      <c r="AK189" s="3"/>
      <c r="AL189" s="3"/>
      <c r="AM189" s="3"/>
      <c r="AN189" s="3"/>
      <c r="AO189" s="3"/>
    </row>
    <row r="190" spans="1:41" ht="30" customHeight="1">
      <c r="A190" s="145">
        <v>185</v>
      </c>
      <c r="B190" s="32" t="str">
        <f t="shared" ca="1" si="0"/>
        <v/>
      </c>
      <c r="C190" s="145"/>
      <c r="D190" s="63"/>
      <c r="E190" s="21"/>
      <c r="F190" s="58"/>
      <c r="G190" s="21"/>
      <c r="H190" s="21"/>
      <c r="I190" s="21"/>
      <c r="J190" s="21"/>
      <c r="K190" s="21"/>
      <c r="L190" s="21"/>
      <c r="M190" s="21"/>
      <c r="N190" s="21"/>
      <c r="O190" s="21"/>
      <c r="P190" s="21"/>
      <c r="Q190" s="21"/>
      <c r="R190" s="58"/>
      <c r="S190" s="21"/>
      <c r="T190" s="128"/>
      <c r="U190" s="21"/>
      <c r="V190" s="21"/>
      <c r="W190" s="24" t="s">
        <v>40</v>
      </c>
      <c r="X190" s="171"/>
      <c r="Y190" s="29"/>
      <c r="Z190" s="151"/>
      <c r="AA190" s="3"/>
      <c r="AB190" s="34" t="s">
        <v>948</v>
      </c>
      <c r="AC190" s="34" t="s">
        <v>36</v>
      </c>
      <c r="AD190" s="34"/>
      <c r="AE190" s="3"/>
      <c r="AF190" s="3"/>
      <c r="AG190" s="3"/>
      <c r="AH190" s="3"/>
      <c r="AI190" s="3"/>
      <c r="AJ190" s="3"/>
      <c r="AK190" s="3"/>
      <c r="AL190" s="3"/>
      <c r="AM190" s="3"/>
      <c r="AN190" s="3"/>
      <c r="AO190" s="3"/>
    </row>
    <row r="191" spans="1:41" ht="30" customHeight="1">
      <c r="A191" s="145">
        <v>186</v>
      </c>
      <c r="B191" s="32" t="str">
        <f t="shared" ca="1" si="0"/>
        <v/>
      </c>
      <c r="C191" s="145"/>
      <c r="D191" s="63"/>
      <c r="E191" s="58"/>
      <c r="F191" s="58"/>
      <c r="G191" s="58"/>
      <c r="H191" s="21"/>
      <c r="I191" s="21"/>
      <c r="J191" s="21"/>
      <c r="K191" s="21"/>
      <c r="L191" s="21"/>
      <c r="M191" s="21"/>
      <c r="N191" s="21"/>
      <c r="O191" s="21"/>
      <c r="P191" s="21"/>
      <c r="Q191" s="21"/>
      <c r="R191" s="58"/>
      <c r="S191" s="21"/>
      <c r="T191" s="21"/>
      <c r="U191" s="21"/>
      <c r="V191" s="21"/>
      <c r="W191" s="24" t="s">
        <v>40</v>
      </c>
      <c r="X191" s="222"/>
      <c r="Y191" s="107"/>
      <c r="Z191" s="151"/>
      <c r="AB191" s="182" t="s">
        <v>949</v>
      </c>
      <c r="AC191" s="182" t="s">
        <v>36</v>
      </c>
      <c r="AD191" s="182"/>
      <c r="AE191" s="175"/>
    </row>
    <row r="192" spans="1:41" ht="30" customHeight="1">
      <c r="A192" s="145">
        <v>187</v>
      </c>
      <c r="B192" s="32" t="str">
        <f t="shared" ca="1" si="0"/>
        <v/>
      </c>
      <c r="C192" s="145"/>
      <c r="D192" s="63"/>
      <c r="E192" s="58"/>
      <c r="F192" s="58"/>
      <c r="G192" s="58"/>
      <c r="H192" s="21"/>
      <c r="I192" s="21"/>
      <c r="J192" s="21"/>
      <c r="K192" s="21"/>
      <c r="L192" s="21"/>
      <c r="M192" s="21"/>
      <c r="N192" s="21"/>
      <c r="O192" s="21"/>
      <c r="P192" s="21"/>
      <c r="Q192" s="21"/>
      <c r="R192" s="58"/>
      <c r="S192" s="21"/>
      <c r="T192" s="21"/>
      <c r="U192" s="21"/>
      <c r="V192" s="21"/>
      <c r="W192" s="24" t="s">
        <v>40</v>
      </c>
      <c r="X192" s="222"/>
      <c r="Y192" s="107"/>
      <c r="Z192" s="151"/>
      <c r="AB192" s="182" t="s">
        <v>950</v>
      </c>
      <c r="AC192" s="182" t="s">
        <v>36</v>
      </c>
      <c r="AD192" s="223" t="s">
        <v>951</v>
      </c>
      <c r="AE192" s="175"/>
    </row>
    <row r="193" spans="1:41" ht="30" customHeight="1">
      <c r="A193" s="145">
        <v>188</v>
      </c>
      <c r="B193" s="32" t="str">
        <f t="shared" ca="1" si="0"/>
        <v/>
      </c>
      <c r="C193" s="145"/>
      <c r="D193" s="63"/>
      <c r="E193" s="21"/>
      <c r="F193" s="58"/>
      <c r="G193" s="21"/>
      <c r="H193" s="21"/>
      <c r="I193" s="21"/>
      <c r="J193" s="21"/>
      <c r="K193" s="21"/>
      <c r="L193" s="21"/>
      <c r="M193" s="21"/>
      <c r="N193" s="21"/>
      <c r="O193" s="21"/>
      <c r="P193" s="21"/>
      <c r="Q193" s="21"/>
      <c r="R193" s="58"/>
      <c r="S193" s="21"/>
      <c r="T193" s="21"/>
      <c r="U193" s="21"/>
      <c r="V193" s="21"/>
      <c r="W193" s="24" t="s">
        <v>40</v>
      </c>
      <c r="X193" s="29"/>
      <c r="Y193" s="171"/>
      <c r="Z193" s="151"/>
      <c r="AA193" s="3"/>
      <c r="AB193" s="34" t="s">
        <v>952</v>
      </c>
      <c r="AC193" s="34" t="s">
        <v>36</v>
      </c>
      <c r="AD193" s="34" t="s">
        <v>953</v>
      </c>
      <c r="AE193" s="3"/>
      <c r="AF193" s="3"/>
      <c r="AG193" s="3"/>
      <c r="AH193" s="3"/>
      <c r="AI193" s="3"/>
      <c r="AJ193" s="3"/>
      <c r="AK193" s="3"/>
      <c r="AL193" s="3"/>
      <c r="AM193" s="3"/>
      <c r="AN193" s="3"/>
      <c r="AO193" s="3"/>
    </row>
    <row r="194" spans="1:41" ht="30" customHeight="1">
      <c r="A194" s="145">
        <v>189</v>
      </c>
      <c r="B194" s="32" t="str">
        <f t="shared" ca="1" si="0"/>
        <v/>
      </c>
      <c r="C194" s="145"/>
      <c r="D194" s="63"/>
      <c r="E194" s="58"/>
      <c r="F194" s="58"/>
      <c r="G194" s="58"/>
      <c r="H194" s="69"/>
      <c r="I194" s="21"/>
      <c r="J194" s="21"/>
      <c r="K194" s="21"/>
      <c r="L194" s="21"/>
      <c r="M194" s="21"/>
      <c r="N194" s="21"/>
      <c r="O194" s="21"/>
      <c r="P194" s="21"/>
      <c r="Q194" s="21"/>
      <c r="R194" s="58"/>
      <c r="S194" s="21"/>
      <c r="T194" s="21"/>
      <c r="U194" s="21"/>
      <c r="V194" s="21"/>
      <c r="W194" s="24" t="s">
        <v>40</v>
      </c>
      <c r="X194" s="181"/>
      <c r="Y194" s="107"/>
      <c r="Z194" s="151"/>
      <c r="AB194" s="182" t="s">
        <v>954</v>
      </c>
      <c r="AC194" s="182" t="s">
        <v>36</v>
      </c>
      <c r="AD194" s="183" t="s">
        <v>955</v>
      </c>
      <c r="AE194" s="175"/>
    </row>
    <row r="195" spans="1:41" ht="30" customHeight="1">
      <c r="A195" s="145">
        <v>190</v>
      </c>
      <c r="B195" s="32" t="str">
        <f t="shared" ca="1" si="0"/>
        <v/>
      </c>
      <c r="C195" s="145"/>
      <c r="D195" s="63"/>
      <c r="E195" s="58"/>
      <c r="F195" s="58"/>
      <c r="G195" s="58"/>
      <c r="H195" s="21"/>
      <c r="I195" s="21"/>
      <c r="J195" s="21"/>
      <c r="K195" s="21"/>
      <c r="L195" s="21"/>
      <c r="M195" s="21"/>
      <c r="N195" s="21"/>
      <c r="O195" s="21"/>
      <c r="P195" s="21"/>
      <c r="Q195" s="21"/>
      <c r="R195" s="58"/>
      <c r="S195" s="21"/>
      <c r="T195" s="21"/>
      <c r="U195" s="21"/>
      <c r="V195" s="21"/>
      <c r="W195" s="24" t="s">
        <v>40</v>
      </c>
      <c r="X195" s="59"/>
      <c r="Y195" s="107"/>
      <c r="Z195" s="151"/>
      <c r="AB195" s="182" t="s">
        <v>956</v>
      </c>
      <c r="AC195" s="182" t="s">
        <v>36</v>
      </c>
      <c r="AD195" s="182" t="s">
        <v>957</v>
      </c>
      <c r="AE195" s="175"/>
    </row>
    <row r="196" spans="1:41" ht="30" customHeight="1">
      <c r="A196" s="145">
        <v>191</v>
      </c>
      <c r="B196" s="32" t="str">
        <f t="shared" ca="1" si="0"/>
        <v/>
      </c>
      <c r="C196" s="145"/>
      <c r="D196" s="63"/>
      <c r="E196" s="58"/>
      <c r="F196" s="58"/>
      <c r="G196" s="58"/>
      <c r="H196" s="21"/>
      <c r="I196" s="21"/>
      <c r="J196" s="21"/>
      <c r="K196" s="21"/>
      <c r="L196" s="21"/>
      <c r="M196" s="21"/>
      <c r="N196" s="21"/>
      <c r="O196" s="21"/>
      <c r="P196" s="21"/>
      <c r="Q196" s="21"/>
      <c r="R196" s="58"/>
      <c r="S196" s="21"/>
      <c r="T196" s="21"/>
      <c r="U196" s="21"/>
      <c r="V196" s="21"/>
      <c r="W196" s="24" t="s">
        <v>40</v>
      </c>
      <c r="X196" s="29"/>
      <c r="Y196" s="107"/>
      <c r="Z196" s="151"/>
      <c r="AB196" s="182" t="s">
        <v>958</v>
      </c>
      <c r="AC196" s="182" t="s">
        <v>36</v>
      </c>
      <c r="AD196" s="182"/>
      <c r="AE196" s="175"/>
    </row>
    <row r="197" spans="1:41" ht="30" customHeight="1">
      <c r="A197" s="145">
        <v>192</v>
      </c>
      <c r="B197" s="32" t="str">
        <f t="shared" ca="1" si="0"/>
        <v/>
      </c>
      <c r="C197" s="145"/>
      <c r="D197" s="63"/>
      <c r="E197" s="58"/>
      <c r="F197" s="58"/>
      <c r="G197" s="58"/>
      <c r="H197" s="21"/>
      <c r="I197" s="21"/>
      <c r="J197" s="21"/>
      <c r="K197" s="21"/>
      <c r="L197" s="21"/>
      <c r="M197" s="21"/>
      <c r="N197" s="21"/>
      <c r="O197" s="21"/>
      <c r="P197" s="21"/>
      <c r="Q197" s="21"/>
      <c r="R197" s="58"/>
      <c r="S197" s="21"/>
      <c r="T197" s="21"/>
      <c r="U197" s="21"/>
      <c r="V197" s="21"/>
      <c r="W197" s="24" t="s">
        <v>40</v>
      </c>
      <c r="X197" s="21"/>
      <c r="Y197" s="107"/>
      <c r="Z197" s="151"/>
      <c r="AB197" s="182" t="s">
        <v>959</v>
      </c>
      <c r="AC197" s="182" t="s">
        <v>36</v>
      </c>
      <c r="AD197" s="182"/>
      <c r="AE197" s="175"/>
    </row>
    <row r="198" spans="1:41" ht="30" customHeight="1">
      <c r="A198" s="145">
        <v>193</v>
      </c>
      <c r="B198" s="32" t="str">
        <f t="shared" ca="1" si="0"/>
        <v/>
      </c>
      <c r="C198" s="145"/>
      <c r="D198" s="63"/>
      <c r="E198" s="58"/>
      <c r="F198" s="58"/>
      <c r="G198" s="58"/>
      <c r="H198" s="21"/>
      <c r="I198" s="21"/>
      <c r="J198" s="21"/>
      <c r="K198" s="21"/>
      <c r="L198" s="21"/>
      <c r="M198" s="21"/>
      <c r="N198" s="21"/>
      <c r="O198" s="21"/>
      <c r="P198" s="21"/>
      <c r="Q198" s="21"/>
      <c r="R198" s="58"/>
      <c r="S198" s="21"/>
      <c r="T198" s="21"/>
      <c r="U198" s="21"/>
      <c r="V198" s="21"/>
      <c r="W198" s="24" t="s">
        <v>40</v>
      </c>
      <c r="X198" s="21"/>
      <c r="Y198" s="107"/>
      <c r="Z198" s="151"/>
      <c r="AB198" s="182" t="s">
        <v>960</v>
      </c>
      <c r="AC198" s="182" t="s">
        <v>36</v>
      </c>
      <c r="AD198" s="182"/>
      <c r="AE198" s="175"/>
    </row>
    <row r="199" spans="1:41" ht="30" customHeight="1">
      <c r="A199" s="145">
        <v>194</v>
      </c>
      <c r="B199" s="32" t="str">
        <f t="shared" ca="1" si="0"/>
        <v/>
      </c>
      <c r="C199" s="145"/>
      <c r="D199" s="63"/>
      <c r="E199" s="58"/>
      <c r="F199" s="58"/>
      <c r="G199" s="58"/>
      <c r="H199" s="21"/>
      <c r="I199" s="21"/>
      <c r="J199" s="21"/>
      <c r="K199" s="21"/>
      <c r="L199" s="21"/>
      <c r="M199" s="21"/>
      <c r="N199" s="21"/>
      <c r="O199" s="21"/>
      <c r="P199" s="21"/>
      <c r="Q199" s="21"/>
      <c r="R199" s="58"/>
      <c r="S199" s="21"/>
      <c r="T199" s="21"/>
      <c r="U199" s="21"/>
      <c r="V199" s="21"/>
      <c r="W199" s="24" t="s">
        <v>40</v>
      </c>
      <c r="X199" s="21"/>
      <c r="Y199" s="107"/>
      <c r="Z199" s="151"/>
      <c r="AB199" s="182" t="s">
        <v>961</v>
      </c>
      <c r="AC199" s="182" t="s">
        <v>36</v>
      </c>
      <c r="AD199" s="182"/>
      <c r="AE199" s="175"/>
    </row>
    <row r="200" spans="1:41" ht="30" customHeight="1">
      <c r="A200" s="145">
        <v>195</v>
      </c>
      <c r="B200" s="32" t="str">
        <f t="shared" ca="1" si="0"/>
        <v/>
      </c>
      <c r="C200" s="145"/>
      <c r="D200" s="63"/>
      <c r="E200" s="58"/>
      <c r="F200" s="58"/>
      <c r="G200" s="58"/>
      <c r="H200" s="21"/>
      <c r="I200" s="21"/>
      <c r="J200" s="21"/>
      <c r="K200" s="21"/>
      <c r="L200" s="21"/>
      <c r="M200" s="21"/>
      <c r="N200" s="21"/>
      <c r="O200" s="21"/>
      <c r="P200" s="21"/>
      <c r="Q200" s="21"/>
      <c r="R200" s="58"/>
      <c r="S200" s="21"/>
      <c r="T200" s="21"/>
      <c r="U200" s="21"/>
      <c r="V200" s="21"/>
      <c r="W200" s="24" t="s">
        <v>40</v>
      </c>
      <c r="X200" s="21"/>
      <c r="Y200" s="107"/>
      <c r="Z200" s="151"/>
      <c r="AB200" s="182" t="s">
        <v>962</v>
      </c>
      <c r="AC200" s="182" t="s">
        <v>36</v>
      </c>
      <c r="AD200" s="182"/>
      <c r="AE200" s="175"/>
    </row>
    <row r="201" spans="1:41" ht="30" customHeight="1">
      <c r="A201" s="145">
        <v>196</v>
      </c>
      <c r="B201" s="32" t="str">
        <f t="shared" ca="1" si="0"/>
        <v/>
      </c>
      <c r="C201" s="145"/>
      <c r="D201" s="63"/>
      <c r="E201" s="58"/>
      <c r="F201" s="58"/>
      <c r="G201" s="58"/>
      <c r="H201" s="21"/>
      <c r="I201" s="21"/>
      <c r="J201" s="21"/>
      <c r="K201" s="21"/>
      <c r="L201" s="21"/>
      <c r="M201" s="21"/>
      <c r="N201" s="21"/>
      <c r="O201" s="21"/>
      <c r="P201" s="21"/>
      <c r="Q201" s="21"/>
      <c r="R201" s="58"/>
      <c r="S201" s="21"/>
      <c r="T201" s="21"/>
      <c r="U201" s="21"/>
      <c r="V201" s="21"/>
      <c r="W201" s="24" t="s">
        <v>40</v>
      </c>
      <c r="X201" s="21"/>
      <c r="Y201" s="107"/>
      <c r="Z201" s="151"/>
      <c r="AB201" s="182" t="s">
        <v>963</v>
      </c>
      <c r="AC201" s="182" t="s">
        <v>36</v>
      </c>
      <c r="AD201" s="182"/>
      <c r="AE201" s="175"/>
    </row>
    <row r="202" spans="1:41" ht="30" customHeight="1">
      <c r="A202" s="145">
        <v>197</v>
      </c>
      <c r="B202" s="32" t="str">
        <f t="shared" ca="1" si="0"/>
        <v/>
      </c>
      <c r="C202" s="145"/>
      <c r="D202" s="63"/>
      <c r="E202" s="58"/>
      <c r="F202" s="58"/>
      <c r="G202" s="58"/>
      <c r="H202" s="21"/>
      <c r="I202" s="21"/>
      <c r="J202" s="21"/>
      <c r="K202" s="21"/>
      <c r="L202" s="21"/>
      <c r="M202" s="21"/>
      <c r="N202" s="21"/>
      <c r="O202" s="21"/>
      <c r="P202" s="21"/>
      <c r="Q202" s="21"/>
      <c r="R202" s="58"/>
      <c r="S202" s="21"/>
      <c r="T202" s="21"/>
      <c r="U202" s="21"/>
      <c r="V202" s="21"/>
      <c r="W202" s="24" t="s">
        <v>40</v>
      </c>
      <c r="X202" s="21"/>
      <c r="Y202" s="107"/>
      <c r="Z202" s="151"/>
      <c r="AB202" s="182" t="s">
        <v>964</v>
      </c>
      <c r="AC202" s="182" t="s">
        <v>36</v>
      </c>
      <c r="AD202" s="182"/>
      <c r="AE202" s="175"/>
    </row>
    <row r="203" spans="1:41" ht="30" customHeight="1">
      <c r="A203" s="145">
        <v>198</v>
      </c>
      <c r="B203" s="32" t="str">
        <f t="shared" ca="1" si="0"/>
        <v/>
      </c>
      <c r="C203" s="145"/>
      <c r="D203" s="63"/>
      <c r="E203" s="58"/>
      <c r="F203" s="58"/>
      <c r="G203" s="58"/>
      <c r="H203" s="21"/>
      <c r="I203" s="21"/>
      <c r="J203" s="21"/>
      <c r="K203" s="21"/>
      <c r="L203" s="21"/>
      <c r="M203" s="21"/>
      <c r="N203" s="21"/>
      <c r="O203" s="21"/>
      <c r="P203" s="21"/>
      <c r="Q203" s="21"/>
      <c r="R203" s="58"/>
      <c r="S203" s="21"/>
      <c r="T203" s="21"/>
      <c r="U203" s="21"/>
      <c r="V203" s="21"/>
      <c r="W203" s="24" t="s">
        <v>40</v>
      </c>
      <c r="X203" s="21"/>
      <c r="Y203" s="107"/>
      <c r="Z203" s="151"/>
      <c r="AB203" s="182" t="s">
        <v>965</v>
      </c>
      <c r="AC203" s="182" t="s">
        <v>36</v>
      </c>
      <c r="AD203" s="224" t="s">
        <v>966</v>
      </c>
      <c r="AE203" s="175"/>
    </row>
    <row r="204" spans="1:41" ht="30" customHeight="1">
      <c r="A204" s="145">
        <v>199</v>
      </c>
      <c r="B204" s="32" t="str">
        <f t="shared" ca="1" si="0"/>
        <v/>
      </c>
      <c r="C204" s="145"/>
      <c r="D204" s="63"/>
      <c r="E204" s="58"/>
      <c r="F204" s="58"/>
      <c r="G204" s="58"/>
      <c r="H204" s="21"/>
      <c r="I204" s="21"/>
      <c r="J204" s="21"/>
      <c r="K204" s="21"/>
      <c r="L204" s="21"/>
      <c r="M204" s="21"/>
      <c r="N204" s="21"/>
      <c r="O204" s="21"/>
      <c r="P204" s="21"/>
      <c r="Q204" s="21"/>
      <c r="R204" s="58"/>
      <c r="S204" s="21"/>
      <c r="T204" s="21"/>
      <c r="U204" s="21"/>
      <c r="V204" s="21"/>
      <c r="W204" s="24" t="s">
        <v>40</v>
      </c>
      <c r="X204" s="21"/>
      <c r="Y204" s="107"/>
      <c r="Z204" s="151"/>
      <c r="AB204" s="182" t="s">
        <v>967</v>
      </c>
      <c r="AC204" s="182" t="s">
        <v>36</v>
      </c>
      <c r="AD204" s="224" t="s">
        <v>968</v>
      </c>
      <c r="AE204" s="175" t="s">
        <v>969</v>
      </c>
    </row>
    <row r="205" spans="1:41" ht="30" customHeight="1">
      <c r="A205" s="145">
        <v>200</v>
      </c>
      <c r="B205" s="32" t="str">
        <f t="shared" ca="1" si="0"/>
        <v/>
      </c>
      <c r="C205" s="145"/>
      <c r="D205" s="63"/>
      <c r="E205" s="58"/>
      <c r="F205" s="58"/>
      <c r="G205" s="58"/>
      <c r="H205" s="21"/>
      <c r="I205" s="21"/>
      <c r="J205" s="21"/>
      <c r="K205" s="21"/>
      <c r="L205" s="21"/>
      <c r="M205" s="21"/>
      <c r="N205" s="21"/>
      <c r="O205" s="21"/>
      <c r="P205" s="21"/>
      <c r="Q205" s="21"/>
      <c r="R205" s="58"/>
      <c r="S205" s="21"/>
      <c r="T205" s="21"/>
      <c r="U205" s="21"/>
      <c r="V205" s="21"/>
      <c r="W205" s="24" t="s">
        <v>40</v>
      </c>
      <c r="X205" s="21"/>
      <c r="Y205" s="107"/>
      <c r="Z205" s="151"/>
      <c r="AB205" s="182" t="s">
        <v>970</v>
      </c>
      <c r="AC205" s="182" t="s">
        <v>36</v>
      </c>
      <c r="AD205" s="224" t="s">
        <v>971</v>
      </c>
      <c r="AE205" s="175"/>
    </row>
    <row r="206" spans="1:41" ht="30" customHeight="1">
      <c r="A206" s="145">
        <v>201</v>
      </c>
      <c r="B206" s="32" t="str">
        <f t="shared" ca="1" si="0"/>
        <v/>
      </c>
      <c r="C206" s="145"/>
      <c r="D206" s="63"/>
      <c r="E206" s="58"/>
      <c r="F206" s="58"/>
      <c r="G206" s="58"/>
      <c r="H206" s="21"/>
      <c r="I206" s="21"/>
      <c r="J206" s="21"/>
      <c r="K206" s="21"/>
      <c r="L206" s="21"/>
      <c r="M206" s="21"/>
      <c r="N206" s="21"/>
      <c r="O206" s="21"/>
      <c r="P206" s="21"/>
      <c r="Q206" s="21"/>
      <c r="R206" s="58"/>
      <c r="S206" s="21"/>
      <c r="T206" s="21"/>
      <c r="U206" s="21"/>
      <c r="V206" s="21"/>
      <c r="W206" s="24" t="s">
        <v>40</v>
      </c>
      <c r="X206" s="21"/>
      <c r="Y206" s="107"/>
      <c r="Z206" s="151"/>
      <c r="AB206" s="182" t="s">
        <v>972</v>
      </c>
      <c r="AC206" s="182" t="s">
        <v>36</v>
      </c>
      <c r="AD206" s="224" t="s">
        <v>973</v>
      </c>
      <c r="AE206" s="175"/>
    </row>
    <row r="207" spans="1:41" ht="30" customHeight="1">
      <c r="A207" s="145">
        <v>202</v>
      </c>
      <c r="B207" s="32" t="str">
        <f t="shared" ca="1" si="0"/>
        <v/>
      </c>
      <c r="C207" s="145"/>
      <c r="D207" s="63"/>
      <c r="E207" s="58"/>
      <c r="F207" s="58"/>
      <c r="G207" s="58"/>
      <c r="H207" s="21"/>
      <c r="I207" s="21"/>
      <c r="J207" s="21"/>
      <c r="K207" s="21"/>
      <c r="L207" s="21"/>
      <c r="M207" s="21"/>
      <c r="N207" s="21"/>
      <c r="O207" s="21"/>
      <c r="P207" s="21"/>
      <c r="Q207" s="21"/>
      <c r="R207" s="58"/>
      <c r="S207" s="21"/>
      <c r="T207" s="21"/>
      <c r="U207" s="21"/>
      <c r="V207" s="21"/>
      <c r="W207" s="24" t="s">
        <v>40</v>
      </c>
      <c r="X207" s="21"/>
      <c r="Y207" s="107"/>
      <c r="Z207" s="151"/>
      <c r="AB207" s="182" t="s">
        <v>974</v>
      </c>
      <c r="AC207" s="182" t="s">
        <v>36</v>
      </c>
      <c r="AD207" s="224" t="s">
        <v>975</v>
      </c>
      <c r="AE207" s="175"/>
    </row>
    <row r="208" spans="1:41" ht="30" customHeight="1">
      <c r="A208" s="145">
        <v>203</v>
      </c>
      <c r="B208" s="32" t="str">
        <f t="shared" ca="1" si="0"/>
        <v/>
      </c>
      <c r="C208" s="145"/>
      <c r="D208" s="63"/>
      <c r="E208" s="58"/>
      <c r="F208" s="58"/>
      <c r="G208" s="58"/>
      <c r="H208" s="21"/>
      <c r="I208" s="21"/>
      <c r="J208" s="21"/>
      <c r="K208" s="21"/>
      <c r="L208" s="21"/>
      <c r="M208" s="21"/>
      <c r="N208" s="21"/>
      <c r="O208" s="21"/>
      <c r="P208" s="21"/>
      <c r="Q208" s="21"/>
      <c r="R208" s="58"/>
      <c r="S208" s="21"/>
      <c r="T208" s="21"/>
      <c r="U208" s="21"/>
      <c r="V208" s="21"/>
      <c r="W208" s="24" t="s">
        <v>40</v>
      </c>
      <c r="X208" s="21"/>
      <c r="Y208" s="107"/>
      <c r="Z208" s="151"/>
      <c r="AB208" s="182" t="s">
        <v>976</v>
      </c>
      <c r="AC208" s="182" t="s">
        <v>36</v>
      </c>
      <c r="AD208" s="224" t="s">
        <v>977</v>
      </c>
      <c r="AE208" s="175"/>
    </row>
    <row r="209" spans="1:31" ht="30" customHeight="1">
      <c r="A209" s="145">
        <v>204</v>
      </c>
      <c r="B209" s="32" t="str">
        <f t="shared" ca="1" si="0"/>
        <v/>
      </c>
      <c r="C209" s="145"/>
      <c r="D209" s="63"/>
      <c r="E209" s="58"/>
      <c r="F209" s="58"/>
      <c r="G209" s="58"/>
      <c r="H209" s="21"/>
      <c r="I209" s="21"/>
      <c r="J209" s="21"/>
      <c r="K209" s="21"/>
      <c r="L209" s="21"/>
      <c r="M209" s="21"/>
      <c r="N209" s="21"/>
      <c r="O209" s="21"/>
      <c r="P209" s="21"/>
      <c r="Q209" s="21"/>
      <c r="R209" s="58"/>
      <c r="S209" s="21"/>
      <c r="T209" s="21"/>
      <c r="U209" s="21"/>
      <c r="V209" s="21"/>
      <c r="W209" s="24" t="s">
        <v>40</v>
      </c>
      <c r="X209" s="21"/>
      <c r="Y209" s="107"/>
      <c r="Z209" s="151"/>
      <c r="AB209" s="182" t="s">
        <v>978</v>
      </c>
      <c r="AC209" s="182" t="s">
        <v>36</v>
      </c>
      <c r="AD209" s="224" t="s">
        <v>979</v>
      </c>
      <c r="AE209" s="175"/>
    </row>
    <row r="210" spans="1:31" ht="30" customHeight="1">
      <c r="A210" s="145">
        <v>205</v>
      </c>
      <c r="B210" s="32" t="str">
        <f t="shared" ca="1" si="0"/>
        <v/>
      </c>
      <c r="C210" s="145"/>
      <c r="D210" s="63"/>
      <c r="E210" s="58"/>
      <c r="F210" s="58"/>
      <c r="G210" s="58"/>
      <c r="H210" s="21"/>
      <c r="I210" s="21"/>
      <c r="J210" s="21"/>
      <c r="K210" s="21"/>
      <c r="L210" s="21"/>
      <c r="M210" s="21"/>
      <c r="N210" s="21"/>
      <c r="O210" s="21"/>
      <c r="P210" s="21"/>
      <c r="Q210" s="21"/>
      <c r="R210" s="58"/>
      <c r="S210" s="21"/>
      <c r="T210" s="21"/>
      <c r="U210" s="21"/>
      <c r="V210" s="21"/>
      <c r="W210" s="24" t="s">
        <v>40</v>
      </c>
      <c r="X210" s="21"/>
      <c r="Y210" s="107"/>
      <c r="Z210" s="151"/>
      <c r="AB210" s="182" t="s">
        <v>980</v>
      </c>
      <c r="AC210" s="182" t="s">
        <v>36</v>
      </c>
      <c r="AD210" s="224" t="s">
        <v>981</v>
      </c>
      <c r="AE210" s="175"/>
    </row>
    <row r="211" spans="1:31" ht="30" customHeight="1">
      <c r="A211" s="145">
        <v>206</v>
      </c>
      <c r="B211" s="32" t="str">
        <f t="shared" ca="1" si="0"/>
        <v/>
      </c>
      <c r="C211" s="145"/>
      <c r="D211" s="63"/>
      <c r="E211" s="58"/>
      <c r="F211" s="58"/>
      <c r="G211" s="58"/>
      <c r="H211" s="21"/>
      <c r="I211" s="21"/>
      <c r="J211" s="21"/>
      <c r="K211" s="21"/>
      <c r="L211" s="21"/>
      <c r="M211" s="21"/>
      <c r="N211" s="21"/>
      <c r="O211" s="21"/>
      <c r="P211" s="21"/>
      <c r="Q211" s="21"/>
      <c r="R211" s="58"/>
      <c r="S211" s="21"/>
      <c r="T211" s="21"/>
      <c r="U211" s="21"/>
      <c r="V211" s="21"/>
      <c r="W211" s="24" t="s">
        <v>40</v>
      </c>
      <c r="X211" s="21"/>
      <c r="Y211" s="107"/>
      <c r="Z211" s="151"/>
      <c r="AB211" s="182" t="s">
        <v>982</v>
      </c>
      <c r="AC211" s="182" t="s">
        <v>36</v>
      </c>
      <c r="AD211" s="224" t="s">
        <v>983</v>
      </c>
      <c r="AE211" s="175"/>
    </row>
    <row r="212" spans="1:31" ht="30" customHeight="1">
      <c r="A212" s="145">
        <v>207</v>
      </c>
      <c r="B212" s="32" t="str">
        <f t="shared" ca="1" si="0"/>
        <v/>
      </c>
      <c r="C212" s="145"/>
      <c r="D212" s="63"/>
      <c r="E212" s="58"/>
      <c r="F212" s="58"/>
      <c r="G212" s="58"/>
      <c r="H212" s="21"/>
      <c r="I212" s="21"/>
      <c r="J212" s="21"/>
      <c r="K212" s="21"/>
      <c r="L212" s="21"/>
      <c r="M212" s="21"/>
      <c r="N212" s="21"/>
      <c r="O212" s="21"/>
      <c r="P212" s="21"/>
      <c r="Q212" s="21"/>
      <c r="R212" s="58"/>
      <c r="S212" s="21"/>
      <c r="T212" s="21"/>
      <c r="U212" s="21"/>
      <c r="V212" s="21"/>
      <c r="W212" s="24" t="s">
        <v>40</v>
      </c>
      <c r="X212" s="21"/>
      <c r="Y212" s="107"/>
      <c r="Z212" s="151"/>
      <c r="AB212" s="182" t="s">
        <v>984</v>
      </c>
      <c r="AC212" s="182" t="s">
        <v>36</v>
      </c>
      <c r="AD212" s="224" t="s">
        <v>985</v>
      </c>
      <c r="AE212" s="175"/>
    </row>
    <row r="213" spans="1:31" ht="30" customHeight="1">
      <c r="A213" s="145">
        <v>208</v>
      </c>
      <c r="B213" s="32" t="str">
        <f t="shared" ca="1" si="0"/>
        <v/>
      </c>
      <c r="C213" s="145"/>
      <c r="D213" s="63"/>
      <c r="E213" s="58"/>
      <c r="F213" s="58"/>
      <c r="G213" s="58"/>
      <c r="H213" s="21"/>
      <c r="I213" s="21"/>
      <c r="J213" s="21"/>
      <c r="K213" s="21"/>
      <c r="L213" s="21"/>
      <c r="M213" s="21"/>
      <c r="N213" s="21"/>
      <c r="O213" s="21"/>
      <c r="P213" s="21"/>
      <c r="Q213" s="21"/>
      <c r="R213" s="58"/>
      <c r="S213" s="21"/>
      <c r="T213" s="21"/>
      <c r="U213" s="21"/>
      <c r="V213" s="21"/>
      <c r="W213" s="24" t="s">
        <v>40</v>
      </c>
      <c r="X213" s="21"/>
      <c r="Y213" s="107"/>
      <c r="Z213" s="151"/>
      <c r="AB213" s="182" t="s">
        <v>986</v>
      </c>
      <c r="AC213" s="182" t="s">
        <v>36</v>
      </c>
      <c r="AD213" s="224" t="s">
        <v>987</v>
      </c>
      <c r="AE213" s="175"/>
    </row>
    <row r="214" spans="1:31" ht="30" customHeight="1">
      <c r="A214" s="145">
        <v>209</v>
      </c>
      <c r="B214" s="32" t="str">
        <f t="shared" ca="1" si="0"/>
        <v/>
      </c>
      <c r="C214" s="145"/>
      <c r="D214" s="63"/>
      <c r="E214" s="58"/>
      <c r="F214" s="58"/>
      <c r="G214" s="58"/>
      <c r="H214" s="21"/>
      <c r="I214" s="21"/>
      <c r="J214" s="21"/>
      <c r="K214" s="21"/>
      <c r="L214" s="21"/>
      <c r="M214" s="21"/>
      <c r="N214" s="21"/>
      <c r="O214" s="21"/>
      <c r="P214" s="21"/>
      <c r="Q214" s="21"/>
      <c r="R214" s="58"/>
      <c r="S214" s="21"/>
      <c r="T214" s="21"/>
      <c r="U214" s="21"/>
      <c r="V214" s="21"/>
      <c r="W214" s="24" t="s">
        <v>40</v>
      </c>
      <c r="X214" s="21"/>
      <c r="Y214" s="107"/>
      <c r="Z214" s="151"/>
      <c r="AB214" s="182" t="s">
        <v>988</v>
      </c>
      <c r="AC214" s="182" t="s">
        <v>36</v>
      </c>
      <c r="AD214" s="224" t="s">
        <v>989</v>
      </c>
      <c r="AE214" s="175"/>
    </row>
    <row r="215" spans="1:31" ht="30" customHeight="1">
      <c r="A215" s="145">
        <v>210</v>
      </c>
      <c r="B215" s="32" t="str">
        <f t="shared" ca="1" si="0"/>
        <v/>
      </c>
      <c r="C215" s="145"/>
      <c r="D215" s="63"/>
      <c r="E215" s="58"/>
      <c r="F215" s="58"/>
      <c r="G215" s="58"/>
      <c r="H215" s="21"/>
      <c r="I215" s="21"/>
      <c r="J215" s="21"/>
      <c r="K215" s="21"/>
      <c r="L215" s="21"/>
      <c r="M215" s="21"/>
      <c r="N215" s="21"/>
      <c r="O215" s="21"/>
      <c r="P215" s="21"/>
      <c r="Q215" s="21"/>
      <c r="R215" s="58"/>
      <c r="S215" s="21"/>
      <c r="T215" s="21"/>
      <c r="U215" s="21"/>
      <c r="V215" s="21"/>
      <c r="W215" s="24" t="s">
        <v>40</v>
      </c>
      <c r="X215" s="21"/>
      <c r="Y215" s="107"/>
      <c r="Z215" s="151"/>
      <c r="AB215" s="182" t="s">
        <v>990</v>
      </c>
      <c r="AC215" s="182" t="s">
        <v>36</v>
      </c>
      <c r="AD215" s="224" t="s">
        <v>991</v>
      </c>
      <c r="AE215" s="175"/>
    </row>
    <row r="216" spans="1:31" ht="30" customHeight="1">
      <c r="A216" s="145">
        <v>211</v>
      </c>
      <c r="B216" s="32" t="str">
        <f t="shared" ca="1" si="0"/>
        <v/>
      </c>
      <c r="C216" s="145"/>
      <c r="D216" s="63"/>
      <c r="E216" s="58"/>
      <c r="F216" s="58"/>
      <c r="G216" s="58"/>
      <c r="H216" s="21"/>
      <c r="I216" s="21"/>
      <c r="J216" s="21"/>
      <c r="K216" s="21"/>
      <c r="L216" s="21"/>
      <c r="M216" s="21"/>
      <c r="N216" s="21"/>
      <c r="O216" s="21"/>
      <c r="P216" s="21"/>
      <c r="Q216" s="21"/>
      <c r="R216" s="58"/>
      <c r="S216" s="21"/>
      <c r="T216" s="21"/>
      <c r="U216" s="21"/>
      <c r="V216" s="21"/>
      <c r="W216" s="24" t="s">
        <v>40</v>
      </c>
      <c r="X216" s="21"/>
      <c r="Y216" s="107"/>
      <c r="Z216" s="151"/>
      <c r="AB216" s="182" t="s">
        <v>992</v>
      </c>
      <c r="AC216" s="182" t="s">
        <v>36</v>
      </c>
      <c r="AD216" s="224" t="s">
        <v>993</v>
      </c>
      <c r="AE216" s="175"/>
    </row>
    <row r="217" spans="1:31" ht="30" customHeight="1">
      <c r="A217" s="145">
        <v>212</v>
      </c>
      <c r="B217" s="32" t="str">
        <f t="shared" ca="1" si="0"/>
        <v/>
      </c>
      <c r="C217" s="145"/>
      <c r="D217" s="63"/>
      <c r="E217" s="58"/>
      <c r="F217" s="58"/>
      <c r="G217" s="58"/>
      <c r="H217" s="21"/>
      <c r="I217" s="21"/>
      <c r="J217" s="21"/>
      <c r="K217" s="21"/>
      <c r="L217" s="21"/>
      <c r="M217" s="21"/>
      <c r="N217" s="21"/>
      <c r="O217" s="21"/>
      <c r="P217" s="21"/>
      <c r="Q217" s="21"/>
      <c r="R217" s="58"/>
      <c r="S217" s="21"/>
      <c r="T217" s="21"/>
      <c r="U217" s="21"/>
      <c r="V217" s="21"/>
      <c r="W217" s="24" t="s">
        <v>40</v>
      </c>
      <c r="X217" s="21"/>
      <c r="Y217" s="107"/>
      <c r="Z217" s="151"/>
      <c r="AB217" s="182" t="s">
        <v>994</v>
      </c>
      <c r="AC217" s="182" t="s">
        <v>36</v>
      </c>
      <c r="AD217" s="224" t="s">
        <v>995</v>
      </c>
      <c r="AE217" s="175"/>
    </row>
    <row r="218" spans="1:31" ht="30" customHeight="1">
      <c r="A218" s="145">
        <v>213</v>
      </c>
      <c r="B218" s="32" t="str">
        <f t="shared" ca="1" si="0"/>
        <v/>
      </c>
      <c r="C218" s="145"/>
      <c r="D218" s="63"/>
      <c r="E218" s="58"/>
      <c r="F218" s="58"/>
      <c r="G218" s="58"/>
      <c r="H218" s="21"/>
      <c r="I218" s="21"/>
      <c r="J218" s="21"/>
      <c r="K218" s="21"/>
      <c r="L218" s="21"/>
      <c r="M218" s="21"/>
      <c r="N218" s="21"/>
      <c r="O218" s="21"/>
      <c r="P218" s="21"/>
      <c r="Q218" s="21"/>
      <c r="R218" s="58"/>
      <c r="S218" s="21"/>
      <c r="T218" s="21"/>
      <c r="U218" s="21"/>
      <c r="V218" s="21"/>
      <c r="W218" s="24" t="s">
        <v>40</v>
      </c>
      <c r="X218" s="21"/>
      <c r="Y218" s="107"/>
      <c r="Z218" s="151"/>
      <c r="AB218" s="182" t="s">
        <v>996</v>
      </c>
      <c r="AC218" s="182" t="s">
        <v>36</v>
      </c>
      <c r="AD218" s="224" t="s">
        <v>997</v>
      </c>
      <c r="AE218" s="175"/>
    </row>
    <row r="219" spans="1:31" ht="30" customHeight="1">
      <c r="A219" s="145">
        <v>214</v>
      </c>
      <c r="B219" s="32" t="str">
        <f t="shared" ca="1" si="0"/>
        <v/>
      </c>
      <c r="C219" s="145"/>
      <c r="D219" s="63"/>
      <c r="E219" s="58"/>
      <c r="F219" s="58"/>
      <c r="G219" s="58"/>
      <c r="H219" s="21"/>
      <c r="I219" s="21"/>
      <c r="J219" s="21"/>
      <c r="K219" s="21"/>
      <c r="L219" s="21"/>
      <c r="M219" s="21"/>
      <c r="N219" s="21"/>
      <c r="O219" s="21"/>
      <c r="P219" s="21"/>
      <c r="Q219" s="21"/>
      <c r="R219" s="58"/>
      <c r="S219" s="21"/>
      <c r="T219" s="21"/>
      <c r="U219" s="21"/>
      <c r="V219" s="21"/>
      <c r="W219" s="24" t="s">
        <v>40</v>
      </c>
      <c r="X219" s="21"/>
      <c r="Y219" s="107"/>
      <c r="Z219" s="151"/>
      <c r="AB219" s="182" t="s">
        <v>998</v>
      </c>
      <c r="AC219" s="182" t="s">
        <v>36</v>
      </c>
      <c r="AD219" s="224" t="s">
        <v>999</v>
      </c>
      <c r="AE219" s="175"/>
    </row>
    <row r="220" spans="1:31" ht="30" customHeight="1">
      <c r="A220" s="145">
        <v>215</v>
      </c>
      <c r="B220" s="32" t="str">
        <f t="shared" ca="1" si="0"/>
        <v/>
      </c>
      <c r="C220" s="145"/>
      <c r="D220" s="63"/>
      <c r="E220" s="58"/>
      <c r="F220" s="58"/>
      <c r="G220" s="58"/>
      <c r="H220" s="21"/>
      <c r="I220" s="21"/>
      <c r="J220" s="21"/>
      <c r="K220" s="21"/>
      <c r="L220" s="21"/>
      <c r="M220" s="21"/>
      <c r="N220" s="21"/>
      <c r="O220" s="21"/>
      <c r="P220" s="21"/>
      <c r="Q220" s="21"/>
      <c r="R220" s="58"/>
      <c r="S220" s="21"/>
      <c r="T220" s="21"/>
      <c r="U220" s="21"/>
      <c r="V220" s="21"/>
      <c r="W220" s="24" t="s">
        <v>40</v>
      </c>
      <c r="X220" s="21"/>
      <c r="Y220" s="107"/>
      <c r="Z220" s="151"/>
      <c r="AB220" s="182" t="s">
        <v>1000</v>
      </c>
      <c r="AC220" s="182" t="s">
        <v>36</v>
      </c>
      <c r="AD220" s="224" t="s">
        <v>1001</v>
      </c>
      <c r="AE220" s="175"/>
    </row>
    <row r="221" spans="1:31" ht="30" customHeight="1">
      <c r="A221" s="145">
        <v>216</v>
      </c>
      <c r="B221" s="32" t="str">
        <f t="shared" ca="1" si="0"/>
        <v/>
      </c>
      <c r="C221" s="145"/>
      <c r="D221" s="63"/>
      <c r="E221" s="58"/>
      <c r="F221" s="58"/>
      <c r="G221" s="58"/>
      <c r="H221" s="21"/>
      <c r="I221" s="21"/>
      <c r="J221" s="21"/>
      <c r="K221" s="21"/>
      <c r="L221" s="21"/>
      <c r="M221" s="21"/>
      <c r="N221" s="21"/>
      <c r="O221" s="21"/>
      <c r="P221" s="21"/>
      <c r="Q221" s="21"/>
      <c r="R221" s="58"/>
      <c r="S221" s="21"/>
      <c r="T221" s="21"/>
      <c r="U221" s="21"/>
      <c r="V221" s="21"/>
      <c r="W221" s="24" t="s">
        <v>40</v>
      </c>
      <c r="X221" s="21"/>
      <c r="Y221" s="107"/>
      <c r="Z221" s="151"/>
      <c r="AB221" s="182" t="s">
        <v>1002</v>
      </c>
      <c r="AC221" s="182" t="s">
        <v>36</v>
      </c>
      <c r="AD221" s="224" t="s">
        <v>1003</v>
      </c>
      <c r="AE221" s="175"/>
    </row>
    <row r="222" spans="1:31" ht="30" customHeight="1">
      <c r="A222" s="145">
        <v>217</v>
      </c>
      <c r="B222" s="32" t="str">
        <f t="shared" ca="1" si="0"/>
        <v/>
      </c>
      <c r="C222" s="145"/>
      <c r="D222" s="63"/>
      <c r="E222" s="58"/>
      <c r="F222" s="58"/>
      <c r="G222" s="58"/>
      <c r="H222" s="21"/>
      <c r="I222" s="21"/>
      <c r="J222" s="21"/>
      <c r="K222" s="21"/>
      <c r="L222" s="21"/>
      <c r="M222" s="21"/>
      <c r="N222" s="21"/>
      <c r="O222" s="21"/>
      <c r="P222" s="21"/>
      <c r="Q222" s="21"/>
      <c r="R222" s="58"/>
      <c r="S222" s="21"/>
      <c r="T222" s="21"/>
      <c r="U222" s="21"/>
      <c r="V222" s="21"/>
      <c r="W222" s="24" t="s">
        <v>40</v>
      </c>
      <c r="X222" s="21"/>
      <c r="Y222" s="107"/>
      <c r="Z222" s="151"/>
      <c r="AB222" s="182" t="s">
        <v>1004</v>
      </c>
      <c r="AC222" s="182" t="s">
        <v>36</v>
      </c>
      <c r="AD222" s="224" t="s">
        <v>1005</v>
      </c>
      <c r="AE222" s="175"/>
    </row>
    <row r="223" spans="1:31" ht="30" customHeight="1">
      <c r="A223" s="145">
        <v>218</v>
      </c>
      <c r="B223" s="32" t="str">
        <f t="shared" ca="1" si="0"/>
        <v/>
      </c>
      <c r="C223" s="145"/>
      <c r="D223" s="63"/>
      <c r="E223" s="58"/>
      <c r="F223" s="58"/>
      <c r="G223" s="58"/>
      <c r="H223" s="21"/>
      <c r="I223" s="21"/>
      <c r="J223" s="21"/>
      <c r="K223" s="21"/>
      <c r="L223" s="21"/>
      <c r="M223" s="21"/>
      <c r="N223" s="21"/>
      <c r="O223" s="21"/>
      <c r="P223" s="21"/>
      <c r="Q223" s="21"/>
      <c r="R223" s="58"/>
      <c r="S223" s="21"/>
      <c r="T223" s="21"/>
      <c r="U223" s="21"/>
      <c r="V223" s="21"/>
      <c r="W223" s="24" t="s">
        <v>40</v>
      </c>
      <c r="X223" s="21"/>
      <c r="Y223" s="107"/>
      <c r="Z223" s="151"/>
      <c r="AB223" s="182" t="s">
        <v>1006</v>
      </c>
      <c r="AC223" s="182" t="s">
        <v>36</v>
      </c>
      <c r="AD223" s="224" t="s">
        <v>1007</v>
      </c>
      <c r="AE223" s="175"/>
    </row>
    <row r="224" spans="1:31" ht="30" customHeight="1">
      <c r="A224" s="145">
        <v>219</v>
      </c>
      <c r="B224" s="32" t="str">
        <f t="shared" ca="1" si="0"/>
        <v/>
      </c>
      <c r="C224" s="145"/>
      <c r="D224" s="63"/>
      <c r="E224" s="58"/>
      <c r="F224" s="58"/>
      <c r="G224" s="58"/>
      <c r="H224" s="21"/>
      <c r="I224" s="21"/>
      <c r="J224" s="21"/>
      <c r="K224" s="21"/>
      <c r="L224" s="21"/>
      <c r="M224" s="21"/>
      <c r="N224" s="21"/>
      <c r="O224" s="21"/>
      <c r="P224" s="21"/>
      <c r="Q224" s="21"/>
      <c r="R224" s="58"/>
      <c r="S224" s="21"/>
      <c r="T224" s="21"/>
      <c r="U224" s="21"/>
      <c r="V224" s="21"/>
      <c r="W224" s="24" t="s">
        <v>40</v>
      </c>
      <c r="X224" s="21"/>
      <c r="Y224" s="107"/>
      <c r="Z224" s="151"/>
      <c r="AB224" s="182" t="s">
        <v>1008</v>
      </c>
      <c r="AC224" s="182" t="s">
        <v>36</v>
      </c>
      <c r="AD224" s="224" t="s">
        <v>1009</v>
      </c>
      <c r="AE224" s="175"/>
    </row>
    <row r="225" spans="1:41" ht="30" customHeight="1">
      <c r="A225" s="145">
        <v>220</v>
      </c>
      <c r="B225" s="32" t="str">
        <f t="shared" ca="1" si="0"/>
        <v/>
      </c>
      <c r="C225" s="145"/>
      <c r="D225" s="63"/>
      <c r="E225" s="58"/>
      <c r="F225" s="58"/>
      <c r="G225" s="58"/>
      <c r="H225" s="21"/>
      <c r="I225" s="21"/>
      <c r="J225" s="21"/>
      <c r="K225" s="21"/>
      <c r="L225" s="21"/>
      <c r="M225" s="21"/>
      <c r="N225" s="21"/>
      <c r="O225" s="21"/>
      <c r="P225" s="21"/>
      <c r="Q225" s="21"/>
      <c r="R225" s="58"/>
      <c r="S225" s="21"/>
      <c r="T225" s="21"/>
      <c r="U225" s="21"/>
      <c r="V225" s="21"/>
      <c r="W225" s="24" t="s">
        <v>40</v>
      </c>
      <c r="X225" s="21"/>
      <c r="Y225" s="107"/>
      <c r="Z225" s="151"/>
      <c r="AB225" s="182" t="s">
        <v>1010</v>
      </c>
      <c r="AC225" s="182" t="s">
        <v>36</v>
      </c>
      <c r="AD225" s="224" t="s">
        <v>1011</v>
      </c>
      <c r="AE225" s="175"/>
    </row>
    <row r="226" spans="1:41" ht="30" customHeight="1">
      <c r="A226" s="145">
        <v>221</v>
      </c>
      <c r="B226" s="32" t="str">
        <f t="shared" ca="1" si="0"/>
        <v/>
      </c>
      <c r="C226" s="145"/>
      <c r="D226" s="63"/>
      <c r="E226" s="58"/>
      <c r="F226" s="58"/>
      <c r="G226" s="58"/>
      <c r="H226" s="21"/>
      <c r="I226" s="21"/>
      <c r="J226" s="21"/>
      <c r="K226" s="21"/>
      <c r="L226" s="21"/>
      <c r="M226" s="21"/>
      <c r="N226" s="21"/>
      <c r="O226" s="21"/>
      <c r="P226" s="21"/>
      <c r="Q226" s="21"/>
      <c r="R226" s="58"/>
      <c r="S226" s="21"/>
      <c r="T226" s="21"/>
      <c r="U226" s="21"/>
      <c r="V226" s="21"/>
      <c r="W226" s="24" t="s">
        <v>40</v>
      </c>
      <c r="X226" s="21"/>
      <c r="Y226" s="107"/>
      <c r="Z226" s="151"/>
      <c r="AB226" s="182" t="s">
        <v>1012</v>
      </c>
      <c r="AC226" s="182" t="s">
        <v>36</v>
      </c>
      <c r="AD226" s="224" t="s">
        <v>1013</v>
      </c>
      <c r="AE226" s="175"/>
    </row>
    <row r="227" spans="1:41" ht="30" customHeight="1">
      <c r="A227" s="145">
        <v>222</v>
      </c>
      <c r="B227" s="32" t="str">
        <f t="shared" ca="1" si="0"/>
        <v/>
      </c>
      <c r="C227" s="145"/>
      <c r="D227" s="63"/>
      <c r="E227" s="58"/>
      <c r="F227" s="58"/>
      <c r="G227" s="58"/>
      <c r="H227" s="21"/>
      <c r="I227" s="21"/>
      <c r="J227" s="21"/>
      <c r="K227" s="21"/>
      <c r="L227" s="21"/>
      <c r="M227" s="21"/>
      <c r="N227" s="21"/>
      <c r="O227" s="21"/>
      <c r="P227" s="21"/>
      <c r="Q227" s="21"/>
      <c r="R227" s="58"/>
      <c r="S227" s="21"/>
      <c r="T227" s="21"/>
      <c r="U227" s="21"/>
      <c r="V227" s="21"/>
      <c r="W227" s="24" t="s">
        <v>40</v>
      </c>
      <c r="X227" s="21"/>
      <c r="Y227" s="107"/>
      <c r="Z227" s="151"/>
      <c r="AB227" s="182" t="s">
        <v>1014</v>
      </c>
      <c r="AC227" s="182" t="s">
        <v>36</v>
      </c>
      <c r="AD227" s="224" t="s">
        <v>1015</v>
      </c>
      <c r="AE227" s="175"/>
    </row>
    <row r="228" spans="1:41" ht="30" customHeight="1">
      <c r="A228" s="145">
        <v>223</v>
      </c>
      <c r="B228" s="32" t="str">
        <f t="shared" ca="1" si="0"/>
        <v/>
      </c>
      <c r="C228" s="145"/>
      <c r="D228" s="63"/>
      <c r="E228" s="58"/>
      <c r="F228" s="58"/>
      <c r="G228" s="58"/>
      <c r="H228" s="21"/>
      <c r="I228" s="21"/>
      <c r="J228" s="21"/>
      <c r="K228" s="21"/>
      <c r="L228" s="21"/>
      <c r="M228" s="21"/>
      <c r="N228" s="21"/>
      <c r="O228" s="21"/>
      <c r="P228" s="21"/>
      <c r="Q228" s="21"/>
      <c r="R228" s="58"/>
      <c r="S228" s="21"/>
      <c r="T228" s="21"/>
      <c r="U228" s="21"/>
      <c r="V228" s="21"/>
      <c r="W228" s="24" t="s">
        <v>40</v>
      </c>
      <c r="X228" s="21"/>
      <c r="Y228" s="107"/>
      <c r="Z228" s="151"/>
      <c r="AB228" s="182" t="s">
        <v>1016</v>
      </c>
      <c r="AC228" s="182" t="s">
        <v>36</v>
      </c>
      <c r="AD228" s="224" t="s">
        <v>1017</v>
      </c>
      <c r="AE228" s="175"/>
    </row>
    <row r="229" spans="1:41" ht="30" customHeight="1">
      <c r="A229" s="145">
        <v>224</v>
      </c>
      <c r="B229" s="32" t="str">
        <f t="shared" ca="1" si="0"/>
        <v/>
      </c>
      <c r="C229" s="145"/>
      <c r="D229" s="63"/>
      <c r="E229" s="58"/>
      <c r="F229" s="58"/>
      <c r="G229" s="58"/>
      <c r="H229" s="21"/>
      <c r="I229" s="21"/>
      <c r="J229" s="21"/>
      <c r="K229" s="21"/>
      <c r="L229" s="21"/>
      <c r="M229" s="21"/>
      <c r="N229" s="21"/>
      <c r="O229" s="21"/>
      <c r="P229" s="21"/>
      <c r="Q229" s="21"/>
      <c r="R229" s="58"/>
      <c r="S229" s="21"/>
      <c r="T229" s="21"/>
      <c r="U229" s="21"/>
      <c r="V229" s="21"/>
      <c r="W229" s="24" t="s">
        <v>40</v>
      </c>
      <c r="X229" s="21"/>
      <c r="Y229" s="107"/>
      <c r="Z229" s="151"/>
      <c r="AB229" s="182" t="s">
        <v>1018</v>
      </c>
      <c r="AC229" s="182" t="s">
        <v>36</v>
      </c>
      <c r="AD229" s="224" t="s">
        <v>1019</v>
      </c>
      <c r="AE229" s="175"/>
    </row>
    <row r="230" spans="1:41" ht="30" customHeight="1">
      <c r="A230" s="145">
        <v>225</v>
      </c>
      <c r="B230" s="32" t="str">
        <f t="shared" ca="1" si="0"/>
        <v/>
      </c>
      <c r="C230" s="145"/>
      <c r="D230" s="63"/>
      <c r="E230" s="58"/>
      <c r="F230" s="58"/>
      <c r="G230" s="58"/>
      <c r="H230" s="21"/>
      <c r="I230" s="21"/>
      <c r="J230" s="21"/>
      <c r="K230" s="21"/>
      <c r="L230" s="21"/>
      <c r="M230" s="21"/>
      <c r="N230" s="21"/>
      <c r="O230" s="21"/>
      <c r="P230" s="21"/>
      <c r="Q230" s="21"/>
      <c r="R230" s="58"/>
      <c r="S230" s="21"/>
      <c r="T230" s="21"/>
      <c r="U230" s="21"/>
      <c r="V230" s="21"/>
      <c r="W230" s="24" t="s">
        <v>40</v>
      </c>
      <c r="X230" s="21"/>
      <c r="Y230" s="107"/>
      <c r="Z230" s="151"/>
      <c r="AB230" s="182" t="s">
        <v>1020</v>
      </c>
      <c r="AC230" s="182" t="s">
        <v>36</v>
      </c>
      <c r="AD230" s="224" t="s">
        <v>1021</v>
      </c>
      <c r="AE230" s="175"/>
    </row>
    <row r="231" spans="1:41" ht="30" customHeight="1">
      <c r="A231" s="145">
        <v>226</v>
      </c>
      <c r="B231" s="32" t="str">
        <f t="shared" ca="1" si="0"/>
        <v/>
      </c>
      <c r="C231" s="145"/>
      <c r="D231" s="63"/>
      <c r="E231" s="58"/>
      <c r="F231" s="58"/>
      <c r="G231" s="58"/>
      <c r="H231" s="21"/>
      <c r="I231" s="21"/>
      <c r="J231" s="21"/>
      <c r="K231" s="21"/>
      <c r="L231" s="21"/>
      <c r="M231" s="21"/>
      <c r="N231" s="21"/>
      <c r="O231" s="21"/>
      <c r="P231" s="21"/>
      <c r="Q231" s="21"/>
      <c r="R231" s="58"/>
      <c r="S231" s="116"/>
      <c r="T231" s="116"/>
      <c r="U231" s="116"/>
      <c r="V231" s="116"/>
      <c r="W231" s="24" t="s">
        <v>40</v>
      </c>
      <c r="X231" s="116"/>
      <c r="Y231" s="107"/>
      <c r="Z231" s="225"/>
      <c r="AB231" s="182" t="s">
        <v>1022</v>
      </c>
      <c r="AC231" s="182" t="s">
        <v>36</v>
      </c>
      <c r="AD231" s="224" t="s">
        <v>1023</v>
      </c>
      <c r="AE231" s="175"/>
    </row>
    <row r="232" spans="1:41" ht="15.75" customHeight="1">
      <c r="A232" s="12">
        <v>115</v>
      </c>
      <c r="B232" s="32"/>
      <c r="C232" s="145"/>
      <c r="D232" s="63"/>
      <c r="E232" s="99"/>
      <c r="F232" s="106"/>
      <c r="G232" s="99"/>
      <c r="H232" s="99"/>
      <c r="I232" s="99"/>
      <c r="J232" s="99"/>
      <c r="K232" s="99"/>
      <c r="L232" s="99"/>
      <c r="M232" s="99"/>
      <c r="N232" s="99"/>
      <c r="O232" s="99"/>
      <c r="P232" s="99"/>
      <c r="Q232" s="99"/>
      <c r="R232" s="106"/>
      <c r="S232" s="22"/>
      <c r="T232" s="22"/>
      <c r="U232" s="22"/>
      <c r="V232" s="99"/>
      <c r="W232" s="226"/>
      <c r="X232" s="99"/>
      <c r="Y232" s="99"/>
      <c r="Z232" s="99"/>
      <c r="AA232" s="128"/>
      <c r="AB232" s="34" t="s">
        <v>1024</v>
      </c>
      <c r="AC232" s="34" t="s">
        <v>36</v>
      </c>
      <c r="AD232" s="25" t="s">
        <v>1025</v>
      </c>
      <c r="AE232" s="3"/>
      <c r="AF232" s="3"/>
      <c r="AG232" s="3"/>
      <c r="AH232" s="3"/>
      <c r="AI232" s="3"/>
      <c r="AJ232" s="3"/>
      <c r="AK232" s="3"/>
      <c r="AL232" s="3"/>
      <c r="AM232" s="3"/>
      <c r="AN232" s="3"/>
      <c r="AO232" s="3"/>
    </row>
    <row r="233" spans="1:41" ht="15.75" customHeight="1">
      <c r="A233" s="145">
        <v>116</v>
      </c>
      <c r="B233" s="32"/>
      <c r="C233" s="145"/>
      <c r="D233" s="63"/>
      <c r="E233" s="19"/>
      <c r="F233" s="106"/>
      <c r="G233" s="22"/>
      <c r="H233" s="22"/>
      <c r="I233" s="22"/>
      <c r="J233" s="22"/>
      <c r="K233" s="22"/>
      <c r="L233" s="22"/>
      <c r="M233" s="22"/>
      <c r="N233" s="22"/>
      <c r="O233" s="22"/>
      <c r="P233" s="22"/>
      <c r="Q233" s="22"/>
      <c r="R233" s="106"/>
      <c r="S233" s="22"/>
      <c r="T233" s="22"/>
      <c r="U233" s="22"/>
      <c r="V233" s="22"/>
      <c r="W233" s="226"/>
      <c r="X233" s="131"/>
      <c r="Y233" s="21"/>
      <c r="Z233" s="202"/>
      <c r="AA233" s="128"/>
      <c r="AB233" s="34" t="s">
        <v>1026</v>
      </c>
      <c r="AC233" s="34" t="s">
        <v>36</v>
      </c>
      <c r="AD233" s="25" t="s">
        <v>1027</v>
      </c>
      <c r="AE233" s="3"/>
      <c r="AF233" s="3"/>
      <c r="AG233" s="3"/>
      <c r="AH233" s="3"/>
      <c r="AI233" s="3"/>
      <c r="AJ233" s="3"/>
      <c r="AK233" s="3"/>
      <c r="AL233" s="3"/>
      <c r="AM233" s="3"/>
      <c r="AN233" s="3"/>
      <c r="AO233" s="3"/>
    </row>
    <row r="234" spans="1:41" ht="15.75" customHeight="1">
      <c r="A234" s="12">
        <v>117</v>
      </c>
      <c r="B234" s="32"/>
      <c r="C234" s="145"/>
      <c r="D234" s="63"/>
      <c r="E234" s="19"/>
      <c r="F234" s="106"/>
      <c r="G234" s="22"/>
      <c r="H234" s="22"/>
      <c r="I234" s="22"/>
      <c r="J234" s="22"/>
      <c r="K234" s="22"/>
      <c r="L234" s="22"/>
      <c r="M234" s="22"/>
      <c r="N234" s="22"/>
      <c r="O234" s="22"/>
      <c r="P234" s="22"/>
      <c r="Q234" s="22"/>
      <c r="R234" s="106"/>
      <c r="S234" s="22"/>
      <c r="T234" s="21"/>
      <c r="U234" s="22"/>
      <c r="V234" s="22"/>
      <c r="W234" s="226"/>
      <c r="X234" s="203"/>
      <c r="Y234" s="204"/>
      <c r="Z234" s="202"/>
      <c r="AA234" s="128"/>
      <c r="AB234" s="34" t="s">
        <v>1028</v>
      </c>
      <c r="AC234" s="34" t="s">
        <v>36</v>
      </c>
      <c r="AD234" s="25" t="s">
        <v>1029</v>
      </c>
      <c r="AE234" s="3"/>
      <c r="AF234" s="3"/>
      <c r="AG234" s="3"/>
      <c r="AH234" s="3"/>
      <c r="AI234" s="3"/>
      <c r="AJ234" s="3"/>
      <c r="AK234" s="3"/>
      <c r="AL234" s="3"/>
      <c r="AM234" s="3"/>
      <c r="AN234" s="3"/>
      <c r="AO234" s="3"/>
    </row>
    <row r="235" spans="1:41" ht="15.75" customHeight="1">
      <c r="A235" s="145">
        <v>118</v>
      </c>
      <c r="B235" s="32"/>
      <c r="C235" s="145"/>
      <c r="D235" s="63"/>
      <c r="E235" s="19"/>
      <c r="F235" s="106"/>
      <c r="G235" s="22"/>
      <c r="H235" s="22"/>
      <c r="I235" s="22"/>
      <c r="J235" s="22"/>
      <c r="K235" s="22"/>
      <c r="L235" s="22"/>
      <c r="M235" s="22"/>
      <c r="N235" s="22"/>
      <c r="O235" s="22"/>
      <c r="P235" s="22"/>
      <c r="Q235" s="22"/>
      <c r="R235" s="106"/>
      <c r="S235" s="22"/>
      <c r="T235" s="21"/>
      <c r="U235" s="22"/>
      <c r="V235" s="22"/>
      <c r="W235" s="226"/>
      <c r="X235" s="203"/>
      <c r="Y235" s="204"/>
      <c r="Z235" s="202"/>
      <c r="AA235" s="128"/>
      <c r="AB235" s="34" t="s">
        <v>1030</v>
      </c>
      <c r="AC235" s="34" t="s">
        <v>36</v>
      </c>
      <c r="AD235" s="25" t="s">
        <v>1031</v>
      </c>
      <c r="AE235" s="3"/>
      <c r="AF235" s="3"/>
      <c r="AG235" s="3"/>
      <c r="AH235" s="3"/>
      <c r="AI235" s="3"/>
      <c r="AJ235" s="3"/>
      <c r="AK235" s="3"/>
      <c r="AL235" s="3"/>
      <c r="AM235" s="3"/>
      <c r="AN235" s="3"/>
      <c r="AO235" s="3"/>
    </row>
    <row r="236" spans="1:41" ht="15.75" customHeight="1">
      <c r="A236" s="12">
        <v>119</v>
      </c>
      <c r="B236" s="32"/>
      <c r="C236" s="145"/>
      <c r="D236" s="63"/>
      <c r="E236" s="19"/>
      <c r="F236" s="106"/>
      <c r="G236" s="22"/>
      <c r="H236" s="22"/>
      <c r="I236" s="22"/>
      <c r="J236" s="22"/>
      <c r="K236" s="22"/>
      <c r="L236" s="22"/>
      <c r="M236" s="22"/>
      <c r="N236" s="22"/>
      <c r="O236" s="22"/>
      <c r="P236" s="22"/>
      <c r="Q236" s="227"/>
      <c r="R236" s="106"/>
      <c r="S236" s="22"/>
      <c r="T236" s="21"/>
      <c r="U236" s="22"/>
      <c r="V236" s="22"/>
      <c r="W236" s="226"/>
      <c r="X236" s="203"/>
      <c r="Y236" s="204"/>
      <c r="Z236" s="202"/>
      <c r="AA236" s="128"/>
      <c r="AB236" s="34" t="s">
        <v>1032</v>
      </c>
      <c r="AC236" s="34" t="s">
        <v>36</v>
      </c>
      <c r="AD236" s="25" t="s">
        <v>1033</v>
      </c>
      <c r="AE236" s="3"/>
      <c r="AF236" s="3"/>
      <c r="AG236" s="3"/>
      <c r="AH236" s="3"/>
      <c r="AI236" s="3"/>
      <c r="AJ236" s="3"/>
      <c r="AK236" s="3"/>
      <c r="AL236" s="3"/>
      <c r="AM236" s="3"/>
      <c r="AN236" s="3"/>
      <c r="AO236" s="3"/>
    </row>
    <row r="237" spans="1:41" ht="15.75" customHeight="1">
      <c r="A237" s="145">
        <v>120</v>
      </c>
      <c r="B237" s="32"/>
      <c r="C237" s="145"/>
      <c r="D237" s="63"/>
      <c r="E237" s="19"/>
      <c r="F237" s="106"/>
      <c r="G237" s="22"/>
      <c r="H237" s="22"/>
      <c r="I237" s="22"/>
      <c r="J237" s="22"/>
      <c r="K237" s="22"/>
      <c r="L237" s="22"/>
      <c r="M237" s="22"/>
      <c r="N237" s="22"/>
      <c r="O237" s="22"/>
      <c r="P237" s="22"/>
      <c r="Q237" s="21"/>
      <c r="R237" s="106"/>
      <c r="S237" s="22"/>
      <c r="T237" s="21"/>
      <c r="U237" s="22"/>
      <c r="V237" s="22"/>
      <c r="W237" s="226"/>
      <c r="X237" s="203"/>
      <c r="Y237" s="204"/>
      <c r="Z237" s="202"/>
      <c r="AA237" s="128"/>
      <c r="AB237" s="34" t="s">
        <v>1034</v>
      </c>
      <c r="AC237" s="34" t="s">
        <v>36</v>
      </c>
      <c r="AD237" s="25" t="s">
        <v>1035</v>
      </c>
      <c r="AE237" s="3"/>
      <c r="AF237" s="3"/>
      <c r="AG237" s="3"/>
      <c r="AH237" s="3"/>
      <c r="AI237" s="3"/>
      <c r="AJ237" s="3"/>
      <c r="AK237" s="3"/>
      <c r="AL237" s="3"/>
      <c r="AM237" s="3"/>
      <c r="AN237" s="3"/>
      <c r="AO237" s="3"/>
    </row>
    <row r="238" spans="1:41" ht="15.75" customHeight="1">
      <c r="A238" s="12">
        <v>121</v>
      </c>
      <c r="B238" s="32" t="str">
        <f t="shared" ref="B238:B245" ca="1" si="1">IF(OR(E238&lt;&gt;"",F238&lt;&gt;""),IF(B238="",NOW(),B238),"")</f>
        <v/>
      </c>
      <c r="C238" s="145"/>
      <c r="D238" s="63"/>
      <c r="E238" s="21"/>
      <c r="F238" s="58"/>
      <c r="G238" s="21"/>
      <c r="H238" s="21"/>
      <c r="I238" s="21"/>
      <c r="J238" s="21"/>
      <c r="K238" s="21"/>
      <c r="L238" s="21"/>
      <c r="M238" s="21"/>
      <c r="N238" s="21"/>
      <c r="O238" s="21"/>
      <c r="P238" s="21"/>
      <c r="Q238" s="21"/>
      <c r="R238" s="58"/>
      <c r="S238" s="21"/>
      <c r="T238" s="21"/>
      <c r="U238" s="21"/>
      <c r="V238" s="21"/>
      <c r="W238" s="131"/>
      <c r="X238" s="190"/>
      <c r="Y238" s="29"/>
      <c r="Z238" s="125"/>
      <c r="AA238" s="3"/>
      <c r="AB238" s="34" t="s">
        <v>1036</v>
      </c>
      <c r="AC238" s="34" t="s">
        <v>36</v>
      </c>
      <c r="AD238" s="25" t="s">
        <v>1037</v>
      </c>
      <c r="AE238" s="3"/>
      <c r="AF238" s="3"/>
      <c r="AG238" s="3"/>
      <c r="AH238" s="3"/>
      <c r="AI238" s="3"/>
      <c r="AJ238" s="3"/>
      <c r="AK238" s="3"/>
      <c r="AL238" s="3"/>
      <c r="AM238" s="3"/>
      <c r="AN238" s="3"/>
      <c r="AO238" s="3"/>
    </row>
    <row r="239" spans="1:41" ht="15.75" customHeight="1">
      <c r="A239" s="145">
        <v>122</v>
      </c>
      <c r="B239" s="32" t="str">
        <f t="shared" ca="1" si="1"/>
        <v/>
      </c>
      <c r="C239" s="145"/>
      <c r="D239" s="63"/>
      <c r="E239" s="21"/>
      <c r="F239" s="58"/>
      <c r="G239" s="21"/>
      <c r="H239" s="21"/>
      <c r="I239" s="21"/>
      <c r="J239" s="21"/>
      <c r="K239" s="21"/>
      <c r="L239" s="21"/>
      <c r="M239" s="21"/>
      <c r="N239" s="21"/>
      <c r="O239" s="21"/>
      <c r="P239" s="21"/>
      <c r="Q239" s="21"/>
      <c r="R239" s="58"/>
      <c r="S239" s="21"/>
      <c r="T239" s="21"/>
      <c r="U239" s="21"/>
      <c r="V239" s="21"/>
      <c r="W239" s="131"/>
      <c r="X239" s="190"/>
      <c r="Y239" s="29"/>
      <c r="Z239" s="125"/>
      <c r="AA239" s="3"/>
      <c r="AB239" s="34" t="s">
        <v>1038</v>
      </c>
      <c r="AC239" s="34" t="s">
        <v>36</v>
      </c>
      <c r="AD239" s="25" t="s">
        <v>1039</v>
      </c>
      <c r="AE239" s="3"/>
      <c r="AF239" s="3"/>
      <c r="AG239" s="3"/>
      <c r="AH239" s="3"/>
      <c r="AI239" s="3"/>
      <c r="AJ239" s="3"/>
      <c r="AK239" s="3"/>
      <c r="AL239" s="3"/>
      <c r="AM239" s="3"/>
      <c r="AN239" s="3"/>
      <c r="AO239" s="3"/>
    </row>
    <row r="240" spans="1:41" ht="15.75" customHeight="1">
      <c r="A240" s="12">
        <v>123</v>
      </c>
      <c r="B240" s="32" t="str">
        <f t="shared" ca="1" si="1"/>
        <v/>
      </c>
      <c r="C240" s="145"/>
      <c r="D240" s="63"/>
      <c r="E240" s="21"/>
      <c r="F240" s="58"/>
      <c r="G240" s="21"/>
      <c r="H240" s="21"/>
      <c r="I240" s="21"/>
      <c r="J240" s="21"/>
      <c r="K240" s="21"/>
      <c r="L240" s="21"/>
      <c r="M240" s="21"/>
      <c r="N240" s="21"/>
      <c r="O240" s="21"/>
      <c r="P240" s="21"/>
      <c r="Q240" s="21"/>
      <c r="R240" s="58"/>
      <c r="S240" s="21"/>
      <c r="T240" s="21"/>
      <c r="U240" s="21"/>
      <c r="V240" s="21"/>
      <c r="W240" s="131"/>
      <c r="X240" s="190"/>
      <c r="Y240" s="29"/>
      <c r="Z240" s="125"/>
      <c r="AA240" s="3"/>
      <c r="AB240" s="34" t="s">
        <v>1040</v>
      </c>
      <c r="AC240" s="34" t="s">
        <v>36</v>
      </c>
      <c r="AD240" s="25" t="s">
        <v>1041</v>
      </c>
      <c r="AE240" s="3"/>
      <c r="AF240" s="3"/>
      <c r="AG240" s="3"/>
      <c r="AH240" s="3"/>
      <c r="AI240" s="3"/>
      <c r="AJ240" s="3"/>
      <c r="AK240" s="3"/>
      <c r="AL240" s="3"/>
      <c r="AM240" s="3"/>
      <c r="AN240" s="3"/>
      <c r="AO240" s="3"/>
    </row>
    <row r="241" spans="1:41" ht="15.75" customHeight="1">
      <c r="A241" s="145">
        <v>124</v>
      </c>
      <c r="B241" s="32" t="str">
        <f t="shared" ca="1" si="1"/>
        <v/>
      </c>
      <c r="C241" s="145"/>
      <c r="D241" s="63"/>
      <c r="E241" s="21"/>
      <c r="F241" s="58"/>
      <c r="G241" s="21"/>
      <c r="H241" s="21"/>
      <c r="I241" s="21"/>
      <c r="J241" s="21"/>
      <c r="K241" s="21"/>
      <c r="L241" s="21"/>
      <c r="M241" s="21"/>
      <c r="N241" s="21"/>
      <c r="O241" s="21"/>
      <c r="P241" s="21"/>
      <c r="Q241" s="21"/>
      <c r="R241" s="58"/>
      <c r="S241" s="21"/>
      <c r="T241" s="21"/>
      <c r="U241" s="21"/>
      <c r="V241" s="21"/>
      <c r="W241" s="131"/>
      <c r="X241" s="190"/>
      <c r="Y241" s="29"/>
      <c r="Z241" s="125"/>
      <c r="AA241" s="3"/>
      <c r="AB241" s="34" t="s">
        <v>1042</v>
      </c>
      <c r="AC241" s="34" t="s">
        <v>36</v>
      </c>
      <c r="AD241" s="25" t="s">
        <v>1043</v>
      </c>
      <c r="AE241" s="3"/>
      <c r="AF241" s="3"/>
      <c r="AG241" s="3"/>
      <c r="AH241" s="3"/>
      <c r="AI241" s="3"/>
      <c r="AJ241" s="3"/>
      <c r="AK241" s="3"/>
      <c r="AL241" s="3"/>
      <c r="AM241" s="3"/>
      <c r="AN241" s="3"/>
      <c r="AO241" s="3"/>
    </row>
    <row r="242" spans="1:41" ht="15.75" customHeight="1">
      <c r="A242" s="12">
        <v>125</v>
      </c>
      <c r="B242" s="32" t="str">
        <f t="shared" ca="1" si="1"/>
        <v/>
      </c>
      <c r="C242" s="145"/>
      <c r="D242" s="63"/>
      <c r="E242" s="21"/>
      <c r="F242" s="58"/>
      <c r="G242" s="21"/>
      <c r="H242" s="21"/>
      <c r="I242" s="21"/>
      <c r="J242" s="21"/>
      <c r="K242" s="21"/>
      <c r="L242" s="21"/>
      <c r="M242" s="21"/>
      <c r="N242" s="21"/>
      <c r="O242" s="21"/>
      <c r="P242" s="21"/>
      <c r="Q242" s="21"/>
      <c r="R242" s="58"/>
      <c r="S242" s="21"/>
      <c r="T242" s="21"/>
      <c r="U242" s="21"/>
      <c r="V242" s="21"/>
      <c r="W242" s="131"/>
      <c r="X242" s="190"/>
      <c r="Y242" s="29"/>
      <c r="Z242" s="125"/>
      <c r="AA242" s="3"/>
      <c r="AB242" s="34" t="s">
        <v>1044</v>
      </c>
      <c r="AC242" s="34" t="s">
        <v>36</v>
      </c>
      <c r="AD242" s="25" t="s">
        <v>1045</v>
      </c>
      <c r="AE242" s="3"/>
      <c r="AF242" s="3"/>
      <c r="AG242" s="3"/>
      <c r="AH242" s="3"/>
      <c r="AI242" s="3"/>
      <c r="AJ242" s="3"/>
      <c r="AK242" s="3"/>
      <c r="AL242" s="3"/>
      <c r="AM242" s="3"/>
      <c r="AN242" s="3"/>
      <c r="AO242" s="3"/>
    </row>
    <row r="243" spans="1:41" ht="15.75" customHeight="1">
      <c r="A243" s="145">
        <v>126</v>
      </c>
      <c r="B243" s="32" t="str">
        <f t="shared" ca="1" si="1"/>
        <v/>
      </c>
      <c r="C243" s="145"/>
      <c r="D243" s="63"/>
      <c r="E243" s="21"/>
      <c r="F243" s="58"/>
      <c r="G243" s="21"/>
      <c r="H243" s="21"/>
      <c r="I243" s="21"/>
      <c r="J243" s="21"/>
      <c r="K243" s="21"/>
      <c r="L243" s="21"/>
      <c r="M243" s="21"/>
      <c r="N243" s="21"/>
      <c r="O243" s="21"/>
      <c r="P243" s="21"/>
      <c r="Q243" s="21"/>
      <c r="R243" s="58"/>
      <c r="S243" s="21"/>
      <c r="T243" s="21"/>
      <c r="U243" s="21"/>
      <c r="V243" s="21"/>
      <c r="W243" s="131"/>
      <c r="X243" s="190"/>
      <c r="Y243" s="29"/>
      <c r="Z243" s="125"/>
      <c r="AA243" s="3"/>
      <c r="AB243" s="34" t="s">
        <v>1046</v>
      </c>
      <c r="AC243" s="34" t="s">
        <v>36</v>
      </c>
      <c r="AD243" s="25" t="s">
        <v>1047</v>
      </c>
      <c r="AE243" s="3"/>
      <c r="AF243" s="3"/>
      <c r="AG243" s="3"/>
      <c r="AH243" s="3"/>
      <c r="AI243" s="3"/>
      <c r="AJ243" s="3"/>
      <c r="AK243" s="3"/>
      <c r="AL243" s="3"/>
      <c r="AM243" s="3"/>
      <c r="AN243" s="3"/>
      <c r="AO243" s="3"/>
    </row>
    <row r="244" spans="1:41" ht="15.75" customHeight="1">
      <c r="A244" s="12">
        <v>127</v>
      </c>
      <c r="B244" s="32" t="str">
        <f t="shared" ca="1" si="1"/>
        <v/>
      </c>
      <c r="C244" s="145"/>
      <c r="D244" s="63"/>
      <c r="E244" s="21"/>
      <c r="F244" s="58"/>
      <c r="G244" s="21"/>
      <c r="H244" s="21"/>
      <c r="I244" s="21"/>
      <c r="J244" s="21"/>
      <c r="K244" s="21"/>
      <c r="L244" s="21"/>
      <c r="M244" s="21"/>
      <c r="N244" s="21"/>
      <c r="O244" s="21"/>
      <c r="P244" s="21"/>
      <c r="Q244" s="21"/>
      <c r="R244" s="58"/>
      <c r="S244" s="21"/>
      <c r="T244" s="21"/>
      <c r="U244" s="21"/>
      <c r="V244" s="21"/>
      <c r="W244" s="131"/>
      <c r="X244" s="190"/>
      <c r="Y244" s="29"/>
      <c r="Z244" s="125"/>
      <c r="AA244" s="3"/>
      <c r="AB244" s="34" t="s">
        <v>1048</v>
      </c>
      <c r="AC244" s="34" t="s">
        <v>36</v>
      </c>
      <c r="AD244" s="25" t="s">
        <v>1049</v>
      </c>
      <c r="AE244" s="3"/>
      <c r="AF244" s="3"/>
      <c r="AG244" s="3"/>
      <c r="AH244" s="3"/>
      <c r="AI244" s="3"/>
      <c r="AJ244" s="3"/>
      <c r="AK244" s="3"/>
      <c r="AL244" s="3"/>
      <c r="AM244" s="3"/>
      <c r="AN244" s="3"/>
      <c r="AO244" s="3"/>
    </row>
    <row r="245" spans="1:41" ht="15.75" customHeight="1">
      <c r="A245" s="145">
        <v>128</v>
      </c>
      <c r="B245" s="32" t="str">
        <f t="shared" ca="1" si="1"/>
        <v/>
      </c>
      <c r="C245" s="145"/>
      <c r="D245" s="63"/>
      <c r="E245" s="21"/>
      <c r="F245" s="58"/>
      <c r="G245" s="21"/>
      <c r="H245" s="21"/>
      <c r="I245" s="21"/>
      <c r="J245" s="21"/>
      <c r="K245" s="21"/>
      <c r="L245" s="21"/>
      <c r="M245" s="21"/>
      <c r="N245" s="21"/>
      <c r="O245" s="21"/>
      <c r="P245" s="21"/>
      <c r="Q245" s="21"/>
      <c r="R245" s="58"/>
      <c r="S245" s="21"/>
      <c r="T245" s="21"/>
      <c r="U245" s="21"/>
      <c r="V245" s="21"/>
      <c r="W245" s="131"/>
      <c r="X245" s="190"/>
      <c r="Y245" s="29"/>
      <c r="Z245" s="125"/>
      <c r="AA245" s="3"/>
      <c r="AB245" s="34" t="s">
        <v>1050</v>
      </c>
      <c r="AC245" s="34" t="s">
        <v>36</v>
      </c>
      <c r="AD245" s="25" t="s">
        <v>1051</v>
      </c>
      <c r="AE245" s="3"/>
      <c r="AF245" s="3"/>
      <c r="AG245" s="3"/>
      <c r="AH245" s="3"/>
      <c r="AI245" s="3"/>
      <c r="AJ245" s="3"/>
      <c r="AK245" s="3"/>
      <c r="AL245" s="3"/>
      <c r="AM245" s="3"/>
      <c r="AN245" s="3"/>
      <c r="AO245" s="3"/>
    </row>
    <row r="246" spans="1:41" ht="15.75" customHeight="1">
      <c r="A246" s="12"/>
      <c r="B246" s="3"/>
      <c r="C246" s="12"/>
      <c r="D246" s="3"/>
      <c r="E246" s="3"/>
      <c r="F246" s="5"/>
      <c r="G246" s="3"/>
      <c r="H246" s="3"/>
      <c r="I246" s="3"/>
      <c r="J246" s="3"/>
      <c r="K246" s="3"/>
      <c r="L246" s="3"/>
      <c r="M246" s="3"/>
      <c r="N246" s="3"/>
      <c r="O246" s="3"/>
      <c r="P246" s="3"/>
      <c r="Q246" s="3"/>
      <c r="R246" s="5"/>
      <c r="S246" s="3"/>
      <c r="T246" s="3"/>
      <c r="U246" s="3"/>
      <c r="V246" s="3"/>
      <c r="W246" s="3"/>
      <c r="X246" s="3"/>
      <c r="Y246" s="3"/>
      <c r="Z246" s="3"/>
      <c r="AA246" s="3"/>
      <c r="AB246" s="34" t="s">
        <v>1052</v>
      </c>
      <c r="AC246" s="34" t="s">
        <v>36</v>
      </c>
      <c r="AD246" s="25" t="s">
        <v>1053</v>
      </c>
      <c r="AE246" s="3"/>
      <c r="AF246" s="3"/>
      <c r="AG246" s="3"/>
      <c r="AH246" s="3"/>
      <c r="AI246" s="3"/>
      <c r="AJ246" s="3"/>
      <c r="AK246" s="3"/>
      <c r="AL246" s="3"/>
      <c r="AM246" s="3"/>
      <c r="AN246" s="3"/>
      <c r="AO246" s="3"/>
    </row>
    <row r="247" spans="1:41" ht="15.75" customHeight="1">
      <c r="A247" s="12"/>
      <c r="B247" s="3"/>
      <c r="C247" s="12"/>
      <c r="D247" s="3"/>
      <c r="E247" s="3"/>
      <c r="F247" s="5"/>
      <c r="G247" s="3"/>
      <c r="H247" s="3"/>
      <c r="I247" s="3"/>
      <c r="J247" s="3"/>
      <c r="K247" s="3"/>
      <c r="L247" s="3"/>
      <c r="M247" s="3"/>
      <c r="N247" s="3"/>
      <c r="O247" s="3"/>
      <c r="P247" s="3"/>
      <c r="Q247" s="3"/>
      <c r="R247" s="5"/>
      <c r="S247" s="3"/>
      <c r="T247" s="3"/>
      <c r="U247" s="3"/>
      <c r="V247" s="3"/>
      <c r="W247" s="3"/>
      <c r="X247" s="3"/>
      <c r="Y247" s="3"/>
      <c r="Z247" s="3"/>
      <c r="AA247" s="3"/>
      <c r="AB247" s="34" t="s">
        <v>1054</v>
      </c>
      <c r="AC247" s="34" t="s">
        <v>36</v>
      </c>
      <c r="AD247" s="25" t="s">
        <v>1055</v>
      </c>
      <c r="AE247" s="3"/>
      <c r="AF247" s="3"/>
      <c r="AG247" s="3"/>
      <c r="AH247" s="3"/>
      <c r="AI247" s="3"/>
      <c r="AJ247" s="3"/>
      <c r="AK247" s="3"/>
      <c r="AL247" s="3"/>
      <c r="AM247" s="3"/>
      <c r="AN247" s="3"/>
      <c r="AO247" s="3"/>
    </row>
    <row r="248" spans="1:41" ht="15.75" customHeight="1">
      <c r="A248" s="12"/>
      <c r="B248" s="3"/>
      <c r="C248" s="12"/>
      <c r="D248" s="3"/>
      <c r="E248" s="3"/>
      <c r="F248" s="5"/>
      <c r="G248" s="3"/>
      <c r="H248" s="3"/>
      <c r="I248" s="3"/>
      <c r="J248" s="3"/>
      <c r="K248" s="3"/>
      <c r="L248" s="3"/>
      <c r="M248" s="3"/>
      <c r="N248" s="3"/>
      <c r="O248" s="3"/>
      <c r="P248" s="3"/>
      <c r="Q248" s="3"/>
      <c r="R248" s="5"/>
      <c r="S248" s="3"/>
      <c r="T248" s="3"/>
      <c r="U248" s="3"/>
      <c r="V248" s="3"/>
      <c r="W248" s="3"/>
      <c r="X248" s="3"/>
      <c r="Y248" s="3"/>
      <c r="Z248" s="3"/>
      <c r="AA248" s="3"/>
      <c r="AB248" s="34" t="s">
        <v>1056</v>
      </c>
      <c r="AC248" s="34" t="s">
        <v>36</v>
      </c>
      <c r="AD248" s="34" t="s">
        <v>1057</v>
      </c>
      <c r="AE248" s="3"/>
      <c r="AF248" s="3"/>
      <c r="AG248" s="3"/>
      <c r="AH248" s="3"/>
      <c r="AI248" s="3"/>
      <c r="AJ248" s="3"/>
      <c r="AK248" s="3"/>
      <c r="AL248" s="3"/>
      <c r="AM248" s="3"/>
      <c r="AN248" s="3"/>
      <c r="AO248" s="3"/>
    </row>
    <row r="249" spans="1:41" ht="15.75" customHeight="1">
      <c r="A249" s="12"/>
      <c r="B249" s="3"/>
      <c r="C249" s="12"/>
      <c r="D249" s="3"/>
      <c r="E249" s="3"/>
      <c r="F249" s="5"/>
      <c r="G249" s="3"/>
      <c r="H249" s="3"/>
      <c r="I249" s="3"/>
      <c r="J249" s="3"/>
      <c r="K249" s="3"/>
      <c r="L249" s="3"/>
      <c r="M249" s="3"/>
      <c r="N249" s="3"/>
      <c r="O249" s="3"/>
      <c r="P249" s="3"/>
      <c r="Q249" s="3"/>
      <c r="R249" s="5"/>
      <c r="S249" s="3"/>
      <c r="T249" s="3"/>
      <c r="U249" s="3"/>
      <c r="V249" s="3"/>
      <c r="W249" s="3"/>
      <c r="X249" s="3"/>
      <c r="Y249" s="3"/>
      <c r="Z249" s="3"/>
      <c r="AA249" s="3"/>
      <c r="AB249" s="34" t="s">
        <v>1058</v>
      </c>
      <c r="AC249" s="34" t="s">
        <v>36</v>
      </c>
      <c r="AD249" s="25" t="s">
        <v>1059</v>
      </c>
      <c r="AE249" s="3"/>
      <c r="AF249" s="3"/>
      <c r="AG249" s="3"/>
      <c r="AH249" s="3"/>
      <c r="AI249" s="3"/>
      <c r="AJ249" s="3"/>
      <c r="AK249" s="3"/>
      <c r="AL249" s="3"/>
      <c r="AM249" s="3"/>
      <c r="AN249" s="3"/>
      <c r="AO249" s="3"/>
    </row>
    <row r="250" spans="1:41" ht="15.75" customHeight="1">
      <c r="A250" s="12"/>
      <c r="B250" s="3"/>
      <c r="C250" s="12"/>
      <c r="D250" s="3"/>
      <c r="E250" s="3"/>
      <c r="F250" s="5"/>
      <c r="G250" s="3"/>
      <c r="H250" s="3"/>
      <c r="I250" s="3"/>
      <c r="J250" s="3"/>
      <c r="K250" s="3"/>
      <c r="L250" s="3"/>
      <c r="M250" s="3"/>
      <c r="N250" s="3"/>
      <c r="O250" s="3"/>
      <c r="P250" s="3"/>
      <c r="Q250" s="3"/>
      <c r="R250" s="5"/>
      <c r="S250" s="3"/>
      <c r="T250" s="3"/>
      <c r="U250" s="3"/>
      <c r="V250" s="3"/>
      <c r="W250" s="3"/>
      <c r="X250" s="3"/>
      <c r="Y250" s="3"/>
      <c r="Z250" s="3"/>
      <c r="AA250" s="3"/>
      <c r="AB250" s="34" t="s">
        <v>1060</v>
      </c>
      <c r="AC250" s="34" t="s">
        <v>36</v>
      </c>
      <c r="AD250" s="25" t="s">
        <v>1061</v>
      </c>
      <c r="AE250" s="3"/>
      <c r="AF250" s="3"/>
      <c r="AG250" s="3"/>
      <c r="AH250" s="3"/>
      <c r="AI250" s="3"/>
      <c r="AJ250" s="3"/>
      <c r="AK250" s="3"/>
      <c r="AL250" s="3"/>
      <c r="AM250" s="3"/>
      <c r="AN250" s="3"/>
      <c r="AO250" s="3"/>
    </row>
    <row r="251" spans="1:41" ht="15.75" customHeight="1">
      <c r="A251" s="12"/>
      <c r="B251" s="3"/>
      <c r="C251" s="12"/>
      <c r="D251" s="3"/>
      <c r="E251" s="3"/>
      <c r="F251" s="5"/>
      <c r="G251" s="3"/>
      <c r="H251" s="3"/>
      <c r="I251" s="3"/>
      <c r="J251" s="3"/>
      <c r="K251" s="3"/>
      <c r="L251" s="3"/>
      <c r="M251" s="3"/>
      <c r="N251" s="3"/>
      <c r="O251" s="3"/>
      <c r="P251" s="3"/>
      <c r="Q251" s="3"/>
      <c r="R251" s="5"/>
      <c r="S251" s="3"/>
      <c r="T251" s="3"/>
      <c r="U251" s="3"/>
      <c r="V251" s="3"/>
      <c r="W251" s="3"/>
      <c r="X251" s="3"/>
      <c r="Y251" s="3"/>
      <c r="Z251" s="3"/>
      <c r="AA251" s="3"/>
      <c r="AB251" s="34" t="s">
        <v>1062</v>
      </c>
      <c r="AC251" s="34" t="s">
        <v>36</v>
      </c>
      <c r="AD251" s="25" t="s">
        <v>1063</v>
      </c>
      <c r="AE251" s="3"/>
      <c r="AF251" s="3"/>
      <c r="AG251" s="3"/>
      <c r="AH251" s="3"/>
      <c r="AI251" s="3"/>
      <c r="AJ251" s="3"/>
      <c r="AK251" s="3"/>
      <c r="AL251" s="3"/>
      <c r="AM251" s="3"/>
      <c r="AN251" s="3"/>
      <c r="AO251" s="3"/>
    </row>
    <row r="252" spans="1:41" ht="15.75" customHeight="1">
      <c r="A252" s="12"/>
      <c r="B252" s="3"/>
      <c r="C252" s="12"/>
      <c r="D252" s="3"/>
      <c r="E252" s="3"/>
      <c r="F252" s="5"/>
      <c r="G252" s="3"/>
      <c r="H252" s="3"/>
      <c r="I252" s="3"/>
      <c r="J252" s="3"/>
      <c r="K252" s="3"/>
      <c r="L252" s="3"/>
      <c r="M252" s="3"/>
      <c r="N252" s="3"/>
      <c r="O252" s="3"/>
      <c r="P252" s="3"/>
      <c r="Q252" s="3"/>
      <c r="R252" s="5"/>
      <c r="S252" s="3"/>
      <c r="T252" s="3"/>
      <c r="U252" s="3"/>
      <c r="V252" s="3"/>
      <c r="W252" s="3"/>
      <c r="X252" s="3"/>
      <c r="Y252" s="3"/>
      <c r="Z252" s="3"/>
      <c r="AA252" s="3"/>
      <c r="AB252" s="34" t="s">
        <v>1064</v>
      </c>
      <c r="AC252" s="34" t="s">
        <v>36</v>
      </c>
      <c r="AD252" s="25" t="s">
        <v>1065</v>
      </c>
      <c r="AE252" s="3"/>
      <c r="AF252" s="3"/>
      <c r="AG252" s="3"/>
      <c r="AH252" s="3"/>
      <c r="AI252" s="3"/>
      <c r="AJ252" s="3"/>
      <c r="AK252" s="3"/>
      <c r="AL252" s="3"/>
      <c r="AM252" s="3"/>
      <c r="AN252" s="3"/>
      <c r="AO252" s="3"/>
    </row>
    <row r="253" spans="1:41" ht="15.75" customHeight="1">
      <c r="A253" s="12"/>
      <c r="B253" s="3"/>
      <c r="C253" s="12"/>
      <c r="D253" s="3"/>
      <c r="E253" s="3"/>
      <c r="F253" s="5"/>
      <c r="G253" s="3"/>
      <c r="H253" s="3"/>
      <c r="I253" s="3"/>
      <c r="J253" s="3"/>
      <c r="K253" s="3"/>
      <c r="L253" s="3"/>
      <c r="M253" s="3"/>
      <c r="N253" s="3"/>
      <c r="O253" s="3"/>
      <c r="P253" s="3"/>
      <c r="Q253" s="3"/>
      <c r="R253" s="5"/>
      <c r="S253" s="3"/>
      <c r="T253" s="3"/>
      <c r="U253" s="3"/>
      <c r="V253" s="3"/>
      <c r="W253" s="3"/>
      <c r="X253" s="3"/>
      <c r="Y253" s="3"/>
      <c r="Z253" s="3"/>
      <c r="AA253" s="3"/>
      <c r="AB253" s="34" t="s">
        <v>1066</v>
      </c>
      <c r="AC253" s="34" t="s">
        <v>36</v>
      </c>
      <c r="AD253" s="25" t="s">
        <v>1067</v>
      </c>
      <c r="AE253" s="3"/>
      <c r="AF253" s="3"/>
      <c r="AG253" s="3"/>
      <c r="AH253" s="3"/>
      <c r="AI253" s="3"/>
      <c r="AJ253" s="3"/>
      <c r="AK253" s="3"/>
      <c r="AL253" s="3"/>
      <c r="AM253" s="3"/>
      <c r="AN253" s="3"/>
      <c r="AO253" s="3"/>
    </row>
    <row r="254" spans="1:41" ht="15.75" customHeight="1">
      <c r="A254" s="12"/>
      <c r="B254" s="3"/>
      <c r="C254" s="12"/>
      <c r="D254" s="3"/>
      <c r="E254" s="3"/>
      <c r="F254" s="5"/>
      <c r="G254" s="3"/>
      <c r="H254" s="3"/>
      <c r="I254" s="3"/>
      <c r="J254" s="3"/>
      <c r="K254" s="3"/>
      <c r="L254" s="3"/>
      <c r="M254" s="3"/>
      <c r="N254" s="3"/>
      <c r="O254" s="3"/>
      <c r="P254" s="3"/>
      <c r="Q254" s="3"/>
      <c r="R254" s="5"/>
      <c r="S254" s="3"/>
      <c r="T254" s="3"/>
      <c r="U254" s="3"/>
      <c r="V254" s="3"/>
      <c r="W254" s="3"/>
      <c r="X254" s="3"/>
      <c r="Y254" s="3"/>
      <c r="Z254" s="3"/>
      <c r="AA254" s="3"/>
      <c r="AB254" s="34" t="s">
        <v>1068</v>
      </c>
      <c r="AC254" s="34" t="s">
        <v>36</v>
      </c>
      <c r="AD254" s="25" t="s">
        <v>1069</v>
      </c>
      <c r="AE254" s="3"/>
      <c r="AF254" s="3"/>
      <c r="AG254" s="3"/>
      <c r="AH254" s="3"/>
      <c r="AI254" s="3"/>
      <c r="AJ254" s="3"/>
      <c r="AK254" s="3"/>
      <c r="AL254" s="3"/>
      <c r="AM254" s="3"/>
      <c r="AN254" s="3"/>
      <c r="AO254" s="3"/>
    </row>
    <row r="255" spans="1:41" ht="15.75" customHeight="1">
      <c r="A255" s="12"/>
      <c r="B255" s="3"/>
      <c r="C255" s="12"/>
      <c r="D255" s="3"/>
      <c r="E255" s="3"/>
      <c r="F255" s="5"/>
      <c r="G255" s="3"/>
      <c r="H255" s="3"/>
      <c r="I255" s="3"/>
      <c r="J255" s="3"/>
      <c r="K255" s="3"/>
      <c r="L255" s="3"/>
      <c r="M255" s="3"/>
      <c r="N255" s="3"/>
      <c r="O255" s="3"/>
      <c r="P255" s="3"/>
      <c r="Q255" s="3"/>
      <c r="R255" s="5"/>
      <c r="S255" s="3"/>
      <c r="T255" s="3"/>
      <c r="U255" s="3"/>
      <c r="V255" s="3"/>
      <c r="W255" s="3"/>
      <c r="X255" s="3"/>
      <c r="Y255" s="3"/>
      <c r="Z255" s="3"/>
      <c r="AA255" s="3"/>
      <c r="AB255" s="34" t="s">
        <v>1070</v>
      </c>
      <c r="AC255" s="34" t="s">
        <v>36</v>
      </c>
      <c r="AD255" s="180" t="s">
        <v>1071</v>
      </c>
      <c r="AE255" s="3"/>
      <c r="AF255" s="3"/>
      <c r="AG255" s="3"/>
      <c r="AH255" s="3"/>
      <c r="AI255" s="3"/>
      <c r="AJ255" s="3"/>
      <c r="AK255" s="3"/>
      <c r="AL255" s="3"/>
      <c r="AM255" s="3"/>
      <c r="AN255" s="3"/>
      <c r="AO255" s="3"/>
    </row>
    <row r="256" spans="1:41" ht="15.75" customHeight="1">
      <c r="A256" s="12"/>
      <c r="B256" s="3"/>
      <c r="C256" s="12"/>
      <c r="D256" s="3"/>
      <c r="E256" s="3"/>
      <c r="F256" s="5"/>
      <c r="G256" s="3"/>
      <c r="H256" s="3"/>
      <c r="I256" s="3"/>
      <c r="J256" s="3"/>
      <c r="K256" s="3"/>
      <c r="L256" s="3"/>
      <c r="M256" s="3"/>
      <c r="N256" s="3"/>
      <c r="O256" s="3"/>
      <c r="P256" s="3"/>
      <c r="Q256" s="3"/>
      <c r="R256" s="5"/>
      <c r="S256" s="3"/>
      <c r="T256" s="3"/>
      <c r="U256" s="3"/>
      <c r="V256" s="3"/>
      <c r="W256" s="3"/>
      <c r="X256" s="3"/>
      <c r="Y256" s="3"/>
      <c r="Z256" s="3"/>
      <c r="AA256" s="3"/>
      <c r="AB256" s="34" t="s">
        <v>1072</v>
      </c>
      <c r="AC256" s="34" t="s">
        <v>36</v>
      </c>
      <c r="AD256" s="180" t="s">
        <v>1073</v>
      </c>
      <c r="AE256" s="3"/>
      <c r="AF256" s="3"/>
      <c r="AG256" s="3"/>
      <c r="AH256" s="3"/>
      <c r="AI256" s="3"/>
      <c r="AJ256" s="3"/>
      <c r="AK256" s="3"/>
      <c r="AL256" s="3"/>
      <c r="AM256" s="3"/>
      <c r="AN256" s="3"/>
      <c r="AO256" s="3"/>
    </row>
    <row r="257" spans="1:41" ht="15.75" customHeight="1">
      <c r="A257" s="12"/>
      <c r="B257" s="3"/>
      <c r="C257" s="12"/>
      <c r="D257" s="3"/>
      <c r="E257" s="3"/>
      <c r="F257" s="5"/>
      <c r="G257" s="3"/>
      <c r="H257" s="3"/>
      <c r="I257" s="3"/>
      <c r="J257" s="3"/>
      <c r="K257" s="3"/>
      <c r="L257" s="3"/>
      <c r="M257" s="3"/>
      <c r="N257" s="3"/>
      <c r="O257" s="3"/>
      <c r="P257" s="3"/>
      <c r="Q257" s="3"/>
      <c r="R257" s="5"/>
      <c r="S257" s="3"/>
      <c r="T257" s="3"/>
      <c r="U257" s="3"/>
      <c r="V257" s="3"/>
      <c r="W257" s="3"/>
      <c r="X257" s="3"/>
      <c r="Y257" s="3"/>
      <c r="Z257" s="3"/>
      <c r="AA257" s="3"/>
      <c r="AB257" s="34" t="s">
        <v>1074</v>
      </c>
      <c r="AC257" s="34" t="s">
        <v>36</v>
      </c>
      <c r="AD257" s="25" t="s">
        <v>1075</v>
      </c>
      <c r="AE257" s="3"/>
      <c r="AF257" s="3"/>
      <c r="AG257" s="3"/>
      <c r="AH257" s="3"/>
      <c r="AI257" s="3"/>
      <c r="AJ257" s="3"/>
      <c r="AK257" s="3"/>
      <c r="AL257" s="3"/>
      <c r="AM257" s="3"/>
      <c r="AN257" s="3"/>
      <c r="AO257" s="3"/>
    </row>
    <row r="258" spans="1:41" ht="15.75" customHeight="1">
      <c r="A258" s="12"/>
      <c r="B258" s="3"/>
      <c r="C258" s="12"/>
      <c r="D258" s="3"/>
      <c r="E258" s="3"/>
      <c r="F258" s="5"/>
      <c r="G258" s="3"/>
      <c r="H258" s="3"/>
      <c r="I258" s="3"/>
      <c r="J258" s="3"/>
      <c r="K258" s="3"/>
      <c r="L258" s="3"/>
      <c r="M258" s="3"/>
      <c r="N258" s="3"/>
      <c r="O258" s="3"/>
      <c r="P258" s="3"/>
      <c r="Q258" s="3"/>
      <c r="R258" s="5"/>
      <c r="S258" s="3"/>
      <c r="T258" s="3"/>
      <c r="U258" s="3"/>
      <c r="V258" s="3"/>
      <c r="W258" s="3"/>
      <c r="X258" s="3"/>
      <c r="Y258" s="3"/>
      <c r="Z258" s="3"/>
      <c r="AA258" s="3"/>
      <c r="AB258" s="34" t="s">
        <v>1076</v>
      </c>
      <c r="AC258" s="34" t="s">
        <v>36</v>
      </c>
      <c r="AD258" s="25" t="s">
        <v>1077</v>
      </c>
      <c r="AE258" s="3"/>
      <c r="AF258" s="3"/>
      <c r="AG258" s="3"/>
      <c r="AH258" s="3"/>
      <c r="AI258" s="3"/>
      <c r="AJ258" s="3"/>
      <c r="AK258" s="3"/>
      <c r="AL258" s="3"/>
      <c r="AM258" s="3"/>
      <c r="AN258" s="3"/>
      <c r="AO258" s="3"/>
    </row>
    <row r="259" spans="1:41" ht="15.75" customHeight="1">
      <c r="A259" s="12"/>
      <c r="B259" s="3"/>
      <c r="C259" s="12"/>
      <c r="D259" s="3"/>
      <c r="E259" s="3"/>
      <c r="F259" s="5"/>
      <c r="G259" s="3"/>
      <c r="H259" s="3"/>
      <c r="I259" s="3"/>
      <c r="J259" s="3"/>
      <c r="K259" s="3"/>
      <c r="L259" s="3"/>
      <c r="M259" s="3"/>
      <c r="N259" s="3"/>
      <c r="O259" s="3"/>
      <c r="P259" s="3"/>
      <c r="Q259" s="3"/>
      <c r="R259" s="5"/>
      <c r="S259" s="3"/>
      <c r="T259" s="3"/>
      <c r="U259" s="3"/>
      <c r="V259" s="3"/>
      <c r="W259" s="3"/>
      <c r="X259" s="3"/>
      <c r="Y259" s="3"/>
      <c r="Z259" s="3"/>
      <c r="AA259" s="3"/>
      <c r="AB259" s="34" t="s">
        <v>1078</v>
      </c>
      <c r="AC259" s="34" t="s">
        <v>36</v>
      </c>
      <c r="AD259" s="25" t="s">
        <v>1079</v>
      </c>
      <c r="AE259" s="3"/>
      <c r="AF259" s="3"/>
      <c r="AG259" s="3"/>
      <c r="AH259" s="3"/>
      <c r="AI259" s="3"/>
      <c r="AJ259" s="3"/>
      <c r="AK259" s="3"/>
      <c r="AL259" s="3"/>
      <c r="AM259" s="3"/>
      <c r="AN259" s="3"/>
      <c r="AO259" s="3"/>
    </row>
    <row r="260" spans="1:41" ht="15.75" customHeight="1">
      <c r="A260" s="12"/>
      <c r="B260" s="3"/>
      <c r="C260" s="12"/>
      <c r="D260" s="3"/>
      <c r="E260" s="3"/>
      <c r="F260" s="5"/>
      <c r="G260" s="3"/>
      <c r="H260" s="3"/>
      <c r="I260" s="3"/>
      <c r="J260" s="3"/>
      <c r="K260" s="3"/>
      <c r="L260" s="3"/>
      <c r="M260" s="3"/>
      <c r="N260" s="3"/>
      <c r="O260" s="3"/>
      <c r="P260" s="3"/>
      <c r="Q260" s="3"/>
      <c r="R260" s="5"/>
      <c r="S260" s="3"/>
      <c r="T260" s="3"/>
      <c r="U260" s="3"/>
      <c r="V260" s="3"/>
      <c r="W260" s="3"/>
      <c r="X260" s="3"/>
      <c r="Y260" s="3"/>
      <c r="Z260" s="3"/>
      <c r="AA260" s="3"/>
      <c r="AB260" s="34" t="s">
        <v>1080</v>
      </c>
      <c r="AC260" s="34" t="s">
        <v>36</v>
      </c>
      <c r="AD260" s="180" t="s">
        <v>1081</v>
      </c>
      <c r="AE260" s="3"/>
      <c r="AF260" s="3"/>
      <c r="AG260" s="3"/>
      <c r="AH260" s="3"/>
      <c r="AI260" s="3"/>
      <c r="AJ260" s="3"/>
      <c r="AK260" s="3"/>
      <c r="AL260" s="3"/>
      <c r="AM260" s="3"/>
      <c r="AN260" s="3"/>
      <c r="AO260" s="3"/>
    </row>
    <row r="261" spans="1:41" ht="15.75" customHeight="1">
      <c r="A261" s="12"/>
      <c r="B261" s="3"/>
      <c r="C261" s="12"/>
      <c r="D261" s="3"/>
      <c r="E261" s="3"/>
      <c r="F261" s="5"/>
      <c r="G261" s="3"/>
      <c r="H261" s="3"/>
      <c r="I261" s="3"/>
      <c r="J261" s="3"/>
      <c r="K261" s="3"/>
      <c r="L261" s="3"/>
      <c r="M261" s="3"/>
      <c r="N261" s="3"/>
      <c r="O261" s="3"/>
      <c r="P261" s="3"/>
      <c r="Q261" s="3"/>
      <c r="R261" s="5"/>
      <c r="S261" s="3"/>
      <c r="T261" s="3"/>
      <c r="U261" s="3"/>
      <c r="V261" s="3"/>
      <c r="W261" s="3"/>
      <c r="X261" s="3"/>
      <c r="Y261" s="3"/>
      <c r="Z261" s="3"/>
      <c r="AA261" s="3"/>
      <c r="AB261" s="34" t="s">
        <v>1082</v>
      </c>
      <c r="AC261" s="34" t="s">
        <v>36</v>
      </c>
      <c r="AD261" s="25" t="s">
        <v>1083</v>
      </c>
      <c r="AE261" s="3"/>
      <c r="AF261" s="3"/>
      <c r="AG261" s="3"/>
      <c r="AH261" s="3"/>
      <c r="AI261" s="3"/>
      <c r="AJ261" s="3"/>
      <c r="AK261" s="3"/>
      <c r="AL261" s="3"/>
      <c r="AM261" s="3"/>
      <c r="AN261" s="3"/>
      <c r="AO261" s="3"/>
    </row>
    <row r="262" spans="1:41" ht="15.75" customHeight="1">
      <c r="A262" s="12"/>
      <c r="B262" s="3"/>
      <c r="C262" s="12"/>
      <c r="D262" s="3"/>
      <c r="E262" s="3"/>
      <c r="F262" s="5"/>
      <c r="G262" s="3"/>
      <c r="H262" s="3"/>
      <c r="I262" s="3"/>
      <c r="J262" s="3"/>
      <c r="K262" s="3"/>
      <c r="L262" s="3"/>
      <c r="M262" s="3"/>
      <c r="N262" s="3"/>
      <c r="O262" s="3"/>
      <c r="P262" s="3"/>
      <c r="Q262" s="3"/>
      <c r="R262" s="5"/>
      <c r="S262" s="3"/>
      <c r="T262" s="3"/>
      <c r="U262" s="3"/>
      <c r="V262" s="3"/>
      <c r="W262" s="3"/>
      <c r="X262" s="3"/>
      <c r="Y262" s="3"/>
      <c r="Z262" s="3"/>
      <c r="AA262" s="3"/>
      <c r="AB262" s="34" t="s">
        <v>1084</v>
      </c>
      <c r="AC262" s="34" t="s">
        <v>36</v>
      </c>
      <c r="AD262" s="180" t="s">
        <v>1085</v>
      </c>
      <c r="AE262" s="3"/>
      <c r="AF262" s="3"/>
      <c r="AG262" s="3"/>
      <c r="AH262" s="3"/>
      <c r="AI262" s="3"/>
      <c r="AJ262" s="3"/>
      <c r="AK262" s="3"/>
      <c r="AL262" s="3"/>
      <c r="AM262" s="3"/>
      <c r="AN262" s="3"/>
      <c r="AO262" s="3"/>
    </row>
    <row r="263" spans="1:41" ht="15.75" customHeight="1">
      <c r="A263" s="12"/>
      <c r="B263" s="3"/>
      <c r="C263" s="12"/>
      <c r="D263" s="3"/>
      <c r="E263" s="3"/>
      <c r="F263" s="5"/>
      <c r="G263" s="3"/>
      <c r="H263" s="3"/>
      <c r="I263" s="3"/>
      <c r="J263" s="3"/>
      <c r="K263" s="3"/>
      <c r="L263" s="3"/>
      <c r="M263" s="3"/>
      <c r="N263" s="3"/>
      <c r="O263" s="3"/>
      <c r="P263" s="3"/>
      <c r="Q263" s="3"/>
      <c r="R263" s="5"/>
      <c r="S263" s="3"/>
      <c r="T263" s="3"/>
      <c r="U263" s="3"/>
      <c r="V263" s="3"/>
      <c r="W263" s="3"/>
      <c r="X263" s="3"/>
      <c r="Y263" s="3"/>
      <c r="Z263" s="3"/>
      <c r="AA263" s="3"/>
      <c r="AB263" s="34" t="s">
        <v>1086</v>
      </c>
      <c r="AC263" s="34" t="s">
        <v>36</v>
      </c>
      <c r="AD263" s="25" t="s">
        <v>1087</v>
      </c>
      <c r="AE263" s="3"/>
      <c r="AF263" s="3"/>
      <c r="AG263" s="3"/>
      <c r="AH263" s="3"/>
      <c r="AI263" s="3"/>
      <c r="AJ263" s="3"/>
      <c r="AK263" s="3"/>
      <c r="AL263" s="3"/>
      <c r="AM263" s="3"/>
      <c r="AN263" s="3"/>
      <c r="AO263" s="3"/>
    </row>
    <row r="264" spans="1:41" ht="15.75" customHeight="1">
      <c r="A264" s="12"/>
      <c r="B264" s="3"/>
      <c r="C264" s="12"/>
      <c r="D264" s="3"/>
      <c r="E264" s="3"/>
      <c r="F264" s="5"/>
      <c r="G264" s="3"/>
      <c r="H264" s="3"/>
      <c r="I264" s="3"/>
      <c r="J264" s="3"/>
      <c r="K264" s="3"/>
      <c r="L264" s="3"/>
      <c r="M264" s="3"/>
      <c r="N264" s="3"/>
      <c r="O264" s="3"/>
      <c r="P264" s="3"/>
      <c r="Q264" s="3"/>
      <c r="R264" s="5"/>
      <c r="S264" s="3"/>
      <c r="T264" s="3"/>
      <c r="U264" s="3"/>
      <c r="V264" s="3"/>
      <c r="W264" s="3"/>
      <c r="X264" s="3"/>
      <c r="Y264" s="3"/>
      <c r="Z264" s="3"/>
      <c r="AA264" s="3"/>
      <c r="AB264" s="34" t="s">
        <v>1088</v>
      </c>
      <c r="AC264" s="34" t="s">
        <v>36</v>
      </c>
      <c r="AD264" s="180" t="s">
        <v>1089</v>
      </c>
      <c r="AE264" s="3"/>
      <c r="AF264" s="3"/>
      <c r="AG264" s="3"/>
      <c r="AH264" s="3"/>
      <c r="AI264" s="3"/>
      <c r="AJ264" s="3"/>
      <c r="AK264" s="3"/>
      <c r="AL264" s="3"/>
      <c r="AM264" s="3"/>
      <c r="AN264" s="3"/>
      <c r="AO264" s="3"/>
    </row>
    <row r="265" spans="1:41" ht="15.75" customHeight="1">
      <c r="A265" s="12"/>
      <c r="B265" s="3"/>
      <c r="C265" s="12"/>
      <c r="D265" s="3"/>
      <c r="E265" s="3"/>
      <c r="F265" s="5"/>
      <c r="G265" s="3"/>
      <c r="H265" s="3"/>
      <c r="I265" s="3"/>
      <c r="J265" s="3"/>
      <c r="K265" s="3"/>
      <c r="L265" s="3"/>
      <c r="M265" s="3"/>
      <c r="N265" s="3"/>
      <c r="O265" s="3"/>
      <c r="P265" s="3"/>
      <c r="Q265" s="3"/>
      <c r="R265" s="5"/>
      <c r="S265" s="3"/>
      <c r="T265" s="3"/>
      <c r="U265" s="3"/>
      <c r="V265" s="3"/>
      <c r="W265" s="3"/>
      <c r="X265" s="3"/>
      <c r="Y265" s="3"/>
      <c r="Z265" s="3"/>
      <c r="AA265" s="3"/>
      <c r="AB265" s="34" t="s">
        <v>1090</v>
      </c>
      <c r="AC265" s="34" t="s">
        <v>36</v>
      </c>
      <c r="AD265" s="25" t="s">
        <v>1091</v>
      </c>
      <c r="AE265" s="3"/>
      <c r="AF265" s="3"/>
      <c r="AG265" s="3"/>
      <c r="AH265" s="3"/>
      <c r="AI265" s="3"/>
      <c r="AJ265" s="3"/>
      <c r="AK265" s="3"/>
      <c r="AL265" s="3"/>
      <c r="AM265" s="3"/>
      <c r="AN265" s="3"/>
      <c r="AO265" s="3"/>
    </row>
    <row r="266" spans="1:41" ht="15.75" customHeight="1">
      <c r="A266" s="12"/>
      <c r="B266" s="3"/>
      <c r="C266" s="12"/>
      <c r="D266" s="3"/>
      <c r="E266" s="3"/>
      <c r="F266" s="5"/>
      <c r="G266" s="3"/>
      <c r="H266" s="3"/>
      <c r="I266" s="3"/>
      <c r="J266" s="3"/>
      <c r="K266" s="3"/>
      <c r="L266" s="3"/>
      <c r="M266" s="3"/>
      <c r="N266" s="3"/>
      <c r="O266" s="3"/>
      <c r="P266" s="3"/>
      <c r="Q266" s="3"/>
      <c r="R266" s="5"/>
      <c r="S266" s="3"/>
      <c r="T266" s="3"/>
      <c r="U266" s="3"/>
      <c r="V266" s="3"/>
      <c r="W266" s="3"/>
      <c r="X266" s="3"/>
      <c r="Y266" s="3"/>
      <c r="Z266" s="3"/>
      <c r="AA266" s="3"/>
      <c r="AB266" s="34" t="s">
        <v>1092</v>
      </c>
      <c r="AC266" s="34" t="s">
        <v>36</v>
      </c>
      <c r="AD266" s="25" t="s">
        <v>1093</v>
      </c>
      <c r="AE266" s="3"/>
      <c r="AF266" s="3"/>
      <c r="AG266" s="3"/>
      <c r="AH266" s="3"/>
      <c r="AI266" s="3"/>
      <c r="AJ266" s="3"/>
      <c r="AK266" s="3"/>
      <c r="AL266" s="3"/>
      <c r="AM266" s="3"/>
      <c r="AN266" s="3"/>
      <c r="AO266" s="3"/>
    </row>
    <row r="267" spans="1:41" ht="15.75" customHeight="1">
      <c r="A267" s="12"/>
      <c r="B267" s="3"/>
      <c r="C267" s="12"/>
      <c r="D267" s="3"/>
      <c r="E267" s="3"/>
      <c r="F267" s="5"/>
      <c r="G267" s="3"/>
      <c r="H267" s="3"/>
      <c r="I267" s="3"/>
      <c r="J267" s="3"/>
      <c r="K267" s="3"/>
      <c r="L267" s="3"/>
      <c r="M267" s="3"/>
      <c r="N267" s="3"/>
      <c r="O267" s="3"/>
      <c r="P267" s="3"/>
      <c r="Q267" s="3"/>
      <c r="R267" s="5"/>
      <c r="S267" s="3"/>
      <c r="T267" s="3"/>
      <c r="U267" s="3"/>
      <c r="V267" s="3"/>
      <c r="W267" s="3"/>
      <c r="X267" s="3"/>
      <c r="Y267" s="3"/>
      <c r="Z267" s="3"/>
      <c r="AA267" s="3"/>
      <c r="AB267" s="34" t="s">
        <v>1094</v>
      </c>
      <c r="AC267" s="34" t="s">
        <v>36</v>
      </c>
      <c r="AD267" s="180" t="s">
        <v>1095</v>
      </c>
      <c r="AE267" s="3"/>
      <c r="AF267" s="3"/>
      <c r="AG267" s="3"/>
      <c r="AH267" s="3"/>
      <c r="AI267" s="3"/>
      <c r="AJ267" s="3"/>
      <c r="AK267" s="3"/>
      <c r="AL267" s="3"/>
      <c r="AM267" s="3"/>
      <c r="AN267" s="3"/>
      <c r="AO267" s="3"/>
    </row>
    <row r="268" spans="1:41" ht="15.75" customHeight="1">
      <c r="A268" s="12"/>
      <c r="B268" s="3"/>
      <c r="C268" s="12"/>
      <c r="D268" s="3"/>
      <c r="E268" s="3"/>
      <c r="F268" s="5"/>
      <c r="G268" s="3"/>
      <c r="H268" s="3"/>
      <c r="I268" s="3"/>
      <c r="J268" s="3"/>
      <c r="K268" s="3"/>
      <c r="L268" s="3"/>
      <c r="M268" s="3"/>
      <c r="N268" s="3"/>
      <c r="O268" s="3"/>
      <c r="P268" s="3"/>
      <c r="Q268" s="3"/>
      <c r="R268" s="5"/>
      <c r="S268" s="3"/>
      <c r="T268" s="3"/>
      <c r="U268" s="3"/>
      <c r="V268" s="3"/>
      <c r="W268" s="3"/>
      <c r="X268" s="3"/>
      <c r="Y268" s="3"/>
      <c r="Z268" s="3"/>
      <c r="AA268" s="3"/>
      <c r="AB268" s="34" t="s">
        <v>1096</v>
      </c>
      <c r="AC268" s="34" t="s">
        <v>36</v>
      </c>
      <c r="AD268" s="25" t="s">
        <v>1097</v>
      </c>
      <c r="AE268" s="3"/>
      <c r="AF268" s="3"/>
      <c r="AG268" s="3"/>
      <c r="AH268" s="3"/>
      <c r="AI268" s="3"/>
      <c r="AJ268" s="3"/>
      <c r="AK268" s="3"/>
      <c r="AL268" s="3"/>
      <c r="AM268" s="3"/>
      <c r="AN268" s="3"/>
      <c r="AO268" s="3"/>
    </row>
    <row r="269" spans="1:41" ht="15.75" customHeight="1">
      <c r="A269" s="12"/>
      <c r="B269" s="3"/>
      <c r="C269" s="12"/>
      <c r="D269" s="3"/>
      <c r="E269" s="3"/>
      <c r="F269" s="5"/>
      <c r="G269" s="3"/>
      <c r="H269" s="3"/>
      <c r="I269" s="3"/>
      <c r="J269" s="3"/>
      <c r="K269" s="3"/>
      <c r="L269" s="3"/>
      <c r="M269" s="3"/>
      <c r="N269" s="3"/>
      <c r="O269" s="3"/>
      <c r="P269" s="3"/>
      <c r="Q269" s="3"/>
      <c r="R269" s="5"/>
      <c r="S269" s="3"/>
      <c r="T269" s="3"/>
      <c r="U269" s="3"/>
      <c r="V269" s="3"/>
      <c r="W269" s="3"/>
      <c r="X269" s="3"/>
      <c r="Y269" s="3"/>
      <c r="Z269" s="3"/>
      <c r="AA269" s="3"/>
      <c r="AB269" s="34" t="s">
        <v>1098</v>
      </c>
      <c r="AC269" s="34" t="s">
        <v>36</v>
      </c>
      <c r="AD269" s="25" t="s">
        <v>311</v>
      </c>
      <c r="AE269" s="3"/>
      <c r="AF269" s="3"/>
      <c r="AG269" s="3"/>
      <c r="AH269" s="3"/>
      <c r="AI269" s="3"/>
      <c r="AJ269" s="3"/>
      <c r="AK269" s="3"/>
      <c r="AL269" s="3"/>
      <c r="AM269" s="3"/>
      <c r="AN269" s="3"/>
      <c r="AO269" s="3"/>
    </row>
    <row r="270" spans="1:41" ht="15.75" customHeight="1">
      <c r="A270" s="12"/>
      <c r="B270" s="3"/>
      <c r="C270" s="12"/>
      <c r="D270" s="3"/>
      <c r="E270" s="3"/>
      <c r="F270" s="5"/>
      <c r="G270" s="3"/>
      <c r="H270" s="3"/>
      <c r="I270" s="3"/>
      <c r="J270" s="3"/>
      <c r="K270" s="3"/>
      <c r="L270" s="3"/>
      <c r="M270" s="3"/>
      <c r="N270" s="3"/>
      <c r="O270" s="3"/>
      <c r="P270" s="3"/>
      <c r="Q270" s="3"/>
      <c r="R270" s="5"/>
      <c r="S270" s="3"/>
      <c r="T270" s="3"/>
      <c r="U270" s="3"/>
      <c r="V270" s="3"/>
      <c r="W270" s="3"/>
      <c r="X270" s="3"/>
      <c r="Y270" s="3"/>
      <c r="Z270" s="3"/>
      <c r="AA270" s="3"/>
      <c r="AB270" s="34" t="s">
        <v>1099</v>
      </c>
      <c r="AC270" s="34" t="s">
        <v>36</v>
      </c>
      <c r="AD270" s="180" t="s">
        <v>1100</v>
      </c>
      <c r="AE270" s="3"/>
      <c r="AF270" s="3"/>
      <c r="AG270" s="3"/>
      <c r="AH270" s="3"/>
      <c r="AI270" s="3"/>
      <c r="AJ270" s="3"/>
      <c r="AK270" s="3"/>
      <c r="AL270" s="3"/>
      <c r="AM270" s="3"/>
      <c r="AN270" s="3"/>
      <c r="AO270" s="3"/>
    </row>
    <row r="271" spans="1:41" ht="15.75" customHeight="1">
      <c r="A271" s="12"/>
      <c r="B271" s="3"/>
      <c r="C271" s="12"/>
      <c r="D271" s="3"/>
      <c r="E271" s="3"/>
      <c r="F271" s="5"/>
      <c r="G271" s="3"/>
      <c r="H271" s="3"/>
      <c r="I271" s="3"/>
      <c r="J271" s="3"/>
      <c r="K271" s="3"/>
      <c r="L271" s="3"/>
      <c r="M271" s="3"/>
      <c r="N271" s="3"/>
      <c r="O271" s="3"/>
      <c r="P271" s="3"/>
      <c r="Q271" s="3"/>
      <c r="R271" s="5"/>
      <c r="S271" s="3"/>
      <c r="T271" s="3"/>
      <c r="U271" s="3"/>
      <c r="V271" s="3"/>
      <c r="W271" s="3"/>
      <c r="X271" s="3"/>
      <c r="Y271" s="3"/>
      <c r="Z271" s="3"/>
      <c r="AA271" s="3"/>
      <c r="AB271" s="34" t="s">
        <v>1101</v>
      </c>
      <c r="AC271" s="34" t="s">
        <v>36</v>
      </c>
      <c r="AD271" s="25" t="s">
        <v>1102</v>
      </c>
      <c r="AE271" s="3"/>
      <c r="AF271" s="3"/>
      <c r="AG271" s="3"/>
      <c r="AH271" s="3"/>
      <c r="AI271" s="3"/>
      <c r="AJ271" s="3"/>
      <c r="AK271" s="3"/>
      <c r="AL271" s="3"/>
      <c r="AM271" s="3"/>
      <c r="AN271" s="3"/>
      <c r="AO271" s="3"/>
    </row>
    <row r="272" spans="1:41" ht="15.75" customHeight="1">
      <c r="A272" s="12"/>
      <c r="B272" s="3"/>
      <c r="C272" s="12"/>
      <c r="D272" s="3"/>
      <c r="E272" s="3"/>
      <c r="F272" s="5"/>
      <c r="G272" s="3"/>
      <c r="H272" s="3"/>
      <c r="I272" s="3"/>
      <c r="J272" s="3"/>
      <c r="K272" s="3"/>
      <c r="L272" s="3"/>
      <c r="M272" s="3"/>
      <c r="N272" s="3"/>
      <c r="O272" s="3"/>
      <c r="P272" s="3"/>
      <c r="Q272" s="3"/>
      <c r="R272" s="5"/>
      <c r="S272" s="3"/>
      <c r="T272" s="3"/>
      <c r="U272" s="3"/>
      <c r="V272" s="3"/>
      <c r="W272" s="3"/>
      <c r="X272" s="3"/>
      <c r="Y272" s="3"/>
      <c r="Z272" s="3"/>
      <c r="AA272" s="3"/>
      <c r="AB272" s="34" t="s">
        <v>1103</v>
      </c>
      <c r="AC272" s="34" t="s">
        <v>36</v>
      </c>
      <c r="AD272" s="180" t="s">
        <v>1104</v>
      </c>
      <c r="AE272" s="3"/>
      <c r="AF272" s="3"/>
      <c r="AG272" s="3"/>
      <c r="AH272" s="3"/>
      <c r="AI272" s="3"/>
      <c r="AJ272" s="3"/>
      <c r="AK272" s="3"/>
      <c r="AL272" s="3"/>
      <c r="AM272" s="3"/>
      <c r="AN272" s="3"/>
      <c r="AO272" s="3"/>
    </row>
    <row r="273" spans="1:41" ht="15.75" customHeight="1">
      <c r="A273" s="12"/>
      <c r="B273" s="3"/>
      <c r="C273" s="12"/>
      <c r="D273" s="3"/>
      <c r="E273" s="3"/>
      <c r="F273" s="5"/>
      <c r="G273" s="3"/>
      <c r="H273" s="3"/>
      <c r="I273" s="3"/>
      <c r="J273" s="3"/>
      <c r="K273" s="3"/>
      <c r="L273" s="3"/>
      <c r="M273" s="3"/>
      <c r="N273" s="3"/>
      <c r="O273" s="3"/>
      <c r="P273" s="3"/>
      <c r="Q273" s="3"/>
      <c r="R273" s="5"/>
      <c r="S273" s="3"/>
      <c r="T273" s="3"/>
      <c r="U273" s="3"/>
      <c r="V273" s="3"/>
      <c r="W273" s="3"/>
      <c r="X273" s="3"/>
      <c r="Y273" s="3"/>
      <c r="Z273" s="3"/>
      <c r="AA273" s="3"/>
      <c r="AB273" s="34" t="s">
        <v>1105</v>
      </c>
      <c r="AC273" s="34" t="s">
        <v>36</v>
      </c>
      <c r="AD273" s="25" t="s">
        <v>1106</v>
      </c>
      <c r="AE273" s="3"/>
      <c r="AF273" s="3"/>
      <c r="AG273" s="3"/>
      <c r="AH273" s="3"/>
      <c r="AI273" s="3"/>
      <c r="AJ273" s="3"/>
      <c r="AK273" s="3"/>
      <c r="AL273" s="3"/>
      <c r="AM273" s="3"/>
      <c r="AN273" s="3"/>
      <c r="AO273" s="3"/>
    </row>
    <row r="274" spans="1:41" ht="15.75" customHeight="1">
      <c r="A274" s="12"/>
      <c r="B274" s="3"/>
      <c r="C274" s="12"/>
      <c r="D274" s="3"/>
      <c r="E274" s="3"/>
      <c r="F274" s="5"/>
      <c r="G274" s="3"/>
      <c r="H274" s="3"/>
      <c r="I274" s="3"/>
      <c r="J274" s="3"/>
      <c r="K274" s="3"/>
      <c r="L274" s="3"/>
      <c r="M274" s="3"/>
      <c r="N274" s="3"/>
      <c r="O274" s="3"/>
      <c r="P274" s="3"/>
      <c r="Q274" s="3"/>
      <c r="R274" s="5"/>
      <c r="S274" s="3"/>
      <c r="T274" s="3"/>
      <c r="U274" s="3"/>
      <c r="V274" s="3"/>
      <c r="W274" s="3"/>
      <c r="X274" s="3"/>
      <c r="Y274" s="3"/>
      <c r="Z274" s="3"/>
      <c r="AA274" s="3"/>
      <c r="AB274" s="34" t="s">
        <v>1107</v>
      </c>
      <c r="AC274" s="34" t="s">
        <v>36</v>
      </c>
      <c r="AD274" s="25" t="s">
        <v>1108</v>
      </c>
      <c r="AE274" s="3"/>
      <c r="AF274" s="3"/>
      <c r="AG274" s="3"/>
      <c r="AH274" s="3"/>
      <c r="AI274" s="3"/>
      <c r="AJ274" s="3"/>
      <c r="AK274" s="3"/>
      <c r="AL274" s="3"/>
      <c r="AM274" s="3"/>
      <c r="AN274" s="3"/>
      <c r="AO274" s="3"/>
    </row>
    <row r="275" spans="1:41" ht="15.75" customHeight="1">
      <c r="A275" s="12"/>
      <c r="B275" s="3"/>
      <c r="C275" s="12"/>
      <c r="D275" s="3"/>
      <c r="E275" s="3"/>
      <c r="F275" s="5"/>
      <c r="G275" s="3"/>
      <c r="H275" s="3"/>
      <c r="I275" s="3"/>
      <c r="J275" s="3"/>
      <c r="K275" s="3"/>
      <c r="L275" s="3"/>
      <c r="M275" s="3"/>
      <c r="N275" s="3"/>
      <c r="O275" s="3"/>
      <c r="P275" s="3"/>
      <c r="Q275" s="3"/>
      <c r="R275" s="5"/>
      <c r="S275" s="3"/>
      <c r="T275" s="3"/>
      <c r="U275" s="3"/>
      <c r="V275" s="3"/>
      <c r="W275" s="3"/>
      <c r="X275" s="3"/>
      <c r="Y275" s="3"/>
      <c r="Z275" s="3"/>
      <c r="AA275" s="3"/>
      <c r="AB275" s="34" t="s">
        <v>1109</v>
      </c>
      <c r="AC275" s="34" t="s">
        <v>36</v>
      </c>
      <c r="AD275" s="180" t="s">
        <v>1110</v>
      </c>
      <c r="AE275" s="3"/>
      <c r="AF275" s="3"/>
      <c r="AG275" s="3"/>
      <c r="AH275" s="3"/>
      <c r="AI275" s="3"/>
      <c r="AJ275" s="3"/>
      <c r="AK275" s="3"/>
      <c r="AL275" s="3"/>
      <c r="AM275" s="3"/>
      <c r="AN275" s="3"/>
      <c r="AO275" s="3"/>
    </row>
    <row r="276" spans="1:41" ht="15.75" customHeight="1">
      <c r="A276" s="12"/>
      <c r="B276" s="3"/>
      <c r="C276" s="12"/>
      <c r="D276" s="3"/>
      <c r="E276" s="3"/>
      <c r="F276" s="5"/>
      <c r="G276" s="3"/>
      <c r="H276" s="3"/>
      <c r="I276" s="3"/>
      <c r="J276" s="3"/>
      <c r="K276" s="3"/>
      <c r="L276" s="3"/>
      <c r="M276" s="3"/>
      <c r="N276" s="3"/>
      <c r="O276" s="3"/>
      <c r="P276" s="3"/>
      <c r="Q276" s="3"/>
      <c r="R276" s="5"/>
      <c r="S276" s="3"/>
      <c r="T276" s="3"/>
      <c r="U276" s="3"/>
      <c r="V276" s="3"/>
      <c r="W276" s="3"/>
      <c r="X276" s="3"/>
      <c r="Y276" s="3"/>
      <c r="Z276" s="3"/>
      <c r="AA276" s="3"/>
      <c r="AB276" s="34" t="s">
        <v>1111</v>
      </c>
      <c r="AC276" s="34" t="s">
        <v>36</v>
      </c>
      <c r="AD276" s="25" t="s">
        <v>1112</v>
      </c>
      <c r="AE276" s="3"/>
      <c r="AF276" s="3"/>
      <c r="AG276" s="3"/>
      <c r="AH276" s="3"/>
      <c r="AI276" s="3"/>
      <c r="AJ276" s="3"/>
      <c r="AK276" s="3"/>
      <c r="AL276" s="3"/>
      <c r="AM276" s="3"/>
      <c r="AN276" s="3"/>
      <c r="AO276" s="3"/>
    </row>
    <row r="277" spans="1:41" ht="15.75" customHeight="1">
      <c r="A277" s="12"/>
      <c r="B277" s="3"/>
      <c r="C277" s="12"/>
      <c r="D277" s="3"/>
      <c r="E277" s="3"/>
      <c r="F277" s="5"/>
      <c r="G277" s="3"/>
      <c r="H277" s="3"/>
      <c r="I277" s="3"/>
      <c r="J277" s="3"/>
      <c r="K277" s="3"/>
      <c r="L277" s="3"/>
      <c r="M277" s="3"/>
      <c r="N277" s="3"/>
      <c r="O277" s="3"/>
      <c r="P277" s="3"/>
      <c r="Q277" s="3"/>
      <c r="R277" s="5"/>
      <c r="S277" s="3"/>
      <c r="T277" s="3"/>
      <c r="U277" s="3"/>
      <c r="V277" s="3"/>
      <c r="W277" s="3"/>
      <c r="X277" s="3"/>
      <c r="Y277" s="3"/>
      <c r="Z277" s="3"/>
      <c r="AA277" s="3"/>
      <c r="AB277" s="34" t="s">
        <v>1113</v>
      </c>
      <c r="AC277" s="34" t="s">
        <v>36</v>
      </c>
      <c r="AD277" s="180" t="s">
        <v>1114</v>
      </c>
      <c r="AE277" s="3"/>
      <c r="AF277" s="3"/>
      <c r="AG277" s="3"/>
      <c r="AH277" s="3"/>
      <c r="AI277" s="3"/>
      <c r="AJ277" s="3"/>
      <c r="AK277" s="3"/>
      <c r="AL277" s="3"/>
      <c r="AM277" s="3"/>
      <c r="AN277" s="3"/>
      <c r="AO277" s="3"/>
    </row>
    <row r="278" spans="1:41" ht="15.75" customHeight="1">
      <c r="A278" s="12"/>
      <c r="B278" s="3"/>
      <c r="C278" s="12"/>
      <c r="D278" s="3"/>
      <c r="E278" s="3"/>
      <c r="F278" s="5"/>
      <c r="G278" s="3"/>
      <c r="H278" s="3"/>
      <c r="I278" s="3"/>
      <c r="J278" s="3"/>
      <c r="K278" s="3"/>
      <c r="L278" s="3"/>
      <c r="M278" s="3"/>
      <c r="N278" s="3"/>
      <c r="O278" s="3"/>
      <c r="P278" s="3"/>
      <c r="Q278" s="3"/>
      <c r="R278" s="5"/>
      <c r="S278" s="3"/>
      <c r="T278" s="3"/>
      <c r="U278" s="3"/>
      <c r="V278" s="3"/>
      <c r="W278" s="3"/>
      <c r="X278" s="3"/>
      <c r="Y278" s="3"/>
      <c r="Z278" s="3"/>
      <c r="AA278" s="3"/>
      <c r="AB278" s="34" t="s">
        <v>1115</v>
      </c>
      <c r="AC278" s="34" t="s">
        <v>36</v>
      </c>
      <c r="AD278" s="25" t="s">
        <v>1116</v>
      </c>
      <c r="AE278" s="3"/>
      <c r="AF278" s="3"/>
      <c r="AG278" s="3"/>
      <c r="AH278" s="3"/>
      <c r="AI278" s="3"/>
      <c r="AJ278" s="3"/>
      <c r="AK278" s="3"/>
      <c r="AL278" s="3"/>
      <c r="AM278" s="3"/>
      <c r="AN278" s="3"/>
      <c r="AO278" s="3"/>
    </row>
    <row r="279" spans="1:41" ht="15.75" customHeight="1">
      <c r="A279" s="12"/>
      <c r="B279" s="3"/>
      <c r="C279" s="12"/>
      <c r="D279" s="3"/>
      <c r="E279" s="3"/>
      <c r="F279" s="5"/>
      <c r="G279" s="3"/>
      <c r="H279" s="3"/>
      <c r="I279" s="3"/>
      <c r="J279" s="3"/>
      <c r="K279" s="3"/>
      <c r="L279" s="3"/>
      <c r="M279" s="3"/>
      <c r="N279" s="3"/>
      <c r="O279" s="3"/>
      <c r="P279" s="3"/>
      <c r="Q279" s="3"/>
      <c r="R279" s="5"/>
      <c r="S279" s="3"/>
      <c r="T279" s="3"/>
      <c r="U279" s="3"/>
      <c r="V279" s="3"/>
      <c r="W279" s="3"/>
      <c r="X279" s="3"/>
      <c r="Y279" s="3"/>
      <c r="Z279" s="3"/>
      <c r="AA279" s="3"/>
      <c r="AB279" s="34" t="s">
        <v>1117</v>
      </c>
      <c r="AC279" s="34" t="s">
        <v>36</v>
      </c>
      <c r="AD279" s="25" t="s">
        <v>1118</v>
      </c>
      <c r="AE279" s="3"/>
      <c r="AF279" s="3"/>
      <c r="AG279" s="3"/>
      <c r="AH279" s="3"/>
      <c r="AI279" s="3"/>
      <c r="AJ279" s="3"/>
      <c r="AK279" s="3"/>
      <c r="AL279" s="3"/>
      <c r="AM279" s="3"/>
      <c r="AN279" s="3"/>
      <c r="AO279" s="3"/>
    </row>
    <row r="280" spans="1:41" ht="15.75" customHeight="1">
      <c r="A280" s="12"/>
      <c r="B280" s="3"/>
      <c r="C280" s="12"/>
      <c r="D280" s="3"/>
      <c r="E280" s="3"/>
      <c r="F280" s="5"/>
      <c r="G280" s="3"/>
      <c r="H280" s="3"/>
      <c r="I280" s="3"/>
      <c r="J280" s="3"/>
      <c r="K280" s="3"/>
      <c r="L280" s="3"/>
      <c r="M280" s="3"/>
      <c r="N280" s="3"/>
      <c r="O280" s="3"/>
      <c r="P280" s="3"/>
      <c r="Q280" s="3"/>
      <c r="R280" s="5"/>
      <c r="S280" s="3"/>
      <c r="T280" s="3"/>
      <c r="U280" s="3"/>
      <c r="V280" s="3"/>
      <c r="W280" s="3"/>
      <c r="X280" s="3"/>
      <c r="Y280" s="3"/>
      <c r="Z280" s="3"/>
      <c r="AA280" s="3"/>
      <c r="AB280" s="34" t="s">
        <v>1119</v>
      </c>
      <c r="AC280" s="34" t="s">
        <v>36</v>
      </c>
      <c r="AD280" s="25" t="s">
        <v>1120</v>
      </c>
      <c r="AE280" s="3"/>
      <c r="AF280" s="3"/>
      <c r="AG280" s="3"/>
      <c r="AH280" s="3"/>
      <c r="AI280" s="3"/>
      <c r="AJ280" s="3"/>
      <c r="AK280" s="3"/>
      <c r="AL280" s="3"/>
      <c r="AM280" s="3"/>
      <c r="AN280" s="3"/>
      <c r="AO280" s="3"/>
    </row>
    <row r="281" spans="1:41" ht="15.75" customHeight="1">
      <c r="A281" s="12"/>
      <c r="B281" s="3"/>
      <c r="C281" s="12"/>
      <c r="D281" s="3"/>
      <c r="E281" s="3"/>
      <c r="F281" s="5"/>
      <c r="G281" s="3"/>
      <c r="H281" s="3"/>
      <c r="I281" s="3"/>
      <c r="J281" s="3"/>
      <c r="K281" s="3"/>
      <c r="L281" s="3"/>
      <c r="M281" s="3"/>
      <c r="N281" s="3"/>
      <c r="O281" s="3"/>
      <c r="P281" s="3"/>
      <c r="Q281" s="3"/>
      <c r="R281" s="5"/>
      <c r="S281" s="3"/>
      <c r="T281" s="3"/>
      <c r="U281" s="3"/>
      <c r="V281" s="3"/>
      <c r="W281" s="3"/>
      <c r="X281" s="3"/>
      <c r="Y281" s="3"/>
      <c r="Z281" s="3"/>
      <c r="AA281" s="3"/>
      <c r="AB281" s="34" t="s">
        <v>1121</v>
      </c>
      <c r="AC281" s="34" t="s">
        <v>36</v>
      </c>
      <c r="AD281" s="25" t="s">
        <v>1122</v>
      </c>
      <c r="AE281" s="3"/>
      <c r="AF281" s="3"/>
      <c r="AG281" s="3"/>
      <c r="AH281" s="3"/>
      <c r="AI281" s="3"/>
      <c r="AJ281" s="3"/>
      <c r="AK281" s="3"/>
      <c r="AL281" s="3"/>
      <c r="AM281" s="3"/>
      <c r="AN281" s="3"/>
      <c r="AO281" s="3"/>
    </row>
    <row r="282" spans="1:41" ht="15.75" customHeight="1">
      <c r="A282" s="12"/>
      <c r="B282" s="3"/>
      <c r="C282" s="12"/>
      <c r="D282" s="3"/>
      <c r="E282" s="3"/>
      <c r="F282" s="5"/>
      <c r="G282" s="3"/>
      <c r="H282" s="3"/>
      <c r="I282" s="3"/>
      <c r="J282" s="3"/>
      <c r="K282" s="3"/>
      <c r="L282" s="3"/>
      <c r="M282" s="3"/>
      <c r="N282" s="3"/>
      <c r="O282" s="3"/>
      <c r="P282" s="3"/>
      <c r="Q282" s="3"/>
      <c r="R282" s="5"/>
      <c r="S282" s="3"/>
      <c r="T282" s="3"/>
      <c r="U282" s="3"/>
      <c r="V282" s="3"/>
      <c r="W282" s="3"/>
      <c r="X282" s="3"/>
      <c r="Y282" s="3"/>
      <c r="Z282" s="3"/>
      <c r="AA282" s="3"/>
      <c r="AB282" s="34" t="s">
        <v>1123</v>
      </c>
      <c r="AC282" s="34" t="s">
        <v>36</v>
      </c>
      <c r="AD282" s="25" t="s">
        <v>1124</v>
      </c>
      <c r="AE282" s="3"/>
      <c r="AF282" s="3"/>
      <c r="AG282" s="3"/>
      <c r="AH282" s="3"/>
      <c r="AI282" s="3"/>
      <c r="AJ282" s="3"/>
      <c r="AK282" s="3"/>
      <c r="AL282" s="3"/>
      <c r="AM282" s="3"/>
      <c r="AN282" s="3"/>
      <c r="AO282" s="3"/>
    </row>
    <row r="283" spans="1:41" ht="15.75" customHeight="1">
      <c r="A283" s="12"/>
      <c r="B283" s="3"/>
      <c r="C283" s="12"/>
      <c r="D283" s="3"/>
      <c r="E283" s="3"/>
      <c r="F283" s="5"/>
      <c r="G283" s="3"/>
      <c r="H283" s="3"/>
      <c r="I283" s="3"/>
      <c r="J283" s="3"/>
      <c r="K283" s="3"/>
      <c r="L283" s="3"/>
      <c r="M283" s="3"/>
      <c r="N283" s="3"/>
      <c r="O283" s="3"/>
      <c r="P283" s="3"/>
      <c r="Q283" s="3"/>
      <c r="R283" s="5"/>
      <c r="S283" s="3"/>
      <c r="T283" s="3"/>
      <c r="U283" s="3"/>
      <c r="V283" s="3"/>
      <c r="W283" s="3"/>
      <c r="X283" s="3"/>
      <c r="Y283" s="3"/>
      <c r="Z283" s="3"/>
      <c r="AA283" s="3"/>
      <c r="AB283" s="34" t="s">
        <v>1125</v>
      </c>
      <c r="AC283" s="34" t="s">
        <v>36</v>
      </c>
      <c r="AD283" s="25" t="s">
        <v>1126</v>
      </c>
      <c r="AE283" s="3"/>
      <c r="AF283" s="3"/>
      <c r="AG283" s="3"/>
      <c r="AH283" s="3"/>
      <c r="AI283" s="3"/>
      <c r="AJ283" s="3"/>
      <c r="AK283" s="3"/>
      <c r="AL283" s="3"/>
      <c r="AM283" s="3"/>
      <c r="AN283" s="3"/>
      <c r="AO283" s="3"/>
    </row>
    <row r="284" spans="1:41" ht="15.75" customHeight="1">
      <c r="A284" s="12"/>
      <c r="B284" s="3"/>
      <c r="C284" s="12"/>
      <c r="D284" s="3"/>
      <c r="E284" s="3"/>
      <c r="F284" s="5"/>
      <c r="G284" s="3"/>
      <c r="H284" s="3"/>
      <c r="I284" s="3"/>
      <c r="J284" s="3"/>
      <c r="K284" s="3"/>
      <c r="L284" s="3"/>
      <c r="M284" s="3"/>
      <c r="N284" s="3"/>
      <c r="O284" s="3"/>
      <c r="P284" s="3"/>
      <c r="Q284" s="3"/>
      <c r="R284" s="5"/>
      <c r="S284" s="3"/>
      <c r="T284" s="3"/>
      <c r="U284" s="3"/>
      <c r="V284" s="3"/>
      <c r="W284" s="3"/>
      <c r="X284" s="3"/>
      <c r="Y284" s="3"/>
      <c r="Z284" s="3"/>
      <c r="AA284" s="3"/>
      <c r="AB284" s="34" t="s">
        <v>1127</v>
      </c>
      <c r="AC284" s="34" t="s">
        <v>36</v>
      </c>
      <c r="AD284" s="25" t="s">
        <v>1128</v>
      </c>
      <c r="AE284" s="3"/>
      <c r="AF284" s="3"/>
      <c r="AG284" s="3"/>
      <c r="AH284" s="3"/>
      <c r="AI284" s="3"/>
      <c r="AJ284" s="3"/>
      <c r="AK284" s="3"/>
      <c r="AL284" s="3"/>
      <c r="AM284" s="3"/>
      <c r="AN284" s="3"/>
      <c r="AO284" s="3"/>
    </row>
    <row r="285" spans="1:41" ht="15.75" customHeight="1">
      <c r="A285" s="12"/>
      <c r="B285" s="3"/>
      <c r="C285" s="12"/>
      <c r="D285" s="3"/>
      <c r="E285" s="3"/>
      <c r="F285" s="5"/>
      <c r="G285" s="3"/>
      <c r="H285" s="3"/>
      <c r="I285" s="3"/>
      <c r="J285" s="3"/>
      <c r="K285" s="3"/>
      <c r="L285" s="3"/>
      <c r="M285" s="3"/>
      <c r="N285" s="3"/>
      <c r="O285" s="3"/>
      <c r="P285" s="3"/>
      <c r="Q285" s="3"/>
      <c r="R285" s="5"/>
      <c r="S285" s="3"/>
      <c r="T285" s="3"/>
      <c r="U285" s="3"/>
      <c r="V285" s="3"/>
      <c r="W285" s="3"/>
      <c r="X285" s="3"/>
      <c r="Y285" s="3"/>
      <c r="Z285" s="3"/>
      <c r="AA285" s="3"/>
      <c r="AB285" s="34" t="s">
        <v>1129</v>
      </c>
      <c r="AC285" s="34" t="s">
        <v>36</v>
      </c>
      <c r="AD285" s="25" t="s">
        <v>1130</v>
      </c>
      <c r="AE285" s="3"/>
      <c r="AF285" s="3"/>
      <c r="AG285" s="3"/>
      <c r="AH285" s="3"/>
      <c r="AI285" s="3"/>
      <c r="AJ285" s="3"/>
      <c r="AK285" s="3"/>
      <c r="AL285" s="3"/>
      <c r="AM285" s="3"/>
      <c r="AN285" s="3"/>
      <c r="AO285" s="3"/>
    </row>
    <row r="286" spans="1:41" ht="15.75" customHeight="1">
      <c r="A286" s="12"/>
      <c r="B286" s="3"/>
      <c r="C286" s="12"/>
      <c r="D286" s="3"/>
      <c r="E286" s="3"/>
      <c r="F286" s="5"/>
      <c r="G286" s="3"/>
      <c r="H286" s="3"/>
      <c r="I286" s="3"/>
      <c r="J286" s="3"/>
      <c r="K286" s="3"/>
      <c r="L286" s="3"/>
      <c r="M286" s="3"/>
      <c r="N286" s="3"/>
      <c r="O286" s="3"/>
      <c r="P286" s="3"/>
      <c r="Q286" s="3"/>
      <c r="R286" s="5"/>
      <c r="S286" s="3"/>
      <c r="T286" s="3"/>
      <c r="U286" s="3"/>
      <c r="V286" s="3"/>
      <c r="W286" s="3"/>
      <c r="X286" s="3"/>
      <c r="Y286" s="3"/>
      <c r="Z286" s="3"/>
      <c r="AA286" s="3"/>
      <c r="AB286" s="34" t="s">
        <v>1131</v>
      </c>
      <c r="AC286" s="34" t="s">
        <v>36</v>
      </c>
      <c r="AD286" s="25" t="s">
        <v>1132</v>
      </c>
      <c r="AE286" s="3"/>
      <c r="AF286" s="3"/>
      <c r="AG286" s="3"/>
      <c r="AH286" s="3"/>
      <c r="AI286" s="3"/>
      <c r="AJ286" s="3"/>
      <c r="AK286" s="3"/>
      <c r="AL286" s="3"/>
      <c r="AM286" s="3"/>
      <c r="AN286" s="3"/>
      <c r="AO286" s="3"/>
    </row>
    <row r="287" spans="1:41" ht="15.75" customHeight="1">
      <c r="A287" s="12"/>
      <c r="B287" s="3"/>
      <c r="C287" s="12"/>
      <c r="D287" s="3"/>
      <c r="E287" s="3"/>
      <c r="F287" s="5"/>
      <c r="G287" s="3"/>
      <c r="H287" s="3"/>
      <c r="I287" s="3"/>
      <c r="J287" s="3"/>
      <c r="K287" s="3"/>
      <c r="L287" s="3"/>
      <c r="M287" s="3"/>
      <c r="N287" s="3"/>
      <c r="O287" s="3"/>
      <c r="P287" s="3"/>
      <c r="Q287" s="3"/>
      <c r="R287" s="5"/>
      <c r="S287" s="3"/>
      <c r="T287" s="3"/>
      <c r="U287" s="3"/>
      <c r="V287" s="3"/>
      <c r="W287" s="3"/>
      <c r="X287" s="3"/>
      <c r="Y287" s="3"/>
      <c r="Z287" s="3"/>
      <c r="AA287" s="3"/>
      <c r="AB287" s="34" t="s">
        <v>1133</v>
      </c>
      <c r="AC287" s="34" t="s">
        <v>36</v>
      </c>
      <c r="AD287" s="180" t="s">
        <v>1134</v>
      </c>
      <c r="AE287" s="3"/>
      <c r="AF287" s="3"/>
      <c r="AG287" s="3"/>
      <c r="AH287" s="3"/>
      <c r="AI287" s="3"/>
      <c r="AJ287" s="3"/>
      <c r="AK287" s="3"/>
      <c r="AL287" s="3"/>
      <c r="AM287" s="3"/>
      <c r="AN287" s="3"/>
      <c r="AO287" s="3"/>
    </row>
    <row r="288" spans="1:41" ht="15.75" customHeight="1">
      <c r="A288" s="12"/>
      <c r="B288" s="3"/>
      <c r="C288" s="12"/>
      <c r="D288" s="3"/>
      <c r="E288" s="3"/>
      <c r="F288" s="5"/>
      <c r="G288" s="3"/>
      <c r="H288" s="3"/>
      <c r="I288" s="3"/>
      <c r="J288" s="3"/>
      <c r="K288" s="3"/>
      <c r="L288" s="3"/>
      <c r="M288" s="3"/>
      <c r="N288" s="3"/>
      <c r="O288" s="3"/>
      <c r="P288" s="3"/>
      <c r="Q288" s="3"/>
      <c r="R288" s="5"/>
      <c r="S288" s="3"/>
      <c r="T288" s="3"/>
      <c r="U288" s="3"/>
      <c r="V288" s="3"/>
      <c r="W288" s="3"/>
      <c r="X288" s="3"/>
      <c r="Y288" s="3"/>
      <c r="Z288" s="3"/>
      <c r="AA288" s="3"/>
      <c r="AB288" s="34" t="s">
        <v>1135</v>
      </c>
      <c r="AC288" s="34" t="s">
        <v>36</v>
      </c>
      <c r="AD288" s="25" t="s">
        <v>1136</v>
      </c>
      <c r="AE288" s="3"/>
      <c r="AF288" s="3"/>
      <c r="AG288" s="3"/>
      <c r="AH288" s="3"/>
      <c r="AI288" s="3"/>
      <c r="AJ288" s="3"/>
      <c r="AK288" s="3"/>
      <c r="AL288" s="3"/>
      <c r="AM288" s="3"/>
      <c r="AN288" s="3"/>
      <c r="AO288" s="3"/>
    </row>
    <row r="289" spans="1:41" ht="15.75" customHeight="1">
      <c r="A289" s="12"/>
      <c r="B289" s="3"/>
      <c r="C289" s="12"/>
      <c r="D289" s="3"/>
      <c r="E289" s="3"/>
      <c r="F289" s="5"/>
      <c r="G289" s="3"/>
      <c r="H289" s="3"/>
      <c r="I289" s="3"/>
      <c r="J289" s="3"/>
      <c r="K289" s="3"/>
      <c r="L289" s="3"/>
      <c r="M289" s="3"/>
      <c r="N289" s="3"/>
      <c r="O289" s="3"/>
      <c r="P289" s="3"/>
      <c r="Q289" s="3"/>
      <c r="R289" s="5"/>
      <c r="S289" s="3"/>
      <c r="T289" s="3"/>
      <c r="U289" s="3"/>
      <c r="V289" s="3"/>
      <c r="W289" s="3"/>
      <c r="X289" s="3"/>
      <c r="Y289" s="3"/>
      <c r="Z289" s="3"/>
      <c r="AA289" s="3"/>
      <c r="AB289" s="34" t="s">
        <v>1137</v>
      </c>
      <c r="AC289" s="34" t="s">
        <v>36</v>
      </c>
      <c r="AD289" s="180" t="s">
        <v>1138</v>
      </c>
      <c r="AE289" s="3"/>
      <c r="AF289" s="3"/>
      <c r="AG289" s="3"/>
      <c r="AH289" s="3"/>
      <c r="AI289" s="3"/>
      <c r="AJ289" s="3"/>
      <c r="AK289" s="3"/>
      <c r="AL289" s="3"/>
      <c r="AM289" s="3"/>
      <c r="AN289" s="3"/>
      <c r="AO289" s="3"/>
    </row>
    <row r="290" spans="1:41" ht="15.75" customHeight="1">
      <c r="A290" s="12"/>
      <c r="B290" s="3"/>
      <c r="C290" s="12"/>
      <c r="D290" s="3"/>
      <c r="E290" s="3"/>
      <c r="F290" s="5"/>
      <c r="G290" s="3"/>
      <c r="H290" s="3"/>
      <c r="I290" s="3"/>
      <c r="J290" s="3"/>
      <c r="K290" s="3"/>
      <c r="L290" s="3"/>
      <c r="M290" s="3"/>
      <c r="N290" s="3"/>
      <c r="O290" s="3"/>
      <c r="P290" s="3"/>
      <c r="Q290" s="3"/>
      <c r="R290" s="5"/>
      <c r="S290" s="3"/>
      <c r="T290" s="3"/>
      <c r="U290" s="3"/>
      <c r="V290" s="3"/>
      <c r="W290" s="3"/>
      <c r="X290" s="3"/>
      <c r="Y290" s="3"/>
      <c r="Z290" s="3"/>
      <c r="AA290" s="3"/>
      <c r="AB290" s="34" t="s">
        <v>1139</v>
      </c>
      <c r="AC290" s="34" t="s">
        <v>36</v>
      </c>
      <c r="AD290" s="25" t="s">
        <v>1140</v>
      </c>
      <c r="AE290" s="3"/>
      <c r="AF290" s="3"/>
      <c r="AG290" s="3"/>
      <c r="AH290" s="3"/>
      <c r="AI290" s="3"/>
      <c r="AJ290" s="3"/>
      <c r="AK290" s="3"/>
      <c r="AL290" s="3"/>
      <c r="AM290" s="3"/>
      <c r="AN290" s="3"/>
      <c r="AO290" s="3"/>
    </row>
    <row r="291" spans="1:41" ht="15.75" customHeight="1">
      <c r="A291" s="12"/>
      <c r="B291" s="3"/>
      <c r="C291" s="12"/>
      <c r="D291" s="3"/>
      <c r="E291" s="3"/>
      <c r="F291" s="5"/>
      <c r="G291" s="3"/>
      <c r="H291" s="3"/>
      <c r="I291" s="3"/>
      <c r="J291" s="3"/>
      <c r="K291" s="3"/>
      <c r="L291" s="3"/>
      <c r="M291" s="3"/>
      <c r="N291" s="3"/>
      <c r="O291" s="3"/>
      <c r="P291" s="3"/>
      <c r="Q291" s="3"/>
      <c r="R291" s="5"/>
      <c r="S291" s="3"/>
      <c r="T291" s="3"/>
      <c r="U291" s="3"/>
      <c r="V291" s="3"/>
      <c r="W291" s="3"/>
      <c r="X291" s="3"/>
      <c r="Y291" s="3"/>
      <c r="Z291" s="3"/>
      <c r="AA291" s="3"/>
      <c r="AB291" s="34" t="s">
        <v>1141</v>
      </c>
      <c r="AC291" s="34" t="s">
        <v>36</v>
      </c>
      <c r="AD291" s="25" t="s">
        <v>1142</v>
      </c>
      <c r="AE291" s="3"/>
      <c r="AF291" s="3"/>
      <c r="AG291" s="3"/>
      <c r="AH291" s="3"/>
      <c r="AI291" s="3"/>
      <c r="AJ291" s="3"/>
      <c r="AK291" s="3"/>
      <c r="AL291" s="3"/>
      <c r="AM291" s="3"/>
      <c r="AN291" s="3"/>
      <c r="AO291" s="3"/>
    </row>
    <row r="292" spans="1:41" ht="15.75" customHeight="1">
      <c r="A292" s="12"/>
      <c r="B292" s="3"/>
      <c r="C292" s="12"/>
      <c r="D292" s="3"/>
      <c r="E292" s="3"/>
      <c r="F292" s="5"/>
      <c r="G292" s="3"/>
      <c r="H292" s="3"/>
      <c r="I292" s="3"/>
      <c r="J292" s="3"/>
      <c r="K292" s="3"/>
      <c r="L292" s="3"/>
      <c r="M292" s="3"/>
      <c r="N292" s="3"/>
      <c r="O292" s="3"/>
      <c r="P292" s="3"/>
      <c r="Q292" s="3"/>
      <c r="R292" s="5"/>
      <c r="S292" s="3"/>
      <c r="T292" s="3"/>
      <c r="U292" s="3"/>
      <c r="V292" s="3"/>
      <c r="W292" s="3"/>
      <c r="X292" s="3"/>
      <c r="Y292" s="3"/>
      <c r="Z292" s="3"/>
      <c r="AA292" s="3"/>
      <c r="AB292" s="34" t="s">
        <v>1143</v>
      </c>
      <c r="AC292" s="34" t="s">
        <v>36</v>
      </c>
      <c r="AD292" s="25" t="s">
        <v>1144</v>
      </c>
      <c r="AE292" s="3"/>
      <c r="AF292" s="3"/>
      <c r="AG292" s="3"/>
      <c r="AH292" s="3"/>
      <c r="AI292" s="3"/>
      <c r="AJ292" s="3"/>
      <c r="AK292" s="3"/>
      <c r="AL292" s="3"/>
      <c r="AM292" s="3"/>
      <c r="AN292" s="3"/>
      <c r="AO292" s="3"/>
    </row>
    <row r="293" spans="1:41" ht="15.75" customHeight="1">
      <c r="A293" s="12"/>
      <c r="B293" s="3"/>
      <c r="C293" s="12"/>
      <c r="D293" s="3"/>
      <c r="E293" s="3"/>
      <c r="F293" s="5"/>
      <c r="G293" s="3"/>
      <c r="H293" s="3"/>
      <c r="I293" s="3"/>
      <c r="J293" s="3"/>
      <c r="K293" s="3"/>
      <c r="L293" s="3"/>
      <c r="M293" s="3"/>
      <c r="N293" s="3"/>
      <c r="O293" s="3"/>
      <c r="P293" s="3"/>
      <c r="Q293" s="3"/>
      <c r="R293" s="5"/>
      <c r="S293" s="3"/>
      <c r="T293" s="3"/>
      <c r="U293" s="3"/>
      <c r="V293" s="3"/>
      <c r="W293" s="3"/>
      <c r="X293" s="3"/>
      <c r="Y293" s="3"/>
      <c r="Z293" s="3"/>
      <c r="AA293" s="3"/>
      <c r="AB293" s="34" t="s">
        <v>1145</v>
      </c>
      <c r="AC293" s="34" t="s">
        <v>36</v>
      </c>
      <c r="AD293" s="25" t="s">
        <v>1146</v>
      </c>
      <c r="AE293" s="3"/>
      <c r="AF293" s="3"/>
      <c r="AG293" s="3"/>
      <c r="AH293" s="3"/>
      <c r="AI293" s="3"/>
      <c r="AJ293" s="3"/>
      <c r="AK293" s="3"/>
      <c r="AL293" s="3"/>
      <c r="AM293" s="3"/>
      <c r="AN293" s="3"/>
      <c r="AO293" s="3"/>
    </row>
    <row r="294" spans="1:41" ht="15.75" customHeight="1">
      <c r="A294" s="12"/>
      <c r="B294" s="3"/>
      <c r="C294" s="12"/>
      <c r="D294" s="3"/>
      <c r="E294" s="3"/>
      <c r="F294" s="5"/>
      <c r="G294" s="3"/>
      <c r="H294" s="3"/>
      <c r="I294" s="3"/>
      <c r="J294" s="3"/>
      <c r="K294" s="3"/>
      <c r="L294" s="3"/>
      <c r="M294" s="3"/>
      <c r="N294" s="3"/>
      <c r="O294" s="3"/>
      <c r="P294" s="3"/>
      <c r="Q294" s="3"/>
      <c r="R294" s="5"/>
      <c r="S294" s="3"/>
      <c r="T294" s="3"/>
      <c r="U294" s="3"/>
      <c r="V294" s="3"/>
      <c r="W294" s="3"/>
      <c r="X294" s="3"/>
      <c r="Y294" s="3"/>
      <c r="Z294" s="3"/>
      <c r="AA294" s="3"/>
      <c r="AB294" s="34" t="s">
        <v>1147</v>
      </c>
      <c r="AC294" s="19" t="s">
        <v>36</v>
      </c>
      <c r="AD294" s="25" t="s">
        <v>1148</v>
      </c>
      <c r="AE294" s="3" t="s">
        <v>1149</v>
      </c>
      <c r="AF294" s="3"/>
      <c r="AG294" s="3"/>
      <c r="AH294" s="3"/>
      <c r="AI294" s="3"/>
      <c r="AJ294" s="3"/>
      <c r="AK294" s="3"/>
      <c r="AL294" s="3"/>
      <c r="AM294" s="3"/>
      <c r="AN294" s="3"/>
      <c r="AO294" s="3"/>
    </row>
    <row r="295" spans="1:41" ht="15.75" customHeight="1">
      <c r="A295" s="12"/>
      <c r="B295" s="3"/>
      <c r="C295" s="12"/>
      <c r="D295" s="3"/>
      <c r="E295" s="3"/>
      <c r="F295" s="5"/>
      <c r="G295" s="3"/>
      <c r="H295" s="3"/>
      <c r="I295" s="3"/>
      <c r="J295" s="3"/>
      <c r="K295" s="3"/>
      <c r="L295" s="3"/>
      <c r="M295" s="3"/>
      <c r="N295" s="3"/>
      <c r="O295" s="3"/>
      <c r="P295" s="3"/>
      <c r="Q295" s="3"/>
      <c r="R295" s="5"/>
      <c r="S295" s="3"/>
      <c r="T295" s="3"/>
      <c r="U295" s="3"/>
      <c r="V295" s="3"/>
      <c r="W295" s="3"/>
      <c r="X295" s="3"/>
      <c r="Y295" s="3"/>
      <c r="Z295" s="3"/>
      <c r="AA295" s="3"/>
      <c r="AB295" s="34" t="s">
        <v>1150</v>
      </c>
      <c r="AC295" s="19" t="s">
        <v>36</v>
      </c>
      <c r="AD295" s="25" t="s">
        <v>1151</v>
      </c>
      <c r="AE295" s="3"/>
      <c r="AF295" s="3"/>
      <c r="AG295" s="3"/>
      <c r="AH295" s="3"/>
      <c r="AI295" s="3"/>
      <c r="AJ295" s="3"/>
      <c r="AK295" s="3"/>
      <c r="AL295" s="3"/>
      <c r="AM295" s="3"/>
      <c r="AN295" s="3"/>
      <c r="AO295" s="3"/>
    </row>
    <row r="296" spans="1:41" ht="15.75" customHeight="1">
      <c r="A296" s="12"/>
      <c r="B296" s="3"/>
      <c r="C296" s="12"/>
      <c r="D296" s="3"/>
      <c r="E296" s="3"/>
      <c r="F296" s="5"/>
      <c r="G296" s="3"/>
      <c r="H296" s="3"/>
      <c r="I296" s="3"/>
      <c r="J296" s="3"/>
      <c r="K296" s="3"/>
      <c r="L296" s="3"/>
      <c r="M296" s="3"/>
      <c r="N296" s="3"/>
      <c r="O296" s="3"/>
      <c r="P296" s="3"/>
      <c r="Q296" s="3"/>
      <c r="R296" s="5"/>
      <c r="S296" s="3"/>
      <c r="T296" s="3"/>
      <c r="U296" s="3"/>
      <c r="V296" s="3"/>
      <c r="W296" s="3"/>
      <c r="X296" s="3"/>
      <c r="Y296" s="3"/>
      <c r="Z296" s="3"/>
      <c r="AA296" s="3"/>
      <c r="AB296" s="34" t="s">
        <v>1152</v>
      </c>
      <c r="AC296" s="19" t="s">
        <v>36</v>
      </c>
      <c r="AD296" s="25" t="s">
        <v>1153</v>
      </c>
      <c r="AE296" s="3"/>
      <c r="AF296" s="3"/>
      <c r="AG296" s="3"/>
      <c r="AH296" s="3"/>
      <c r="AI296" s="3"/>
      <c r="AJ296" s="3"/>
      <c r="AK296" s="3"/>
      <c r="AL296" s="3"/>
      <c r="AM296" s="3"/>
      <c r="AN296" s="3"/>
      <c r="AO296" s="3"/>
    </row>
    <row r="297" spans="1:41" ht="15.75" customHeight="1">
      <c r="A297" s="12"/>
      <c r="B297" s="3"/>
      <c r="C297" s="12"/>
      <c r="D297" s="3"/>
      <c r="E297" s="3"/>
      <c r="F297" s="5"/>
      <c r="G297" s="3"/>
      <c r="H297" s="3"/>
      <c r="I297" s="3"/>
      <c r="J297" s="3"/>
      <c r="K297" s="3"/>
      <c r="L297" s="3"/>
      <c r="M297" s="3"/>
      <c r="N297" s="3"/>
      <c r="O297" s="3"/>
      <c r="P297" s="3"/>
      <c r="Q297" s="3"/>
      <c r="R297" s="5"/>
      <c r="S297" s="3"/>
      <c r="T297" s="3"/>
      <c r="U297" s="3"/>
      <c r="V297" s="3"/>
      <c r="W297" s="3"/>
      <c r="X297" s="3"/>
      <c r="Y297" s="3"/>
      <c r="Z297" s="3"/>
      <c r="AA297" s="3"/>
      <c r="AB297" s="34" t="s">
        <v>1154</v>
      </c>
      <c r="AC297" s="19" t="s">
        <v>36</v>
      </c>
      <c r="AD297" s="25" t="s">
        <v>1155</v>
      </c>
      <c r="AE297" s="3"/>
      <c r="AF297" s="3"/>
      <c r="AG297" s="3"/>
      <c r="AH297" s="3"/>
      <c r="AI297" s="3"/>
      <c r="AJ297" s="3"/>
      <c r="AK297" s="3"/>
      <c r="AL297" s="3"/>
      <c r="AM297" s="3"/>
      <c r="AN297" s="3"/>
      <c r="AO297" s="3"/>
    </row>
    <row r="298" spans="1:41" ht="15.75" customHeight="1">
      <c r="A298" s="12"/>
      <c r="B298" s="3"/>
      <c r="C298" s="12"/>
      <c r="D298" s="3"/>
      <c r="E298" s="3"/>
      <c r="F298" s="5"/>
      <c r="G298" s="3"/>
      <c r="H298" s="3"/>
      <c r="I298" s="3"/>
      <c r="J298" s="3"/>
      <c r="K298" s="3"/>
      <c r="L298" s="3"/>
      <c r="M298" s="3"/>
      <c r="N298" s="3"/>
      <c r="O298" s="3"/>
      <c r="P298" s="3"/>
      <c r="Q298" s="3"/>
      <c r="R298" s="5"/>
      <c r="S298" s="3"/>
      <c r="T298" s="3"/>
      <c r="U298" s="3"/>
      <c r="V298" s="3"/>
      <c r="W298" s="3"/>
      <c r="X298" s="3"/>
      <c r="Y298" s="3"/>
      <c r="Z298" s="3"/>
      <c r="AA298" s="3"/>
      <c r="AB298" s="34" t="s">
        <v>1156</v>
      </c>
      <c r="AC298" s="19" t="s">
        <v>36</v>
      </c>
      <c r="AD298" s="25" t="s">
        <v>1157</v>
      </c>
      <c r="AE298" s="3"/>
      <c r="AF298" s="3"/>
      <c r="AG298" s="3"/>
      <c r="AH298" s="3"/>
      <c r="AI298" s="3"/>
      <c r="AJ298" s="3"/>
      <c r="AK298" s="3"/>
      <c r="AL298" s="3"/>
      <c r="AM298" s="3"/>
      <c r="AN298" s="3"/>
      <c r="AO298" s="3"/>
    </row>
    <row r="299" spans="1:41" ht="15.75" customHeight="1">
      <c r="A299" s="12"/>
      <c r="B299" s="3"/>
      <c r="C299" s="12"/>
      <c r="D299" s="3"/>
      <c r="E299" s="3"/>
      <c r="F299" s="5"/>
      <c r="G299" s="3"/>
      <c r="H299" s="3"/>
      <c r="I299" s="3"/>
      <c r="J299" s="3"/>
      <c r="K299" s="3"/>
      <c r="L299" s="3"/>
      <c r="M299" s="3"/>
      <c r="N299" s="3"/>
      <c r="O299" s="3"/>
      <c r="P299" s="3"/>
      <c r="Q299" s="3"/>
      <c r="R299" s="5"/>
      <c r="S299" s="3"/>
      <c r="T299" s="3"/>
      <c r="U299" s="3"/>
      <c r="V299" s="3"/>
      <c r="W299" s="3"/>
      <c r="X299" s="3"/>
      <c r="Y299" s="3"/>
      <c r="Z299" s="3"/>
      <c r="AA299" s="3"/>
      <c r="AB299" s="34" t="s">
        <v>1158</v>
      </c>
      <c r="AC299" s="19" t="s">
        <v>36</v>
      </c>
      <c r="AD299" s="25" t="s">
        <v>1159</v>
      </c>
      <c r="AE299" s="3"/>
      <c r="AF299" s="3"/>
      <c r="AG299" s="3"/>
      <c r="AH299" s="3"/>
      <c r="AI299" s="3"/>
      <c r="AJ299" s="3"/>
      <c r="AK299" s="3"/>
      <c r="AL299" s="3"/>
      <c r="AM299" s="3"/>
      <c r="AN299" s="3"/>
      <c r="AO299" s="3"/>
    </row>
    <row r="300" spans="1:41" ht="15.75" customHeight="1">
      <c r="A300" s="12"/>
      <c r="B300" s="3"/>
      <c r="C300" s="12"/>
      <c r="D300" s="3"/>
      <c r="E300" s="3"/>
      <c r="F300" s="5"/>
      <c r="G300" s="3"/>
      <c r="H300" s="3"/>
      <c r="I300" s="3"/>
      <c r="J300" s="3"/>
      <c r="K300" s="3"/>
      <c r="L300" s="3"/>
      <c r="M300" s="3"/>
      <c r="N300" s="3"/>
      <c r="O300" s="3"/>
      <c r="P300" s="3"/>
      <c r="Q300" s="3"/>
      <c r="R300" s="5"/>
      <c r="S300" s="3"/>
      <c r="T300" s="3"/>
      <c r="U300" s="3"/>
      <c r="V300" s="3"/>
      <c r="W300" s="3"/>
      <c r="X300" s="3"/>
      <c r="Y300" s="3"/>
      <c r="Z300" s="3"/>
      <c r="AA300" s="3"/>
      <c r="AB300" s="34" t="s">
        <v>1160</v>
      </c>
      <c r="AC300" s="19" t="s">
        <v>36</v>
      </c>
      <c r="AD300" s="25" t="s">
        <v>1161</v>
      </c>
      <c r="AE300" s="3"/>
      <c r="AF300" s="3"/>
      <c r="AG300" s="3"/>
      <c r="AH300" s="3"/>
      <c r="AI300" s="3"/>
      <c r="AJ300" s="3"/>
      <c r="AK300" s="3"/>
      <c r="AL300" s="3"/>
      <c r="AM300" s="3"/>
      <c r="AN300" s="3"/>
      <c r="AO300" s="3"/>
    </row>
    <row r="301" spans="1:41" ht="15.75" customHeight="1">
      <c r="A301" s="12"/>
      <c r="B301" s="3"/>
      <c r="C301" s="12"/>
      <c r="D301" s="3"/>
      <c r="E301" s="3"/>
      <c r="F301" s="5"/>
      <c r="G301" s="3"/>
      <c r="H301" s="3"/>
      <c r="I301" s="3"/>
      <c r="J301" s="3"/>
      <c r="K301" s="3"/>
      <c r="L301" s="3"/>
      <c r="M301" s="3"/>
      <c r="N301" s="3"/>
      <c r="O301" s="3"/>
      <c r="P301" s="3"/>
      <c r="Q301" s="3"/>
      <c r="R301" s="5"/>
      <c r="S301" s="3"/>
      <c r="T301" s="3"/>
      <c r="U301" s="3"/>
      <c r="V301" s="3"/>
      <c r="W301" s="3"/>
      <c r="X301" s="3"/>
      <c r="Y301" s="3"/>
      <c r="Z301" s="3"/>
      <c r="AA301" s="3"/>
      <c r="AB301" s="34" t="s">
        <v>1162</v>
      </c>
      <c r="AC301" s="19" t="s">
        <v>36</v>
      </c>
      <c r="AD301" s="25" t="s">
        <v>1163</v>
      </c>
      <c r="AE301" s="3"/>
      <c r="AF301" s="3"/>
      <c r="AG301" s="3"/>
      <c r="AH301" s="3"/>
      <c r="AI301" s="3"/>
      <c r="AJ301" s="3"/>
      <c r="AK301" s="3"/>
      <c r="AL301" s="3"/>
      <c r="AM301" s="3"/>
      <c r="AN301" s="3"/>
      <c r="AO301" s="3"/>
    </row>
    <row r="302" spans="1:41" ht="15.75" customHeight="1">
      <c r="A302" s="12"/>
      <c r="B302" s="3"/>
      <c r="C302" s="12"/>
      <c r="D302" s="3"/>
      <c r="E302" s="3"/>
      <c r="F302" s="5"/>
      <c r="G302" s="3"/>
      <c r="H302" s="3"/>
      <c r="I302" s="3"/>
      <c r="J302" s="3"/>
      <c r="K302" s="3"/>
      <c r="L302" s="3"/>
      <c r="M302" s="3"/>
      <c r="N302" s="3"/>
      <c r="O302" s="3"/>
      <c r="P302" s="3"/>
      <c r="Q302" s="3"/>
      <c r="R302" s="5"/>
      <c r="S302" s="3"/>
      <c r="T302" s="3"/>
      <c r="U302" s="3"/>
      <c r="V302" s="3"/>
      <c r="W302" s="3"/>
      <c r="X302" s="3"/>
      <c r="Y302" s="3"/>
      <c r="Z302" s="3"/>
      <c r="AA302" s="3"/>
      <c r="AB302" s="34" t="s">
        <v>1164</v>
      </c>
      <c r="AC302" s="19" t="s">
        <v>36</v>
      </c>
      <c r="AD302" s="25" t="s">
        <v>1165</v>
      </c>
      <c r="AE302" s="3"/>
      <c r="AF302" s="3"/>
      <c r="AG302" s="3"/>
      <c r="AH302" s="3"/>
      <c r="AI302" s="3"/>
      <c r="AJ302" s="3"/>
      <c r="AK302" s="3"/>
      <c r="AL302" s="3"/>
      <c r="AM302" s="3"/>
      <c r="AN302" s="3"/>
      <c r="AO302" s="3"/>
    </row>
    <row r="303" spans="1:41" ht="15.75" customHeight="1">
      <c r="A303" s="12"/>
      <c r="B303" s="3"/>
      <c r="C303" s="12"/>
      <c r="D303" s="3"/>
      <c r="E303" s="3"/>
      <c r="F303" s="5"/>
      <c r="G303" s="3"/>
      <c r="H303" s="3"/>
      <c r="I303" s="3"/>
      <c r="J303" s="3"/>
      <c r="K303" s="3"/>
      <c r="L303" s="3"/>
      <c r="M303" s="3"/>
      <c r="N303" s="3"/>
      <c r="O303" s="3"/>
      <c r="P303" s="3"/>
      <c r="Q303" s="3"/>
      <c r="R303" s="5"/>
      <c r="S303" s="3"/>
      <c r="T303" s="3"/>
      <c r="U303" s="3"/>
      <c r="V303" s="3"/>
      <c r="W303" s="3"/>
      <c r="X303" s="3"/>
      <c r="Y303" s="3"/>
      <c r="Z303" s="3"/>
      <c r="AA303" s="3"/>
      <c r="AB303" s="34" t="s">
        <v>1166</v>
      </c>
      <c r="AC303" s="19" t="s">
        <v>36</v>
      </c>
      <c r="AD303" s="25" t="s">
        <v>1167</v>
      </c>
      <c r="AE303" s="3"/>
      <c r="AF303" s="3"/>
      <c r="AG303" s="3"/>
      <c r="AH303" s="3"/>
      <c r="AI303" s="3"/>
      <c r="AJ303" s="3"/>
      <c r="AK303" s="3"/>
      <c r="AL303" s="3"/>
      <c r="AM303" s="3"/>
      <c r="AN303" s="3"/>
      <c r="AO303" s="3"/>
    </row>
    <row r="304" spans="1:41" ht="15.75" customHeight="1">
      <c r="A304" s="12"/>
      <c r="B304" s="3"/>
      <c r="C304" s="12"/>
      <c r="D304" s="3"/>
      <c r="E304" s="3"/>
      <c r="F304" s="5"/>
      <c r="G304" s="3"/>
      <c r="H304" s="3"/>
      <c r="I304" s="3"/>
      <c r="J304" s="3"/>
      <c r="K304" s="3"/>
      <c r="L304" s="3"/>
      <c r="M304" s="3"/>
      <c r="N304" s="3"/>
      <c r="O304" s="3"/>
      <c r="P304" s="3"/>
      <c r="Q304" s="3"/>
      <c r="R304" s="5"/>
      <c r="S304" s="3"/>
      <c r="T304" s="3"/>
      <c r="U304" s="3"/>
      <c r="V304" s="3"/>
      <c r="W304" s="3"/>
      <c r="X304" s="3"/>
      <c r="Y304" s="3"/>
      <c r="Z304" s="3"/>
      <c r="AA304" s="3"/>
      <c r="AB304" s="34" t="s">
        <v>1168</v>
      </c>
      <c r="AC304" s="19" t="s">
        <v>36</v>
      </c>
      <c r="AD304" s="25" t="s">
        <v>1169</v>
      </c>
      <c r="AE304" s="3"/>
      <c r="AF304" s="3"/>
      <c r="AG304" s="3"/>
      <c r="AH304" s="3"/>
      <c r="AI304" s="3"/>
      <c r="AJ304" s="3"/>
      <c r="AK304" s="3"/>
      <c r="AL304" s="3"/>
      <c r="AM304" s="3"/>
      <c r="AN304" s="3"/>
      <c r="AO304" s="3"/>
    </row>
    <row r="305" spans="1:41" ht="15.75" customHeight="1">
      <c r="A305" s="12"/>
      <c r="B305" s="3"/>
      <c r="C305" s="12"/>
      <c r="D305" s="3"/>
      <c r="E305" s="3"/>
      <c r="F305" s="5"/>
      <c r="G305" s="3"/>
      <c r="H305" s="3"/>
      <c r="I305" s="3"/>
      <c r="J305" s="3"/>
      <c r="K305" s="3"/>
      <c r="L305" s="3"/>
      <c r="M305" s="3"/>
      <c r="N305" s="3"/>
      <c r="O305" s="3"/>
      <c r="P305" s="3"/>
      <c r="Q305" s="3"/>
      <c r="R305" s="5"/>
      <c r="S305" s="3"/>
      <c r="T305" s="3"/>
      <c r="U305" s="3"/>
      <c r="V305" s="3"/>
      <c r="W305" s="3"/>
      <c r="X305" s="3"/>
      <c r="Y305" s="3"/>
      <c r="Z305" s="3"/>
      <c r="AA305" s="3"/>
      <c r="AB305" s="34" t="s">
        <v>1170</v>
      </c>
      <c r="AC305" s="19" t="s">
        <v>36</v>
      </c>
      <c r="AD305" s="25" t="s">
        <v>1171</v>
      </c>
      <c r="AE305" s="3"/>
      <c r="AF305" s="3"/>
      <c r="AG305" s="3"/>
      <c r="AH305" s="3"/>
      <c r="AI305" s="3"/>
      <c r="AJ305" s="3"/>
      <c r="AK305" s="3"/>
      <c r="AL305" s="3"/>
      <c r="AM305" s="3"/>
      <c r="AN305" s="3"/>
      <c r="AO305" s="3"/>
    </row>
    <row r="306" spans="1:41" ht="15.75" customHeight="1">
      <c r="A306" s="12"/>
      <c r="B306" s="3"/>
      <c r="C306" s="12"/>
      <c r="D306" s="3"/>
      <c r="E306" s="3"/>
      <c r="F306" s="5"/>
      <c r="G306" s="3"/>
      <c r="H306" s="3"/>
      <c r="I306" s="3"/>
      <c r="J306" s="3"/>
      <c r="K306" s="3"/>
      <c r="L306" s="3"/>
      <c r="M306" s="3"/>
      <c r="N306" s="3"/>
      <c r="O306" s="3"/>
      <c r="P306" s="3"/>
      <c r="Q306" s="3"/>
      <c r="R306" s="5"/>
      <c r="S306" s="3"/>
      <c r="T306" s="3"/>
      <c r="U306" s="3"/>
      <c r="V306" s="3"/>
      <c r="W306" s="3"/>
      <c r="X306" s="3"/>
      <c r="Y306" s="3"/>
      <c r="Z306" s="3"/>
      <c r="AA306" s="3"/>
      <c r="AB306" s="34" t="s">
        <v>1172</v>
      </c>
      <c r="AC306" s="19" t="s">
        <v>36</v>
      </c>
      <c r="AD306" s="25" t="s">
        <v>1173</v>
      </c>
      <c r="AE306" s="3"/>
      <c r="AF306" s="3"/>
      <c r="AG306" s="3"/>
      <c r="AH306" s="3"/>
      <c r="AI306" s="3"/>
      <c r="AJ306" s="3"/>
      <c r="AK306" s="3"/>
      <c r="AL306" s="3"/>
      <c r="AM306" s="3"/>
      <c r="AN306" s="3"/>
      <c r="AO306" s="3"/>
    </row>
    <row r="307" spans="1:41" ht="15.75" customHeight="1">
      <c r="A307" s="12"/>
      <c r="B307" s="3"/>
      <c r="C307" s="12"/>
      <c r="D307" s="3"/>
      <c r="E307" s="3"/>
      <c r="F307" s="5"/>
      <c r="G307" s="3"/>
      <c r="H307" s="3"/>
      <c r="I307" s="3"/>
      <c r="J307" s="3"/>
      <c r="K307" s="3"/>
      <c r="L307" s="3"/>
      <c r="M307" s="3"/>
      <c r="N307" s="3"/>
      <c r="O307" s="3"/>
      <c r="P307" s="3"/>
      <c r="Q307" s="3"/>
      <c r="R307" s="5"/>
      <c r="S307" s="3"/>
      <c r="T307" s="3"/>
      <c r="U307" s="3"/>
      <c r="V307" s="3"/>
      <c r="W307" s="3"/>
      <c r="X307" s="3"/>
      <c r="Y307" s="3"/>
      <c r="Z307" s="3"/>
      <c r="AA307" s="3"/>
      <c r="AB307" s="34" t="s">
        <v>1174</v>
      </c>
      <c r="AC307" s="19" t="s">
        <v>36</v>
      </c>
      <c r="AD307" s="25" t="s">
        <v>1175</v>
      </c>
      <c r="AE307" s="3"/>
      <c r="AF307" s="3"/>
      <c r="AG307" s="3"/>
      <c r="AH307" s="3"/>
      <c r="AI307" s="3"/>
      <c r="AJ307" s="3"/>
      <c r="AK307" s="3"/>
      <c r="AL307" s="3"/>
      <c r="AM307" s="3"/>
      <c r="AN307" s="3"/>
      <c r="AO307" s="3"/>
    </row>
    <row r="308" spans="1:41" ht="15.75" customHeight="1">
      <c r="A308" s="12"/>
      <c r="B308" s="3"/>
      <c r="C308" s="12"/>
      <c r="D308" s="3"/>
      <c r="E308" s="3"/>
      <c r="F308" s="5"/>
      <c r="G308" s="3"/>
      <c r="H308" s="3"/>
      <c r="I308" s="3"/>
      <c r="J308" s="3"/>
      <c r="K308" s="3"/>
      <c r="L308" s="3"/>
      <c r="M308" s="3"/>
      <c r="N308" s="3"/>
      <c r="O308" s="3"/>
      <c r="P308" s="3"/>
      <c r="Q308" s="3"/>
      <c r="R308" s="5"/>
      <c r="S308" s="3"/>
      <c r="T308" s="3"/>
      <c r="U308" s="3"/>
      <c r="V308" s="3"/>
      <c r="W308" s="3"/>
      <c r="X308" s="3"/>
      <c r="Y308" s="3"/>
      <c r="Z308" s="3"/>
      <c r="AA308" s="3"/>
      <c r="AB308" s="34" t="s">
        <v>1176</v>
      </c>
      <c r="AC308" s="19" t="s">
        <v>36</v>
      </c>
      <c r="AD308" s="25" t="s">
        <v>1177</v>
      </c>
      <c r="AE308" s="3"/>
      <c r="AF308" s="3"/>
      <c r="AG308" s="3"/>
      <c r="AH308" s="3"/>
      <c r="AI308" s="3"/>
      <c r="AJ308" s="3"/>
      <c r="AK308" s="3"/>
      <c r="AL308" s="3"/>
      <c r="AM308" s="3"/>
      <c r="AN308" s="3"/>
      <c r="AO308" s="3"/>
    </row>
    <row r="309" spans="1:41" ht="15.75" customHeight="1">
      <c r="A309" s="12"/>
      <c r="B309" s="3"/>
      <c r="C309" s="12"/>
      <c r="D309" s="3"/>
      <c r="E309" s="3"/>
      <c r="F309" s="5"/>
      <c r="G309" s="3"/>
      <c r="H309" s="3"/>
      <c r="I309" s="3"/>
      <c r="J309" s="3"/>
      <c r="K309" s="3"/>
      <c r="L309" s="3"/>
      <c r="M309" s="3"/>
      <c r="N309" s="3"/>
      <c r="O309" s="3"/>
      <c r="P309" s="3"/>
      <c r="Q309" s="3"/>
      <c r="R309" s="5"/>
      <c r="S309" s="3"/>
      <c r="T309" s="3"/>
      <c r="U309" s="3"/>
      <c r="V309" s="3"/>
      <c r="W309" s="3"/>
      <c r="X309" s="3"/>
      <c r="Y309" s="3"/>
      <c r="Z309" s="3"/>
      <c r="AA309" s="3"/>
      <c r="AB309" s="34" t="s">
        <v>1178</v>
      </c>
      <c r="AC309" s="19" t="s">
        <v>36</v>
      </c>
      <c r="AD309" s="25" t="s">
        <v>1179</v>
      </c>
      <c r="AE309" s="3"/>
      <c r="AF309" s="3"/>
      <c r="AG309" s="3"/>
      <c r="AH309" s="3"/>
      <c r="AI309" s="3"/>
      <c r="AJ309" s="3"/>
      <c r="AK309" s="3"/>
      <c r="AL309" s="3"/>
      <c r="AM309" s="3"/>
      <c r="AN309" s="3"/>
      <c r="AO309" s="3"/>
    </row>
    <row r="310" spans="1:41" ht="15.75" customHeight="1">
      <c r="A310" s="12"/>
      <c r="B310" s="3"/>
      <c r="C310" s="12"/>
      <c r="D310" s="3"/>
      <c r="E310" s="3"/>
      <c r="F310" s="5"/>
      <c r="G310" s="3"/>
      <c r="H310" s="3"/>
      <c r="I310" s="3"/>
      <c r="J310" s="3"/>
      <c r="K310" s="3"/>
      <c r="L310" s="3"/>
      <c r="M310" s="3"/>
      <c r="N310" s="3"/>
      <c r="O310" s="3"/>
      <c r="P310" s="3"/>
      <c r="Q310" s="3"/>
      <c r="R310" s="5"/>
      <c r="S310" s="3"/>
      <c r="T310" s="3"/>
      <c r="U310" s="3"/>
      <c r="V310" s="3"/>
      <c r="W310" s="3"/>
      <c r="X310" s="3"/>
      <c r="Y310" s="3"/>
      <c r="Z310" s="3"/>
      <c r="AA310" s="3"/>
      <c r="AB310" s="34" t="s">
        <v>1115</v>
      </c>
      <c r="AC310" s="19" t="s">
        <v>36</v>
      </c>
      <c r="AD310" s="25" t="s">
        <v>1116</v>
      </c>
      <c r="AE310" s="3"/>
      <c r="AF310" s="3"/>
      <c r="AG310" s="3"/>
      <c r="AH310" s="3"/>
      <c r="AI310" s="3"/>
      <c r="AJ310" s="3"/>
      <c r="AK310" s="3"/>
      <c r="AL310" s="3"/>
      <c r="AM310" s="3"/>
      <c r="AN310" s="3"/>
      <c r="AO310" s="3"/>
    </row>
    <row r="311" spans="1:41" ht="15.75" customHeight="1">
      <c r="A311" s="12"/>
      <c r="B311" s="3"/>
      <c r="C311" s="12"/>
      <c r="D311" s="3"/>
      <c r="E311" s="3"/>
      <c r="F311" s="5"/>
      <c r="G311" s="3"/>
      <c r="H311" s="3"/>
      <c r="I311" s="3"/>
      <c r="J311" s="3"/>
      <c r="K311" s="3"/>
      <c r="L311" s="3"/>
      <c r="M311" s="3"/>
      <c r="N311" s="3"/>
      <c r="O311" s="3"/>
      <c r="P311" s="3"/>
      <c r="Q311" s="3"/>
      <c r="R311" s="5"/>
      <c r="S311" s="3"/>
      <c r="T311" s="3"/>
      <c r="U311" s="3"/>
      <c r="V311" s="3"/>
      <c r="W311" s="3"/>
      <c r="X311" s="3"/>
      <c r="Y311" s="3"/>
      <c r="Z311" s="3"/>
      <c r="AA311" s="3"/>
      <c r="AB311" s="34" t="s">
        <v>1180</v>
      </c>
      <c r="AC311" s="19" t="s">
        <v>36</v>
      </c>
      <c r="AD311" s="25" t="s">
        <v>325</v>
      </c>
      <c r="AE311" s="3"/>
      <c r="AF311" s="3"/>
      <c r="AG311" s="3"/>
      <c r="AH311" s="3"/>
      <c r="AI311" s="3"/>
      <c r="AJ311" s="3"/>
      <c r="AK311" s="3"/>
      <c r="AL311" s="3"/>
      <c r="AM311" s="3"/>
      <c r="AN311" s="3"/>
      <c r="AO311" s="3"/>
    </row>
    <row r="312" spans="1:41" ht="15.75" customHeight="1">
      <c r="A312" s="12"/>
      <c r="B312" s="3"/>
      <c r="C312" s="12"/>
      <c r="D312" s="3"/>
      <c r="E312" s="3"/>
      <c r="F312" s="5"/>
      <c r="G312" s="3"/>
      <c r="H312" s="3"/>
      <c r="I312" s="3"/>
      <c r="J312" s="3"/>
      <c r="K312" s="3"/>
      <c r="L312" s="3"/>
      <c r="M312" s="3"/>
      <c r="N312" s="3"/>
      <c r="O312" s="3"/>
      <c r="P312" s="3"/>
      <c r="Q312" s="3"/>
      <c r="R312" s="5"/>
      <c r="S312" s="3"/>
      <c r="T312" s="3"/>
      <c r="U312" s="3"/>
      <c r="V312" s="3"/>
      <c r="W312" s="3"/>
      <c r="X312" s="3"/>
      <c r="Y312" s="3"/>
      <c r="Z312" s="3"/>
      <c r="AA312" s="3"/>
      <c r="AB312" s="34" t="s">
        <v>1181</v>
      </c>
      <c r="AC312" s="19" t="s">
        <v>36</v>
      </c>
      <c r="AD312" s="25" t="s">
        <v>1182</v>
      </c>
      <c r="AE312" s="3"/>
      <c r="AF312" s="3"/>
      <c r="AG312" s="3"/>
      <c r="AH312" s="3"/>
      <c r="AI312" s="3"/>
      <c r="AJ312" s="3"/>
      <c r="AK312" s="3"/>
      <c r="AL312" s="3"/>
      <c r="AM312" s="3"/>
      <c r="AN312" s="3"/>
      <c r="AO312" s="3"/>
    </row>
    <row r="313" spans="1:41" ht="15.75" customHeight="1">
      <c r="A313" s="12"/>
      <c r="B313" s="3"/>
      <c r="C313" s="12"/>
      <c r="D313" s="3"/>
      <c r="E313" s="3"/>
      <c r="F313" s="5"/>
      <c r="G313" s="3"/>
      <c r="H313" s="3"/>
      <c r="I313" s="3"/>
      <c r="J313" s="3"/>
      <c r="K313" s="3"/>
      <c r="L313" s="3"/>
      <c r="M313" s="3"/>
      <c r="N313" s="3"/>
      <c r="O313" s="3"/>
      <c r="P313" s="3"/>
      <c r="Q313" s="3"/>
      <c r="R313" s="5"/>
      <c r="S313" s="3"/>
      <c r="T313" s="3"/>
      <c r="U313" s="3"/>
      <c r="V313" s="3"/>
      <c r="W313" s="3"/>
      <c r="X313" s="3"/>
      <c r="Y313" s="3"/>
      <c r="Z313" s="3"/>
      <c r="AA313" s="3"/>
      <c r="AB313" s="34" t="s">
        <v>1183</v>
      </c>
      <c r="AC313" s="19" t="s">
        <v>36</v>
      </c>
      <c r="AD313" s="25" t="s">
        <v>1184</v>
      </c>
      <c r="AE313" s="3"/>
      <c r="AF313" s="3"/>
      <c r="AG313" s="3"/>
      <c r="AH313" s="3"/>
      <c r="AI313" s="3"/>
      <c r="AJ313" s="3"/>
      <c r="AK313" s="3"/>
      <c r="AL313" s="3"/>
      <c r="AM313" s="3"/>
      <c r="AN313" s="3"/>
      <c r="AO313" s="3"/>
    </row>
    <row r="314" spans="1:41" ht="15.75" customHeight="1">
      <c r="A314" s="12"/>
      <c r="B314" s="3"/>
      <c r="C314" s="12"/>
      <c r="D314" s="3"/>
      <c r="E314" s="3"/>
      <c r="F314" s="5"/>
      <c r="G314" s="3"/>
      <c r="H314" s="3"/>
      <c r="I314" s="3"/>
      <c r="J314" s="3"/>
      <c r="K314" s="3"/>
      <c r="L314" s="3"/>
      <c r="M314" s="3"/>
      <c r="N314" s="3"/>
      <c r="O314" s="3"/>
      <c r="P314" s="3"/>
      <c r="Q314" s="3"/>
      <c r="R314" s="5"/>
      <c r="S314" s="3"/>
      <c r="T314" s="3"/>
      <c r="U314" s="3"/>
      <c r="V314" s="3"/>
      <c r="W314" s="3"/>
      <c r="X314" s="3"/>
      <c r="Y314" s="3"/>
      <c r="Z314" s="3"/>
      <c r="AA314" s="3"/>
      <c r="AB314" s="34" t="s">
        <v>1185</v>
      </c>
      <c r="AC314" s="19" t="s">
        <v>36</v>
      </c>
      <c r="AD314" s="25" t="s">
        <v>1186</v>
      </c>
      <c r="AE314" s="3"/>
      <c r="AF314" s="3"/>
      <c r="AG314" s="3"/>
      <c r="AH314" s="3"/>
      <c r="AI314" s="3"/>
      <c r="AJ314" s="3"/>
      <c r="AK314" s="3"/>
      <c r="AL314" s="3"/>
      <c r="AM314" s="3"/>
      <c r="AN314" s="3"/>
      <c r="AO314" s="3"/>
    </row>
    <row r="315" spans="1:41" ht="15.75" customHeight="1">
      <c r="A315" s="12"/>
      <c r="B315" s="3"/>
      <c r="C315" s="12"/>
      <c r="D315" s="3"/>
      <c r="E315" s="3"/>
      <c r="F315" s="5"/>
      <c r="G315" s="3"/>
      <c r="H315" s="3"/>
      <c r="I315" s="3"/>
      <c r="J315" s="3"/>
      <c r="K315" s="3"/>
      <c r="L315" s="3"/>
      <c r="M315" s="3"/>
      <c r="N315" s="3"/>
      <c r="O315" s="3"/>
      <c r="P315" s="3"/>
      <c r="Q315" s="3"/>
      <c r="R315" s="5"/>
      <c r="S315" s="3"/>
      <c r="T315" s="3"/>
      <c r="U315" s="3"/>
      <c r="V315" s="3"/>
      <c r="W315" s="3"/>
      <c r="X315" s="3"/>
      <c r="Y315" s="3"/>
      <c r="Z315" s="3"/>
      <c r="AA315" s="3"/>
      <c r="AB315" s="34" t="s">
        <v>1187</v>
      </c>
      <c r="AC315" s="19" t="s">
        <v>36</v>
      </c>
      <c r="AD315" s="25" t="s">
        <v>1188</v>
      </c>
      <c r="AE315" s="3"/>
      <c r="AF315" s="3"/>
      <c r="AG315" s="3"/>
      <c r="AH315" s="3"/>
      <c r="AI315" s="3"/>
      <c r="AJ315" s="3"/>
      <c r="AK315" s="3"/>
      <c r="AL315" s="3"/>
      <c r="AM315" s="3"/>
      <c r="AN315" s="3"/>
      <c r="AO315" s="3"/>
    </row>
    <row r="316" spans="1:41" ht="15.75" customHeight="1">
      <c r="A316" s="12"/>
      <c r="B316" s="3"/>
      <c r="C316" s="12"/>
      <c r="D316" s="3"/>
      <c r="E316" s="3"/>
      <c r="F316" s="5"/>
      <c r="G316" s="3"/>
      <c r="H316" s="3"/>
      <c r="I316" s="3"/>
      <c r="J316" s="3"/>
      <c r="K316" s="3"/>
      <c r="L316" s="3"/>
      <c r="M316" s="3"/>
      <c r="N316" s="3"/>
      <c r="O316" s="3"/>
      <c r="P316" s="3"/>
      <c r="Q316" s="3"/>
      <c r="R316" s="5"/>
      <c r="S316" s="3"/>
      <c r="T316" s="3"/>
      <c r="U316" s="3"/>
      <c r="V316" s="3"/>
      <c r="W316" s="3"/>
      <c r="X316" s="3"/>
      <c r="Y316" s="3"/>
      <c r="Z316" s="3"/>
      <c r="AA316" s="3"/>
      <c r="AB316" s="34" t="s">
        <v>1189</v>
      </c>
      <c r="AC316" s="19" t="s">
        <v>36</v>
      </c>
      <c r="AD316" s="25" t="s">
        <v>1190</v>
      </c>
      <c r="AE316" s="3"/>
      <c r="AF316" s="3"/>
      <c r="AG316" s="3"/>
      <c r="AH316" s="3"/>
      <c r="AI316" s="3"/>
      <c r="AJ316" s="3"/>
      <c r="AK316" s="3"/>
      <c r="AL316" s="3"/>
      <c r="AM316" s="3"/>
      <c r="AN316" s="3"/>
      <c r="AO316" s="3"/>
    </row>
    <row r="317" spans="1:41" ht="15.75" customHeight="1">
      <c r="A317" s="12"/>
      <c r="B317" s="3"/>
      <c r="C317" s="12"/>
      <c r="D317" s="3"/>
      <c r="E317" s="3"/>
      <c r="F317" s="5"/>
      <c r="G317" s="3"/>
      <c r="H317" s="3"/>
      <c r="I317" s="3"/>
      <c r="J317" s="3"/>
      <c r="K317" s="3"/>
      <c r="L317" s="3"/>
      <c r="M317" s="3"/>
      <c r="N317" s="3"/>
      <c r="O317" s="3"/>
      <c r="P317" s="3"/>
      <c r="Q317" s="3"/>
      <c r="R317" s="5"/>
      <c r="S317" s="3"/>
      <c r="T317" s="3"/>
      <c r="U317" s="3"/>
      <c r="V317" s="3"/>
      <c r="W317" s="3"/>
      <c r="X317" s="3"/>
      <c r="Y317" s="3"/>
      <c r="Z317" s="3"/>
      <c r="AA317" s="3"/>
      <c r="AB317" s="34" t="s">
        <v>1191</v>
      </c>
      <c r="AC317" s="19" t="s">
        <v>36</v>
      </c>
      <c r="AD317" s="25" t="s">
        <v>1192</v>
      </c>
      <c r="AE317" s="3"/>
      <c r="AF317" s="3"/>
      <c r="AG317" s="3"/>
      <c r="AH317" s="3"/>
      <c r="AI317" s="3"/>
      <c r="AJ317" s="3"/>
      <c r="AK317" s="3"/>
      <c r="AL317" s="3"/>
      <c r="AM317" s="3"/>
      <c r="AN317" s="3"/>
      <c r="AO317" s="3"/>
    </row>
    <row r="318" spans="1:41" ht="15.75" customHeight="1">
      <c r="A318" s="12"/>
      <c r="B318" s="3"/>
      <c r="C318" s="12"/>
      <c r="D318" s="3"/>
      <c r="E318" s="3"/>
      <c r="F318" s="5"/>
      <c r="G318" s="3"/>
      <c r="H318" s="3"/>
      <c r="I318" s="3"/>
      <c r="J318" s="3"/>
      <c r="K318" s="3"/>
      <c r="L318" s="3"/>
      <c r="M318" s="3"/>
      <c r="N318" s="3"/>
      <c r="O318" s="3"/>
      <c r="P318" s="3"/>
      <c r="Q318" s="3"/>
      <c r="R318" s="5"/>
      <c r="S318" s="3"/>
      <c r="T318" s="3"/>
      <c r="U318" s="3"/>
      <c r="V318" s="3"/>
      <c r="W318" s="3"/>
      <c r="X318" s="3"/>
      <c r="Y318" s="3"/>
      <c r="Z318" s="3"/>
      <c r="AA318" s="3"/>
      <c r="AB318" s="34" t="s">
        <v>1193</v>
      </c>
      <c r="AC318" s="19" t="s">
        <v>36</v>
      </c>
      <c r="AD318" s="25" t="s">
        <v>1194</v>
      </c>
      <c r="AE318" s="3"/>
      <c r="AF318" s="3"/>
      <c r="AG318" s="3"/>
      <c r="AH318" s="3"/>
      <c r="AI318" s="3"/>
      <c r="AJ318" s="3"/>
      <c r="AK318" s="3"/>
      <c r="AL318" s="3"/>
      <c r="AM318" s="3"/>
      <c r="AN318" s="3"/>
      <c r="AO318" s="3"/>
    </row>
    <row r="319" spans="1:41" ht="15.75" customHeight="1">
      <c r="A319" s="12"/>
      <c r="B319" s="3"/>
      <c r="C319" s="12"/>
      <c r="D319" s="3"/>
      <c r="E319" s="3"/>
      <c r="F319" s="5"/>
      <c r="G319" s="3"/>
      <c r="H319" s="3"/>
      <c r="I319" s="3"/>
      <c r="J319" s="3"/>
      <c r="K319" s="3"/>
      <c r="L319" s="3"/>
      <c r="M319" s="3"/>
      <c r="N319" s="3"/>
      <c r="O319" s="3"/>
      <c r="P319" s="3"/>
      <c r="Q319" s="3"/>
      <c r="R319" s="5"/>
      <c r="S319" s="3"/>
      <c r="T319" s="3"/>
      <c r="U319" s="3"/>
      <c r="V319" s="3"/>
      <c r="W319" s="3"/>
      <c r="X319" s="3"/>
      <c r="Y319" s="3"/>
      <c r="Z319" s="3"/>
      <c r="AA319" s="3"/>
      <c r="AB319" s="34" t="s">
        <v>1195</v>
      </c>
      <c r="AC319" s="19" t="s">
        <v>36</v>
      </c>
      <c r="AD319" s="25" t="s">
        <v>1196</v>
      </c>
      <c r="AE319" s="3"/>
      <c r="AF319" s="3"/>
      <c r="AG319" s="3"/>
      <c r="AH319" s="3"/>
      <c r="AI319" s="3"/>
      <c r="AJ319" s="3"/>
      <c r="AK319" s="3"/>
      <c r="AL319" s="3"/>
      <c r="AM319" s="3"/>
      <c r="AN319" s="3"/>
      <c r="AO319" s="3"/>
    </row>
    <row r="320" spans="1:41" ht="15.75" customHeight="1">
      <c r="A320" s="12"/>
      <c r="B320" s="3"/>
      <c r="C320" s="12"/>
      <c r="D320" s="3"/>
      <c r="E320" s="3"/>
      <c r="F320" s="5"/>
      <c r="G320" s="3"/>
      <c r="H320" s="3"/>
      <c r="I320" s="3"/>
      <c r="J320" s="3"/>
      <c r="K320" s="3"/>
      <c r="L320" s="3"/>
      <c r="M320" s="3"/>
      <c r="N320" s="3"/>
      <c r="O320" s="3"/>
      <c r="P320" s="3"/>
      <c r="Q320" s="3"/>
      <c r="R320" s="5"/>
      <c r="S320" s="3"/>
      <c r="T320" s="3"/>
      <c r="U320" s="3"/>
      <c r="V320" s="3"/>
      <c r="W320" s="3"/>
      <c r="X320" s="3"/>
      <c r="Y320" s="3"/>
      <c r="Z320" s="3"/>
      <c r="AA320" s="3"/>
      <c r="AB320" s="34" t="s">
        <v>1197</v>
      </c>
      <c r="AC320" s="19" t="s">
        <v>36</v>
      </c>
      <c r="AD320" s="25" t="s">
        <v>1198</v>
      </c>
      <c r="AE320" s="3"/>
      <c r="AF320" s="3"/>
      <c r="AG320" s="3"/>
      <c r="AH320" s="3"/>
      <c r="AI320" s="3"/>
      <c r="AJ320" s="3"/>
      <c r="AK320" s="3"/>
      <c r="AL320" s="3"/>
      <c r="AM320" s="3"/>
      <c r="AN320" s="3"/>
      <c r="AO320" s="3"/>
    </row>
    <row r="321" spans="1:41" ht="15.75" customHeight="1">
      <c r="A321" s="12"/>
      <c r="B321" s="3"/>
      <c r="C321" s="12"/>
      <c r="D321" s="3"/>
      <c r="E321" s="3"/>
      <c r="F321" s="5"/>
      <c r="G321" s="3"/>
      <c r="H321" s="3"/>
      <c r="I321" s="3"/>
      <c r="J321" s="3"/>
      <c r="K321" s="3"/>
      <c r="L321" s="3"/>
      <c r="M321" s="3"/>
      <c r="N321" s="3"/>
      <c r="O321" s="3"/>
      <c r="P321" s="3"/>
      <c r="Q321" s="3"/>
      <c r="R321" s="5"/>
      <c r="S321" s="3"/>
      <c r="T321" s="3"/>
      <c r="U321" s="3"/>
      <c r="V321" s="3"/>
      <c r="W321" s="3"/>
      <c r="X321" s="3"/>
      <c r="Y321" s="3"/>
      <c r="Z321" s="3"/>
      <c r="AA321" s="3"/>
      <c r="AB321" s="34" t="s">
        <v>1199</v>
      </c>
      <c r="AC321" s="228" t="s">
        <v>36</v>
      </c>
      <c r="AD321" s="180" t="s">
        <v>1200</v>
      </c>
      <c r="AE321" s="3"/>
      <c r="AF321" s="3"/>
      <c r="AG321" s="3"/>
      <c r="AH321" s="3"/>
      <c r="AI321" s="3"/>
      <c r="AJ321" s="3"/>
      <c r="AK321" s="3"/>
      <c r="AL321" s="3"/>
      <c r="AM321" s="3"/>
      <c r="AN321" s="3"/>
      <c r="AO321" s="3"/>
    </row>
    <row r="322" spans="1:41" ht="15.75" customHeight="1">
      <c r="A322" s="12"/>
      <c r="B322" s="3"/>
      <c r="C322" s="12"/>
      <c r="D322" s="3"/>
      <c r="E322" s="3"/>
      <c r="F322" s="5"/>
      <c r="G322" s="3"/>
      <c r="H322" s="3"/>
      <c r="I322" s="3"/>
      <c r="J322" s="3"/>
      <c r="K322" s="3"/>
      <c r="L322" s="3"/>
      <c r="M322" s="3"/>
      <c r="N322" s="3"/>
      <c r="O322" s="3"/>
      <c r="P322" s="3"/>
      <c r="Q322" s="3"/>
      <c r="R322" s="5"/>
      <c r="S322" s="3"/>
      <c r="T322" s="3"/>
      <c r="U322" s="3"/>
      <c r="V322" s="3"/>
      <c r="W322" s="3"/>
      <c r="X322" s="3"/>
      <c r="Y322" s="3"/>
      <c r="Z322" s="3"/>
      <c r="AA322" s="3"/>
      <c r="AB322" s="34" t="s">
        <v>1201</v>
      </c>
      <c r="AC322" s="228" t="s">
        <v>36</v>
      </c>
      <c r="AD322" s="25" t="s">
        <v>1065</v>
      </c>
      <c r="AE322" s="3"/>
      <c r="AF322" s="3"/>
      <c r="AG322" s="3"/>
      <c r="AH322" s="3"/>
      <c r="AI322" s="3"/>
      <c r="AJ322" s="3"/>
      <c r="AK322" s="3"/>
      <c r="AL322" s="3"/>
      <c r="AM322" s="3"/>
      <c r="AN322" s="3"/>
      <c r="AO322" s="3"/>
    </row>
    <row r="323" spans="1:41" ht="15.75" customHeight="1">
      <c r="A323" s="12"/>
      <c r="B323" s="3"/>
      <c r="C323" s="12"/>
      <c r="D323" s="3"/>
      <c r="E323" s="3"/>
      <c r="F323" s="5"/>
      <c r="G323" s="3"/>
      <c r="H323" s="3"/>
      <c r="I323" s="3"/>
      <c r="J323" s="3"/>
      <c r="K323" s="3"/>
      <c r="L323" s="3"/>
      <c r="M323" s="3"/>
      <c r="N323" s="3"/>
      <c r="O323" s="3"/>
      <c r="P323" s="3"/>
      <c r="Q323" s="3"/>
      <c r="R323" s="5"/>
      <c r="S323" s="3"/>
      <c r="T323" s="3"/>
      <c r="U323" s="3"/>
      <c r="V323" s="3"/>
      <c r="W323" s="3"/>
      <c r="X323" s="3"/>
      <c r="Y323" s="3"/>
      <c r="Z323" s="3"/>
      <c r="AA323" s="3"/>
      <c r="AB323" s="34" t="s">
        <v>1202</v>
      </c>
      <c r="AC323" s="228" t="s">
        <v>36</v>
      </c>
      <c r="AD323" s="25" t="s">
        <v>1043</v>
      </c>
      <c r="AE323" s="3"/>
      <c r="AF323" s="3"/>
      <c r="AG323" s="3"/>
      <c r="AH323" s="3"/>
      <c r="AI323" s="3"/>
      <c r="AJ323" s="3"/>
      <c r="AK323" s="3"/>
      <c r="AL323" s="3"/>
      <c r="AM323" s="3"/>
      <c r="AN323" s="3"/>
      <c r="AO323" s="3"/>
    </row>
    <row r="324" spans="1:41" ht="15.75" customHeight="1">
      <c r="A324" s="12"/>
      <c r="B324" s="3"/>
      <c r="C324" s="12"/>
      <c r="D324" s="3"/>
      <c r="E324" s="3"/>
      <c r="F324" s="5"/>
      <c r="G324" s="3"/>
      <c r="H324" s="3"/>
      <c r="I324" s="3"/>
      <c r="J324" s="3"/>
      <c r="K324" s="3"/>
      <c r="L324" s="3"/>
      <c r="M324" s="3"/>
      <c r="N324" s="3"/>
      <c r="O324" s="3"/>
      <c r="P324" s="3"/>
      <c r="Q324" s="3"/>
      <c r="R324" s="5"/>
      <c r="S324" s="3"/>
      <c r="T324" s="3"/>
      <c r="U324" s="3"/>
      <c r="V324" s="3"/>
      <c r="W324" s="3"/>
      <c r="X324" s="3"/>
      <c r="Y324" s="3"/>
      <c r="Z324" s="3"/>
      <c r="AA324" s="3"/>
      <c r="AB324" s="34" t="s">
        <v>1203</v>
      </c>
      <c r="AC324" s="19" t="s">
        <v>36</v>
      </c>
      <c r="AD324" s="25" t="s">
        <v>1204</v>
      </c>
      <c r="AE324" s="3"/>
      <c r="AF324" s="3"/>
      <c r="AG324" s="3"/>
      <c r="AH324" s="3"/>
      <c r="AI324" s="3"/>
      <c r="AJ324" s="3"/>
      <c r="AK324" s="3"/>
      <c r="AL324" s="3"/>
      <c r="AM324" s="3"/>
      <c r="AN324" s="3"/>
      <c r="AO324" s="3"/>
    </row>
    <row r="325" spans="1:41" ht="15.75" customHeight="1">
      <c r="A325" s="12"/>
      <c r="B325" s="3"/>
      <c r="C325" s="12"/>
      <c r="D325" s="3"/>
      <c r="E325" s="3"/>
      <c r="F325" s="5"/>
      <c r="G325" s="3"/>
      <c r="H325" s="3"/>
      <c r="I325" s="3"/>
      <c r="J325" s="3"/>
      <c r="K325" s="3"/>
      <c r="L325" s="3"/>
      <c r="M325" s="3"/>
      <c r="N325" s="3"/>
      <c r="O325" s="3"/>
      <c r="P325" s="3"/>
      <c r="Q325" s="3"/>
      <c r="R325" s="5"/>
      <c r="S325" s="3"/>
      <c r="T325" s="3"/>
      <c r="U325" s="3"/>
      <c r="V325" s="3"/>
      <c r="W325" s="3"/>
      <c r="X325" s="3"/>
      <c r="Y325" s="3"/>
      <c r="Z325" s="3"/>
      <c r="AA325" s="3"/>
      <c r="AB325" s="34" t="s">
        <v>1205</v>
      </c>
      <c r="AC325" s="19" t="s">
        <v>36</v>
      </c>
      <c r="AD325" s="25" t="s">
        <v>1206</v>
      </c>
      <c r="AE325" s="3"/>
      <c r="AF325" s="3"/>
      <c r="AG325" s="3"/>
      <c r="AH325" s="3"/>
      <c r="AI325" s="3"/>
      <c r="AJ325" s="3"/>
      <c r="AK325" s="3"/>
      <c r="AL325" s="3"/>
      <c r="AM325" s="3"/>
      <c r="AN325" s="3"/>
      <c r="AO325" s="3"/>
    </row>
    <row r="326" spans="1:41" ht="15.75" customHeight="1">
      <c r="A326" s="12"/>
      <c r="B326" s="3"/>
      <c r="C326" s="12"/>
      <c r="D326" s="3"/>
      <c r="E326" s="3"/>
      <c r="F326" s="5"/>
      <c r="G326" s="3"/>
      <c r="H326" s="3"/>
      <c r="I326" s="3"/>
      <c r="J326" s="3"/>
      <c r="K326" s="3"/>
      <c r="L326" s="3"/>
      <c r="M326" s="3"/>
      <c r="N326" s="3"/>
      <c r="O326" s="3"/>
      <c r="P326" s="3"/>
      <c r="Q326" s="3"/>
      <c r="R326" s="5"/>
      <c r="S326" s="3"/>
      <c r="T326" s="3"/>
      <c r="U326" s="3"/>
      <c r="V326" s="3"/>
      <c r="W326" s="3"/>
      <c r="X326" s="3"/>
      <c r="Y326" s="3"/>
      <c r="Z326" s="3"/>
      <c r="AA326" s="3"/>
      <c r="AB326" s="34" t="s">
        <v>1207</v>
      </c>
      <c r="AC326" s="19" t="s">
        <v>36</v>
      </c>
      <c r="AD326" s="25" t="s">
        <v>1208</v>
      </c>
      <c r="AE326" s="3"/>
      <c r="AF326" s="3"/>
      <c r="AG326" s="3"/>
      <c r="AH326" s="3"/>
      <c r="AI326" s="3"/>
      <c r="AJ326" s="3"/>
      <c r="AK326" s="3"/>
      <c r="AL326" s="3"/>
      <c r="AM326" s="3"/>
      <c r="AN326" s="3"/>
      <c r="AO326" s="3"/>
    </row>
    <row r="327" spans="1:41" ht="15.75" customHeight="1">
      <c r="A327" s="12"/>
      <c r="B327" s="3"/>
      <c r="C327" s="12"/>
      <c r="D327" s="3"/>
      <c r="E327" s="3"/>
      <c r="F327" s="5"/>
      <c r="G327" s="3"/>
      <c r="H327" s="3"/>
      <c r="I327" s="3"/>
      <c r="J327" s="3"/>
      <c r="K327" s="3"/>
      <c r="L327" s="3"/>
      <c r="M327" s="3"/>
      <c r="N327" s="3"/>
      <c r="O327" s="3"/>
      <c r="P327" s="3"/>
      <c r="Q327" s="3"/>
      <c r="R327" s="5"/>
      <c r="S327" s="3"/>
      <c r="T327" s="3"/>
      <c r="U327" s="3"/>
      <c r="V327" s="3"/>
      <c r="W327" s="3"/>
      <c r="X327" s="3"/>
      <c r="Y327" s="3"/>
      <c r="Z327" s="3"/>
      <c r="AA327" s="3"/>
      <c r="AB327" s="34" t="s">
        <v>1209</v>
      </c>
      <c r="AC327" s="19" t="s">
        <v>36</v>
      </c>
      <c r="AD327" s="25" t="s">
        <v>1210</v>
      </c>
      <c r="AE327" s="3"/>
      <c r="AF327" s="3"/>
      <c r="AG327" s="3"/>
      <c r="AH327" s="3"/>
      <c r="AI327" s="3"/>
      <c r="AJ327" s="3"/>
      <c r="AK327" s="3"/>
      <c r="AL327" s="3"/>
      <c r="AM327" s="3"/>
      <c r="AN327" s="3"/>
      <c r="AO327" s="3"/>
    </row>
    <row r="328" spans="1:41" ht="15.75" customHeight="1">
      <c r="A328" s="12"/>
      <c r="B328" s="3"/>
      <c r="C328" s="12"/>
      <c r="D328" s="3"/>
      <c r="E328" s="3"/>
      <c r="F328" s="5"/>
      <c r="G328" s="3"/>
      <c r="H328" s="3"/>
      <c r="I328" s="3"/>
      <c r="J328" s="3"/>
      <c r="K328" s="3"/>
      <c r="L328" s="3"/>
      <c r="M328" s="3"/>
      <c r="N328" s="3"/>
      <c r="O328" s="3"/>
      <c r="P328" s="3"/>
      <c r="Q328" s="3"/>
      <c r="R328" s="5"/>
      <c r="S328" s="3"/>
      <c r="T328" s="3"/>
      <c r="U328" s="3"/>
      <c r="V328" s="3"/>
      <c r="W328" s="3"/>
      <c r="X328" s="3"/>
      <c r="Y328" s="3"/>
      <c r="Z328" s="3"/>
      <c r="AA328" s="3"/>
      <c r="AB328" s="34" t="s">
        <v>1211</v>
      </c>
      <c r="AC328" s="19" t="s">
        <v>36</v>
      </c>
      <c r="AD328" s="180" t="s">
        <v>1212</v>
      </c>
      <c r="AE328" s="3"/>
      <c r="AF328" s="3"/>
      <c r="AG328" s="3"/>
      <c r="AH328" s="3"/>
      <c r="AI328" s="3"/>
      <c r="AJ328" s="3"/>
      <c r="AK328" s="3"/>
      <c r="AL328" s="3"/>
      <c r="AM328" s="3"/>
      <c r="AN328" s="3"/>
      <c r="AO328" s="3"/>
    </row>
    <row r="329" spans="1:41" ht="15.75" customHeight="1">
      <c r="A329" s="12"/>
      <c r="B329" s="3"/>
      <c r="C329" s="12"/>
      <c r="D329" s="3"/>
      <c r="E329" s="3"/>
      <c r="F329" s="5"/>
      <c r="G329" s="3"/>
      <c r="H329" s="3"/>
      <c r="I329" s="3"/>
      <c r="J329" s="3"/>
      <c r="K329" s="3"/>
      <c r="L329" s="3"/>
      <c r="M329" s="3"/>
      <c r="N329" s="3"/>
      <c r="O329" s="3"/>
      <c r="P329" s="3"/>
      <c r="Q329" s="3"/>
      <c r="R329" s="5"/>
      <c r="S329" s="3"/>
      <c r="T329" s="3"/>
      <c r="U329" s="3"/>
      <c r="V329" s="3"/>
      <c r="W329" s="3"/>
      <c r="X329" s="3"/>
      <c r="Y329" s="3"/>
      <c r="Z329" s="3"/>
      <c r="AA329" s="3"/>
      <c r="AB329" s="34" t="s">
        <v>1213</v>
      </c>
      <c r="AC329" s="19" t="s">
        <v>36</v>
      </c>
      <c r="AD329" s="25" t="s">
        <v>1214</v>
      </c>
      <c r="AE329" s="3"/>
      <c r="AF329" s="3"/>
      <c r="AG329" s="3"/>
      <c r="AH329" s="3"/>
      <c r="AI329" s="3"/>
      <c r="AJ329" s="3"/>
      <c r="AK329" s="3"/>
      <c r="AL329" s="3"/>
      <c r="AM329" s="3"/>
      <c r="AN329" s="3"/>
      <c r="AO329" s="3"/>
    </row>
    <row r="330" spans="1:41" ht="15.75" customHeight="1">
      <c r="A330" s="12"/>
      <c r="B330" s="3"/>
      <c r="C330" s="12"/>
      <c r="D330" s="3"/>
      <c r="E330" s="3"/>
      <c r="F330" s="5"/>
      <c r="G330" s="3"/>
      <c r="H330" s="3"/>
      <c r="I330" s="3"/>
      <c r="J330" s="3"/>
      <c r="K330" s="3"/>
      <c r="L330" s="3"/>
      <c r="M330" s="3"/>
      <c r="N330" s="3"/>
      <c r="O330" s="3"/>
      <c r="P330" s="3"/>
      <c r="Q330" s="3"/>
      <c r="R330" s="5"/>
      <c r="S330" s="3"/>
      <c r="T330" s="3"/>
      <c r="U330" s="3"/>
      <c r="V330" s="3"/>
      <c r="W330" s="3"/>
      <c r="X330" s="3"/>
      <c r="Y330" s="3"/>
      <c r="Z330" s="3"/>
      <c r="AA330" s="3"/>
      <c r="AB330" s="34" t="s">
        <v>1215</v>
      </c>
      <c r="AC330" s="19" t="s">
        <v>36</v>
      </c>
      <c r="AD330" s="25" t="s">
        <v>1216</v>
      </c>
      <c r="AE330" s="3"/>
      <c r="AF330" s="3"/>
      <c r="AG330" s="3"/>
      <c r="AH330" s="3"/>
      <c r="AI330" s="3"/>
      <c r="AJ330" s="3"/>
      <c r="AK330" s="3"/>
      <c r="AL330" s="3"/>
      <c r="AM330" s="3"/>
      <c r="AN330" s="3"/>
      <c r="AO330" s="3"/>
    </row>
    <row r="331" spans="1:41" ht="15.75" customHeight="1">
      <c r="A331" s="12"/>
      <c r="B331" s="3"/>
      <c r="C331" s="12"/>
      <c r="D331" s="3"/>
      <c r="E331" s="3"/>
      <c r="F331" s="5"/>
      <c r="G331" s="3"/>
      <c r="H331" s="3"/>
      <c r="I331" s="3"/>
      <c r="J331" s="3"/>
      <c r="K331" s="3"/>
      <c r="L331" s="3"/>
      <c r="M331" s="3"/>
      <c r="N331" s="3"/>
      <c r="O331" s="3"/>
      <c r="P331" s="3"/>
      <c r="Q331" s="3"/>
      <c r="R331" s="5"/>
      <c r="S331" s="3"/>
      <c r="T331" s="3"/>
      <c r="U331" s="3"/>
      <c r="V331" s="3"/>
      <c r="W331" s="3"/>
      <c r="X331" s="3"/>
      <c r="Y331" s="3"/>
      <c r="Z331" s="3"/>
      <c r="AA331" s="3"/>
      <c r="AB331" s="34" t="s">
        <v>1217</v>
      </c>
      <c r="AC331" s="19" t="s">
        <v>36</v>
      </c>
      <c r="AD331" s="25" t="s">
        <v>1218</v>
      </c>
      <c r="AE331" s="3"/>
      <c r="AF331" s="3"/>
      <c r="AG331" s="3"/>
      <c r="AH331" s="3"/>
      <c r="AI331" s="3"/>
      <c r="AJ331" s="3"/>
      <c r="AK331" s="3"/>
      <c r="AL331" s="3"/>
      <c r="AM331" s="3"/>
      <c r="AN331" s="3"/>
      <c r="AO331" s="3"/>
    </row>
    <row r="332" spans="1:41" ht="15.75" customHeight="1">
      <c r="A332" s="12"/>
      <c r="B332" s="3"/>
      <c r="C332" s="12"/>
      <c r="D332" s="3"/>
      <c r="E332" s="3"/>
      <c r="F332" s="5"/>
      <c r="G332" s="3"/>
      <c r="H332" s="3"/>
      <c r="I332" s="3"/>
      <c r="J332" s="3"/>
      <c r="K332" s="3"/>
      <c r="L332" s="3"/>
      <c r="M332" s="3"/>
      <c r="N332" s="3"/>
      <c r="O332" s="3"/>
      <c r="P332" s="3"/>
      <c r="Q332" s="3"/>
      <c r="R332" s="5"/>
      <c r="S332" s="3"/>
      <c r="T332" s="3"/>
      <c r="U332" s="3"/>
      <c r="V332" s="3"/>
      <c r="W332" s="3"/>
      <c r="X332" s="3"/>
      <c r="Y332" s="3"/>
      <c r="Z332" s="3"/>
      <c r="AA332" s="3"/>
      <c r="AB332" s="34" t="s">
        <v>1219</v>
      </c>
      <c r="AC332" s="19" t="s">
        <v>36</v>
      </c>
      <c r="AD332" s="25" t="s">
        <v>1220</v>
      </c>
      <c r="AE332" s="3"/>
      <c r="AF332" s="3"/>
      <c r="AG332" s="3"/>
      <c r="AH332" s="3"/>
      <c r="AI332" s="3"/>
      <c r="AJ332" s="3"/>
      <c r="AK332" s="3"/>
      <c r="AL332" s="3"/>
      <c r="AM332" s="3"/>
      <c r="AN332" s="3"/>
      <c r="AO332" s="3"/>
    </row>
    <row r="333" spans="1:41" ht="15.75" customHeight="1">
      <c r="A333" s="12"/>
      <c r="B333" s="3"/>
      <c r="C333" s="12"/>
      <c r="D333" s="3"/>
      <c r="E333" s="3"/>
      <c r="F333" s="5"/>
      <c r="G333" s="3"/>
      <c r="H333" s="3"/>
      <c r="I333" s="3"/>
      <c r="J333" s="3"/>
      <c r="K333" s="3"/>
      <c r="L333" s="3"/>
      <c r="M333" s="3"/>
      <c r="N333" s="3"/>
      <c r="O333" s="3"/>
      <c r="P333" s="3"/>
      <c r="Q333" s="3"/>
      <c r="R333" s="5"/>
      <c r="S333" s="3"/>
      <c r="T333" s="3"/>
      <c r="U333" s="3"/>
      <c r="V333" s="3"/>
      <c r="W333" s="3"/>
      <c r="X333" s="3"/>
      <c r="Y333" s="3"/>
      <c r="Z333" s="3"/>
      <c r="AA333" s="3"/>
      <c r="AB333" s="34" t="s">
        <v>1221</v>
      </c>
      <c r="AC333" s="19" t="s">
        <v>140</v>
      </c>
      <c r="AD333" s="34"/>
      <c r="AE333" s="3"/>
      <c r="AF333" s="3"/>
      <c r="AG333" s="3"/>
      <c r="AH333" s="3"/>
      <c r="AI333" s="3"/>
      <c r="AJ333" s="3"/>
      <c r="AK333" s="3"/>
      <c r="AL333" s="3"/>
      <c r="AM333" s="3"/>
      <c r="AN333" s="3"/>
      <c r="AO333" s="3"/>
    </row>
    <row r="334" spans="1:41" ht="15.75" customHeight="1">
      <c r="A334" s="12"/>
      <c r="B334" s="3"/>
      <c r="C334" s="12"/>
      <c r="D334" s="3"/>
      <c r="E334" s="3"/>
      <c r="F334" s="5"/>
      <c r="G334" s="3"/>
      <c r="H334" s="3"/>
      <c r="I334" s="3"/>
      <c r="J334" s="3"/>
      <c r="K334" s="3"/>
      <c r="L334" s="3"/>
      <c r="M334" s="3"/>
      <c r="N334" s="3"/>
      <c r="O334" s="3"/>
      <c r="P334" s="3"/>
      <c r="Q334" s="3"/>
      <c r="R334" s="5"/>
      <c r="S334" s="3"/>
      <c r="T334" s="3"/>
      <c r="U334" s="3"/>
      <c r="V334" s="3"/>
      <c r="W334" s="3"/>
      <c r="X334" s="3"/>
      <c r="Y334" s="3"/>
      <c r="Z334" s="3"/>
      <c r="AA334" s="3"/>
      <c r="AB334" s="34" t="s">
        <v>1222</v>
      </c>
      <c r="AC334" s="19" t="s">
        <v>36</v>
      </c>
      <c r="AD334" s="25" t="s">
        <v>1223</v>
      </c>
      <c r="AE334" s="3"/>
      <c r="AF334" s="3"/>
      <c r="AG334" s="3"/>
      <c r="AH334" s="3"/>
      <c r="AI334" s="3"/>
      <c r="AJ334" s="3"/>
      <c r="AK334" s="3"/>
      <c r="AL334" s="3"/>
      <c r="AM334" s="3"/>
      <c r="AN334" s="3"/>
      <c r="AO334" s="3"/>
    </row>
    <row r="335" spans="1:41" ht="15.75" customHeight="1">
      <c r="A335" s="12"/>
      <c r="B335" s="3"/>
      <c r="C335" s="12"/>
      <c r="D335" s="3"/>
      <c r="E335" s="3"/>
      <c r="F335" s="5"/>
      <c r="G335" s="3"/>
      <c r="H335" s="3"/>
      <c r="I335" s="3"/>
      <c r="J335" s="3"/>
      <c r="K335" s="3"/>
      <c r="L335" s="3"/>
      <c r="M335" s="3"/>
      <c r="N335" s="3"/>
      <c r="O335" s="3"/>
      <c r="P335" s="3"/>
      <c r="Q335" s="3"/>
      <c r="R335" s="5"/>
      <c r="S335" s="3"/>
      <c r="T335" s="3"/>
      <c r="U335" s="3"/>
      <c r="V335" s="3"/>
      <c r="W335" s="3"/>
      <c r="X335" s="3"/>
      <c r="Y335" s="3"/>
      <c r="Z335" s="3"/>
      <c r="AA335" s="3"/>
      <c r="AB335" s="34" t="s">
        <v>1224</v>
      </c>
      <c r="AC335" s="19" t="s">
        <v>36</v>
      </c>
      <c r="AD335" s="25" t="s">
        <v>1225</v>
      </c>
      <c r="AE335" s="3"/>
      <c r="AF335" s="3"/>
      <c r="AG335" s="3"/>
      <c r="AH335" s="3"/>
      <c r="AI335" s="3"/>
      <c r="AJ335" s="3"/>
      <c r="AK335" s="3"/>
      <c r="AL335" s="3"/>
      <c r="AM335" s="3"/>
      <c r="AN335" s="3"/>
      <c r="AO335" s="3"/>
    </row>
    <row r="336" spans="1:41" ht="15.75" customHeight="1">
      <c r="A336" s="12"/>
      <c r="B336" s="3"/>
      <c r="C336" s="12"/>
      <c r="D336" s="3"/>
      <c r="E336" s="3"/>
      <c r="F336" s="5"/>
      <c r="G336" s="3"/>
      <c r="H336" s="3"/>
      <c r="I336" s="3"/>
      <c r="J336" s="3"/>
      <c r="K336" s="3"/>
      <c r="L336" s="3"/>
      <c r="M336" s="3"/>
      <c r="N336" s="3"/>
      <c r="O336" s="3"/>
      <c r="P336" s="3"/>
      <c r="Q336" s="3"/>
      <c r="R336" s="5"/>
      <c r="S336" s="3"/>
      <c r="T336" s="3"/>
      <c r="U336" s="3"/>
      <c r="V336" s="3"/>
      <c r="W336" s="3"/>
      <c r="X336" s="3"/>
      <c r="Y336" s="3"/>
      <c r="Z336" s="3"/>
      <c r="AA336" s="3"/>
      <c r="AB336" s="34" t="s">
        <v>1226</v>
      </c>
      <c r="AC336" s="19" t="s">
        <v>36</v>
      </c>
      <c r="AD336" s="25" t="s">
        <v>1227</v>
      </c>
      <c r="AE336" s="3"/>
      <c r="AF336" s="3"/>
      <c r="AG336" s="3"/>
      <c r="AH336" s="3"/>
      <c r="AI336" s="3"/>
      <c r="AJ336" s="3"/>
      <c r="AK336" s="3"/>
      <c r="AL336" s="3"/>
      <c r="AM336" s="3"/>
      <c r="AN336" s="3"/>
      <c r="AO336" s="3"/>
    </row>
    <row r="337" spans="1:41" ht="15.75" customHeight="1">
      <c r="A337" s="12"/>
      <c r="B337" s="3"/>
      <c r="C337" s="12"/>
      <c r="D337" s="3"/>
      <c r="E337" s="3"/>
      <c r="F337" s="5"/>
      <c r="G337" s="3"/>
      <c r="H337" s="3"/>
      <c r="I337" s="3"/>
      <c r="J337" s="3"/>
      <c r="K337" s="3"/>
      <c r="L337" s="3"/>
      <c r="M337" s="3"/>
      <c r="N337" s="3"/>
      <c r="O337" s="3"/>
      <c r="P337" s="3"/>
      <c r="Q337" s="3"/>
      <c r="R337" s="5"/>
      <c r="S337" s="3"/>
      <c r="T337" s="3"/>
      <c r="U337" s="3"/>
      <c r="V337" s="3"/>
      <c r="W337" s="3"/>
      <c r="X337" s="3"/>
      <c r="Y337" s="3"/>
      <c r="Z337" s="3"/>
      <c r="AA337" s="3"/>
      <c r="AB337" s="34" t="s">
        <v>1228</v>
      </c>
      <c r="AC337" s="19" t="s">
        <v>36</v>
      </c>
      <c r="AD337" s="25" t="s">
        <v>1229</v>
      </c>
      <c r="AE337" s="3"/>
      <c r="AF337" s="3"/>
      <c r="AG337" s="3"/>
      <c r="AH337" s="3"/>
      <c r="AI337" s="3"/>
      <c r="AJ337" s="3"/>
      <c r="AK337" s="3"/>
      <c r="AL337" s="3"/>
      <c r="AM337" s="3"/>
      <c r="AN337" s="3"/>
      <c r="AO337" s="3"/>
    </row>
    <row r="338" spans="1:41" ht="15.75" customHeight="1">
      <c r="A338" s="12"/>
      <c r="B338" s="3"/>
      <c r="C338" s="12"/>
      <c r="D338" s="3"/>
      <c r="E338" s="3"/>
      <c r="F338" s="5"/>
      <c r="G338" s="3"/>
      <c r="H338" s="3"/>
      <c r="I338" s="3"/>
      <c r="J338" s="3"/>
      <c r="K338" s="3"/>
      <c r="L338" s="3"/>
      <c r="M338" s="3"/>
      <c r="N338" s="3"/>
      <c r="O338" s="3"/>
      <c r="P338" s="3"/>
      <c r="Q338" s="3"/>
      <c r="R338" s="5"/>
      <c r="S338" s="3"/>
      <c r="T338" s="3"/>
      <c r="U338" s="3"/>
      <c r="V338" s="3"/>
      <c r="W338" s="3"/>
      <c r="X338" s="3"/>
      <c r="Y338" s="3"/>
      <c r="Z338" s="3"/>
      <c r="AA338" s="3"/>
      <c r="AB338" s="34" t="s">
        <v>1230</v>
      </c>
      <c r="AC338" s="19" t="s">
        <v>36</v>
      </c>
      <c r="AD338" s="25" t="s">
        <v>1231</v>
      </c>
      <c r="AE338" s="3"/>
      <c r="AF338" s="3"/>
      <c r="AG338" s="3"/>
      <c r="AH338" s="3"/>
      <c r="AI338" s="3"/>
      <c r="AJ338" s="3"/>
      <c r="AK338" s="3"/>
      <c r="AL338" s="3"/>
      <c r="AM338" s="3"/>
      <c r="AN338" s="3"/>
      <c r="AO338" s="3"/>
    </row>
    <row r="339" spans="1:41" ht="15.75" customHeight="1">
      <c r="A339" s="12"/>
      <c r="B339" s="3"/>
      <c r="C339" s="12"/>
      <c r="D339" s="3"/>
      <c r="E339" s="3"/>
      <c r="F339" s="5"/>
      <c r="G339" s="3"/>
      <c r="H339" s="3"/>
      <c r="I339" s="3"/>
      <c r="J339" s="3"/>
      <c r="K339" s="3"/>
      <c r="L339" s="3"/>
      <c r="M339" s="3"/>
      <c r="N339" s="3"/>
      <c r="O339" s="3"/>
      <c r="P339" s="3"/>
      <c r="Q339" s="3"/>
      <c r="R339" s="5"/>
      <c r="S339" s="3"/>
      <c r="T339" s="3"/>
      <c r="U339" s="3"/>
      <c r="V339" s="3"/>
      <c r="W339" s="3"/>
      <c r="X339" s="3"/>
      <c r="Y339" s="3"/>
      <c r="Z339" s="3"/>
      <c r="AA339" s="3"/>
      <c r="AB339" s="34" t="s">
        <v>1232</v>
      </c>
      <c r="AC339" s="19" t="s">
        <v>36</v>
      </c>
      <c r="AD339" s="25" t="s">
        <v>1233</v>
      </c>
      <c r="AE339" s="3"/>
      <c r="AF339" s="3"/>
      <c r="AG339" s="3"/>
      <c r="AH339" s="3"/>
      <c r="AI339" s="3"/>
      <c r="AJ339" s="3"/>
      <c r="AK339" s="3"/>
      <c r="AL339" s="3"/>
      <c r="AM339" s="3"/>
      <c r="AN339" s="3"/>
      <c r="AO339" s="3"/>
    </row>
    <row r="340" spans="1:41" ht="15.75" customHeight="1">
      <c r="A340" s="12"/>
      <c r="B340" s="3"/>
      <c r="C340" s="12"/>
      <c r="D340" s="3"/>
      <c r="E340" s="3"/>
      <c r="F340" s="5"/>
      <c r="G340" s="3"/>
      <c r="H340" s="3"/>
      <c r="I340" s="3"/>
      <c r="J340" s="3"/>
      <c r="K340" s="3"/>
      <c r="L340" s="3"/>
      <c r="M340" s="3"/>
      <c r="N340" s="3"/>
      <c r="O340" s="3"/>
      <c r="P340" s="3"/>
      <c r="Q340" s="3"/>
      <c r="R340" s="5"/>
      <c r="S340" s="3"/>
      <c r="T340" s="3"/>
      <c r="U340" s="3"/>
      <c r="V340" s="3"/>
      <c r="W340" s="3"/>
      <c r="X340" s="3"/>
      <c r="Y340" s="3"/>
      <c r="Z340" s="3"/>
      <c r="AA340" s="3"/>
      <c r="AB340" s="34" t="s">
        <v>1234</v>
      </c>
      <c r="AC340" s="19" t="s">
        <v>36</v>
      </c>
      <c r="AD340" s="25" t="s">
        <v>1235</v>
      </c>
      <c r="AE340" s="3"/>
      <c r="AF340" s="3"/>
      <c r="AG340" s="3"/>
      <c r="AH340" s="3"/>
      <c r="AI340" s="3"/>
      <c r="AJ340" s="3"/>
      <c r="AK340" s="3"/>
      <c r="AL340" s="3"/>
      <c r="AM340" s="3"/>
      <c r="AN340" s="3"/>
      <c r="AO340" s="3"/>
    </row>
    <row r="341" spans="1:41" ht="15.75" customHeight="1">
      <c r="A341" s="12"/>
      <c r="B341" s="3"/>
      <c r="C341" s="12"/>
      <c r="D341" s="3"/>
      <c r="E341" s="3"/>
      <c r="F341" s="5"/>
      <c r="G341" s="3"/>
      <c r="H341" s="3"/>
      <c r="I341" s="3"/>
      <c r="J341" s="3"/>
      <c r="K341" s="3"/>
      <c r="L341" s="3"/>
      <c r="M341" s="3"/>
      <c r="N341" s="3"/>
      <c r="O341" s="3"/>
      <c r="P341" s="3"/>
      <c r="Q341" s="3"/>
      <c r="R341" s="5"/>
      <c r="S341" s="3"/>
      <c r="T341" s="3"/>
      <c r="U341" s="3"/>
      <c r="V341" s="3"/>
      <c r="W341" s="3"/>
      <c r="X341" s="3"/>
      <c r="Y341" s="3"/>
      <c r="Z341" s="3"/>
      <c r="AA341" s="3"/>
      <c r="AB341" s="34" t="s">
        <v>1236</v>
      </c>
      <c r="AC341" s="19" t="s">
        <v>140</v>
      </c>
      <c r="AD341" s="25" t="s">
        <v>1237</v>
      </c>
      <c r="AE341" s="3"/>
      <c r="AF341" s="3"/>
      <c r="AG341" s="3"/>
      <c r="AH341" s="3"/>
      <c r="AI341" s="3"/>
      <c r="AJ341" s="3"/>
      <c r="AK341" s="3"/>
      <c r="AL341" s="3"/>
      <c r="AM341" s="3"/>
      <c r="AN341" s="3"/>
      <c r="AO341" s="3"/>
    </row>
    <row r="342" spans="1:41" ht="15.75" customHeight="1">
      <c r="A342" s="12"/>
      <c r="B342" s="3"/>
      <c r="C342" s="12"/>
      <c r="D342" s="3"/>
      <c r="E342" s="3"/>
      <c r="F342" s="5"/>
      <c r="G342" s="3"/>
      <c r="H342" s="3"/>
      <c r="I342" s="3"/>
      <c r="J342" s="3"/>
      <c r="K342" s="3"/>
      <c r="L342" s="3"/>
      <c r="M342" s="3"/>
      <c r="N342" s="3"/>
      <c r="O342" s="3"/>
      <c r="P342" s="3"/>
      <c r="Q342" s="3"/>
      <c r="R342" s="5"/>
      <c r="S342" s="3"/>
      <c r="T342" s="3"/>
      <c r="U342" s="3"/>
      <c r="V342" s="3"/>
      <c r="W342" s="3"/>
      <c r="X342" s="3"/>
      <c r="Y342" s="3"/>
      <c r="Z342" s="3"/>
      <c r="AA342" s="3"/>
      <c r="AB342" s="34" t="s">
        <v>1238</v>
      </c>
      <c r="AC342" s="19" t="s">
        <v>36</v>
      </c>
      <c r="AD342" s="25" t="s">
        <v>1239</v>
      </c>
      <c r="AE342" s="3"/>
      <c r="AF342" s="3"/>
      <c r="AG342" s="3"/>
      <c r="AH342" s="3"/>
      <c r="AI342" s="3"/>
      <c r="AJ342" s="3"/>
      <c r="AK342" s="3"/>
      <c r="AL342" s="3"/>
      <c r="AM342" s="3"/>
      <c r="AN342" s="3"/>
      <c r="AO342" s="3"/>
    </row>
    <row r="343" spans="1:41" ht="15.75" customHeight="1">
      <c r="A343" s="12"/>
      <c r="B343" s="3"/>
      <c r="C343" s="12"/>
      <c r="D343" s="3"/>
      <c r="E343" s="3"/>
      <c r="F343" s="5"/>
      <c r="G343" s="3"/>
      <c r="H343" s="3"/>
      <c r="I343" s="3"/>
      <c r="J343" s="3"/>
      <c r="K343" s="3"/>
      <c r="L343" s="3"/>
      <c r="M343" s="3"/>
      <c r="N343" s="3"/>
      <c r="O343" s="3"/>
      <c r="P343" s="3"/>
      <c r="Q343" s="3"/>
      <c r="R343" s="5"/>
      <c r="S343" s="3"/>
      <c r="T343" s="3"/>
      <c r="U343" s="3"/>
      <c r="V343" s="3"/>
      <c r="W343" s="3"/>
      <c r="X343" s="3"/>
      <c r="Y343" s="3"/>
      <c r="Z343" s="3"/>
      <c r="AA343" s="3"/>
      <c r="AB343" s="34" t="s">
        <v>1240</v>
      </c>
      <c r="AC343" s="19" t="s">
        <v>36</v>
      </c>
      <c r="AD343" s="25" t="s">
        <v>1241</v>
      </c>
      <c r="AE343" s="3"/>
      <c r="AF343" s="3"/>
      <c r="AG343" s="3"/>
      <c r="AH343" s="3"/>
      <c r="AI343" s="3"/>
      <c r="AJ343" s="3"/>
      <c r="AK343" s="3"/>
      <c r="AL343" s="3"/>
      <c r="AM343" s="3"/>
      <c r="AN343" s="3"/>
      <c r="AO343" s="3"/>
    </row>
    <row r="344" spans="1:41" ht="15.75" customHeight="1">
      <c r="A344" s="12"/>
      <c r="B344" s="3"/>
      <c r="C344" s="12"/>
      <c r="D344" s="3"/>
      <c r="E344" s="3"/>
      <c r="F344" s="5"/>
      <c r="G344" s="3"/>
      <c r="H344" s="3"/>
      <c r="I344" s="3"/>
      <c r="J344" s="3"/>
      <c r="K344" s="3"/>
      <c r="L344" s="3"/>
      <c r="M344" s="3"/>
      <c r="N344" s="3"/>
      <c r="O344" s="3"/>
      <c r="P344" s="3"/>
      <c r="Q344" s="3"/>
      <c r="R344" s="5"/>
      <c r="S344" s="3"/>
      <c r="T344" s="3"/>
      <c r="U344" s="3"/>
      <c r="V344" s="3"/>
      <c r="W344" s="3"/>
      <c r="X344" s="3"/>
      <c r="Y344" s="3"/>
      <c r="Z344" s="3"/>
      <c r="AA344" s="3"/>
      <c r="AB344" s="34" t="s">
        <v>1242</v>
      </c>
      <c r="AC344" s="19" t="s">
        <v>36</v>
      </c>
      <c r="AD344" s="25" t="s">
        <v>1243</v>
      </c>
      <c r="AE344" s="3"/>
      <c r="AF344" s="3"/>
      <c r="AG344" s="3"/>
      <c r="AH344" s="3"/>
      <c r="AI344" s="3"/>
      <c r="AJ344" s="3"/>
      <c r="AK344" s="3"/>
      <c r="AL344" s="3"/>
      <c r="AM344" s="3"/>
      <c r="AN344" s="3"/>
      <c r="AO344" s="3"/>
    </row>
    <row r="345" spans="1:41" ht="15.75" customHeight="1">
      <c r="A345" s="12"/>
      <c r="B345" s="3"/>
      <c r="C345" s="12"/>
      <c r="D345" s="3"/>
      <c r="E345" s="3"/>
      <c r="F345" s="5"/>
      <c r="G345" s="3"/>
      <c r="H345" s="3"/>
      <c r="I345" s="3"/>
      <c r="J345" s="3"/>
      <c r="K345" s="3"/>
      <c r="L345" s="3"/>
      <c r="M345" s="3"/>
      <c r="N345" s="3"/>
      <c r="O345" s="3"/>
      <c r="P345" s="3"/>
      <c r="Q345" s="3"/>
      <c r="R345" s="5"/>
      <c r="S345" s="3"/>
      <c r="T345" s="3"/>
      <c r="U345" s="3"/>
      <c r="V345" s="3"/>
      <c r="W345" s="3"/>
      <c r="X345" s="3"/>
      <c r="Y345" s="3"/>
      <c r="Z345" s="3"/>
      <c r="AA345" s="3"/>
      <c r="AB345" s="34" t="s">
        <v>1244</v>
      </c>
      <c r="AC345" s="19" t="s">
        <v>36</v>
      </c>
      <c r="AD345" s="25" t="s">
        <v>1245</v>
      </c>
      <c r="AE345" s="3"/>
      <c r="AF345" s="3"/>
      <c r="AG345" s="3"/>
      <c r="AH345" s="3"/>
      <c r="AI345" s="3"/>
      <c r="AJ345" s="3"/>
      <c r="AK345" s="3"/>
      <c r="AL345" s="3"/>
      <c r="AM345" s="3"/>
      <c r="AN345" s="3"/>
      <c r="AO345" s="3"/>
    </row>
    <row r="346" spans="1:41" ht="15.75" customHeight="1">
      <c r="A346" s="12"/>
      <c r="B346" s="3"/>
      <c r="C346" s="12"/>
      <c r="D346" s="3"/>
      <c r="E346" s="3"/>
      <c r="F346" s="5"/>
      <c r="G346" s="3"/>
      <c r="H346" s="3"/>
      <c r="I346" s="3"/>
      <c r="J346" s="3"/>
      <c r="K346" s="3"/>
      <c r="L346" s="3"/>
      <c r="M346" s="3"/>
      <c r="N346" s="3"/>
      <c r="O346" s="3"/>
      <c r="P346" s="3"/>
      <c r="Q346" s="3"/>
      <c r="R346" s="5"/>
      <c r="S346" s="3"/>
      <c r="T346" s="3"/>
      <c r="U346" s="3"/>
      <c r="V346" s="3"/>
      <c r="W346" s="3"/>
      <c r="X346" s="3"/>
      <c r="Y346" s="3"/>
      <c r="Z346" s="3"/>
      <c r="AA346" s="3"/>
      <c r="AB346" s="34" t="s">
        <v>429</v>
      </c>
      <c r="AC346" s="19" t="s">
        <v>36</v>
      </c>
      <c r="AD346" s="25" t="s">
        <v>430</v>
      </c>
      <c r="AE346" s="3"/>
      <c r="AF346" s="3"/>
      <c r="AG346" s="3"/>
      <c r="AH346" s="3"/>
      <c r="AI346" s="3"/>
      <c r="AJ346" s="3"/>
      <c r="AK346" s="3"/>
      <c r="AL346" s="3"/>
      <c r="AM346" s="3"/>
      <c r="AN346" s="3"/>
      <c r="AO346" s="3"/>
    </row>
    <row r="347" spans="1:41" ht="15.75" customHeight="1">
      <c r="A347" s="12"/>
      <c r="B347" s="3"/>
      <c r="C347" s="12"/>
      <c r="D347" s="3"/>
      <c r="E347" s="3"/>
      <c r="F347" s="5"/>
      <c r="G347" s="3"/>
      <c r="H347" s="3"/>
      <c r="I347" s="3"/>
      <c r="J347" s="3"/>
      <c r="K347" s="3"/>
      <c r="L347" s="3"/>
      <c r="M347" s="3"/>
      <c r="N347" s="3"/>
      <c r="O347" s="3"/>
      <c r="P347" s="3"/>
      <c r="Q347" s="3"/>
      <c r="R347" s="5"/>
      <c r="S347" s="3"/>
      <c r="T347" s="3"/>
      <c r="U347" s="3"/>
      <c r="V347" s="3"/>
      <c r="W347" s="3"/>
      <c r="X347" s="3"/>
      <c r="Y347" s="3"/>
      <c r="Z347" s="3"/>
      <c r="AA347" s="3"/>
      <c r="AB347" s="34" t="s">
        <v>1246</v>
      </c>
      <c r="AC347" s="19" t="s">
        <v>36</v>
      </c>
      <c r="AD347" s="25" t="s">
        <v>1247</v>
      </c>
      <c r="AE347" s="3"/>
      <c r="AF347" s="3"/>
      <c r="AG347" s="3"/>
      <c r="AH347" s="3"/>
      <c r="AI347" s="3"/>
      <c r="AJ347" s="3"/>
      <c r="AK347" s="3"/>
      <c r="AL347" s="3"/>
      <c r="AM347" s="3"/>
      <c r="AN347" s="3"/>
      <c r="AO347" s="3"/>
    </row>
    <row r="348" spans="1:41" ht="15.75" customHeight="1">
      <c r="A348" s="12"/>
      <c r="B348" s="3"/>
      <c r="C348" s="12"/>
      <c r="D348" s="3"/>
      <c r="E348" s="3"/>
      <c r="F348" s="5"/>
      <c r="G348" s="3"/>
      <c r="H348" s="3"/>
      <c r="I348" s="3"/>
      <c r="J348" s="3"/>
      <c r="K348" s="3"/>
      <c r="L348" s="3"/>
      <c r="M348" s="3"/>
      <c r="N348" s="3"/>
      <c r="O348" s="3"/>
      <c r="P348" s="3"/>
      <c r="Q348" s="3"/>
      <c r="R348" s="5"/>
      <c r="S348" s="3"/>
      <c r="T348" s="3"/>
      <c r="U348" s="3"/>
      <c r="V348" s="3"/>
      <c r="W348" s="3"/>
      <c r="X348" s="3"/>
      <c r="Y348" s="3"/>
      <c r="Z348" s="3"/>
      <c r="AA348" s="3"/>
      <c r="AB348" s="34" t="s">
        <v>1248</v>
      </c>
      <c r="AC348" s="19" t="s">
        <v>36</v>
      </c>
      <c r="AD348" s="25" t="s">
        <v>1249</v>
      </c>
      <c r="AE348" s="3"/>
      <c r="AF348" s="3"/>
      <c r="AG348" s="3"/>
      <c r="AH348" s="3"/>
      <c r="AI348" s="3"/>
      <c r="AJ348" s="3"/>
      <c r="AK348" s="3"/>
      <c r="AL348" s="3"/>
      <c r="AM348" s="3"/>
      <c r="AN348" s="3"/>
      <c r="AO348" s="3"/>
    </row>
    <row r="349" spans="1:41" ht="15.75" customHeight="1">
      <c r="A349" s="12"/>
      <c r="B349" s="3"/>
      <c r="C349" s="12"/>
      <c r="D349" s="3"/>
      <c r="E349" s="3"/>
      <c r="F349" s="5"/>
      <c r="G349" s="3"/>
      <c r="H349" s="3"/>
      <c r="I349" s="3"/>
      <c r="J349" s="3"/>
      <c r="K349" s="3"/>
      <c r="L349" s="3"/>
      <c r="M349" s="3"/>
      <c r="N349" s="3"/>
      <c r="O349" s="3"/>
      <c r="P349" s="3"/>
      <c r="Q349" s="3"/>
      <c r="R349" s="5"/>
      <c r="S349" s="3"/>
      <c r="T349" s="3"/>
      <c r="U349" s="3"/>
      <c r="V349" s="3"/>
      <c r="W349" s="3"/>
      <c r="X349" s="3"/>
      <c r="Y349" s="3"/>
      <c r="Z349" s="3"/>
      <c r="AA349" s="3"/>
      <c r="AB349" s="34" t="s">
        <v>1250</v>
      </c>
      <c r="AC349" s="19" t="s">
        <v>36</v>
      </c>
      <c r="AD349" s="25" t="s">
        <v>1251</v>
      </c>
      <c r="AE349" s="3"/>
      <c r="AF349" s="3"/>
      <c r="AG349" s="3"/>
      <c r="AH349" s="3"/>
      <c r="AI349" s="3"/>
      <c r="AJ349" s="3"/>
      <c r="AK349" s="3"/>
      <c r="AL349" s="3"/>
      <c r="AM349" s="3"/>
      <c r="AN349" s="3"/>
      <c r="AO349" s="3"/>
    </row>
    <row r="350" spans="1:41" ht="15.75" customHeight="1">
      <c r="A350" s="12"/>
      <c r="B350" s="3"/>
      <c r="C350" s="12"/>
      <c r="D350" s="3"/>
      <c r="E350" s="3"/>
      <c r="F350" s="5"/>
      <c r="G350" s="3"/>
      <c r="H350" s="3"/>
      <c r="I350" s="3"/>
      <c r="J350" s="3"/>
      <c r="K350" s="3"/>
      <c r="L350" s="3"/>
      <c r="M350" s="3"/>
      <c r="N350" s="3"/>
      <c r="O350" s="3"/>
      <c r="P350" s="3"/>
      <c r="Q350" s="3"/>
      <c r="R350" s="5"/>
      <c r="S350" s="3"/>
      <c r="T350" s="3"/>
      <c r="U350" s="3"/>
      <c r="V350" s="3"/>
      <c r="W350" s="3"/>
      <c r="X350" s="3"/>
      <c r="Y350" s="3"/>
      <c r="Z350" s="3"/>
      <c r="AA350" s="3"/>
      <c r="AB350" s="34" t="s">
        <v>1252</v>
      </c>
      <c r="AC350" s="19" t="s">
        <v>36</v>
      </c>
      <c r="AD350" s="25" t="s">
        <v>1253</v>
      </c>
      <c r="AE350" s="3"/>
      <c r="AF350" s="3"/>
      <c r="AG350" s="3"/>
      <c r="AH350" s="3"/>
      <c r="AI350" s="3"/>
      <c r="AJ350" s="3"/>
      <c r="AK350" s="3"/>
      <c r="AL350" s="3"/>
      <c r="AM350" s="3"/>
      <c r="AN350" s="3"/>
      <c r="AO350" s="3"/>
    </row>
    <row r="351" spans="1:41" ht="15.75" customHeight="1">
      <c r="A351" s="12"/>
      <c r="B351" s="3"/>
      <c r="C351" s="12"/>
      <c r="D351" s="3"/>
      <c r="E351" s="3"/>
      <c r="F351" s="5"/>
      <c r="G351" s="3"/>
      <c r="H351" s="3"/>
      <c r="I351" s="3"/>
      <c r="J351" s="3"/>
      <c r="K351" s="3"/>
      <c r="L351" s="3"/>
      <c r="M351" s="3"/>
      <c r="N351" s="3"/>
      <c r="O351" s="3"/>
      <c r="P351" s="3"/>
      <c r="Q351" s="3"/>
      <c r="R351" s="5"/>
      <c r="S351" s="3"/>
      <c r="T351" s="3"/>
      <c r="U351" s="3"/>
      <c r="V351" s="3"/>
      <c r="W351" s="3"/>
      <c r="X351" s="3"/>
      <c r="Y351" s="3"/>
      <c r="Z351" s="3"/>
      <c r="AA351" s="3"/>
      <c r="AB351" s="34" t="s">
        <v>1254</v>
      </c>
      <c r="AC351" s="19" t="s">
        <v>36</v>
      </c>
      <c r="AD351" s="25" t="s">
        <v>1255</v>
      </c>
      <c r="AE351" s="3"/>
      <c r="AF351" s="3"/>
      <c r="AG351" s="3"/>
      <c r="AH351" s="3"/>
      <c r="AI351" s="3"/>
      <c r="AJ351" s="3"/>
      <c r="AK351" s="3"/>
      <c r="AL351" s="3"/>
      <c r="AM351" s="3"/>
      <c r="AN351" s="3"/>
      <c r="AO351" s="3"/>
    </row>
    <row r="352" spans="1:41" ht="15.75" customHeight="1">
      <c r="A352" s="12"/>
      <c r="B352" s="3"/>
      <c r="C352" s="12"/>
      <c r="D352" s="3"/>
      <c r="E352" s="3"/>
      <c r="F352" s="5"/>
      <c r="G352" s="3"/>
      <c r="H352" s="3"/>
      <c r="I352" s="3"/>
      <c r="J352" s="3"/>
      <c r="K352" s="3"/>
      <c r="L352" s="3"/>
      <c r="M352" s="3"/>
      <c r="N352" s="3"/>
      <c r="O352" s="3"/>
      <c r="P352" s="3"/>
      <c r="Q352" s="3"/>
      <c r="R352" s="5"/>
      <c r="S352" s="3"/>
      <c r="T352" s="3"/>
      <c r="U352" s="3"/>
      <c r="V352" s="3"/>
      <c r="W352" s="3"/>
      <c r="X352" s="3"/>
      <c r="Y352" s="3"/>
      <c r="Z352" s="3"/>
      <c r="AA352" s="3"/>
      <c r="AB352" s="34" t="s">
        <v>1256</v>
      </c>
      <c r="AC352" s="19" t="s">
        <v>36</v>
      </c>
      <c r="AD352" s="25" t="s">
        <v>1257</v>
      </c>
      <c r="AE352" s="3"/>
      <c r="AF352" s="3"/>
      <c r="AG352" s="3"/>
      <c r="AH352" s="3"/>
      <c r="AI352" s="3"/>
      <c r="AJ352" s="3"/>
      <c r="AK352" s="3"/>
      <c r="AL352" s="3"/>
      <c r="AM352" s="3"/>
      <c r="AN352" s="3"/>
      <c r="AO352" s="3"/>
    </row>
    <row r="353" spans="1:41" ht="15.75" customHeight="1">
      <c r="A353" s="12"/>
      <c r="B353" s="3"/>
      <c r="C353" s="12"/>
      <c r="D353" s="3"/>
      <c r="E353" s="3"/>
      <c r="F353" s="5"/>
      <c r="G353" s="3"/>
      <c r="H353" s="3"/>
      <c r="I353" s="3"/>
      <c r="J353" s="3"/>
      <c r="K353" s="3"/>
      <c r="L353" s="3"/>
      <c r="M353" s="3"/>
      <c r="N353" s="3"/>
      <c r="O353" s="3"/>
      <c r="P353" s="3"/>
      <c r="Q353" s="3"/>
      <c r="R353" s="5"/>
      <c r="S353" s="3"/>
      <c r="T353" s="3"/>
      <c r="U353" s="3"/>
      <c r="V353" s="3"/>
      <c r="W353" s="3"/>
      <c r="X353" s="3"/>
      <c r="Y353" s="3"/>
      <c r="Z353" s="3"/>
      <c r="AA353" s="3"/>
      <c r="AB353" s="34" t="s">
        <v>1258</v>
      </c>
      <c r="AC353" s="19" t="s">
        <v>36</v>
      </c>
      <c r="AD353" s="25" t="s">
        <v>1259</v>
      </c>
      <c r="AE353" s="3"/>
      <c r="AF353" s="3"/>
      <c r="AG353" s="3"/>
      <c r="AH353" s="3"/>
      <c r="AI353" s="3"/>
      <c r="AJ353" s="3"/>
      <c r="AK353" s="3"/>
      <c r="AL353" s="3"/>
      <c r="AM353" s="3"/>
      <c r="AN353" s="3"/>
      <c r="AO353" s="3"/>
    </row>
    <row r="354" spans="1:41" ht="15.75" customHeight="1">
      <c r="A354" s="12"/>
      <c r="B354" s="3"/>
      <c r="C354" s="12"/>
      <c r="D354" s="3"/>
      <c r="E354" s="3"/>
      <c r="F354" s="5"/>
      <c r="G354" s="3"/>
      <c r="H354" s="3"/>
      <c r="I354" s="3"/>
      <c r="J354" s="3"/>
      <c r="K354" s="3"/>
      <c r="L354" s="3"/>
      <c r="M354" s="3"/>
      <c r="N354" s="3"/>
      <c r="O354" s="3"/>
      <c r="P354" s="3"/>
      <c r="Q354" s="3"/>
      <c r="R354" s="5"/>
      <c r="S354" s="3"/>
      <c r="T354" s="3"/>
      <c r="U354" s="3"/>
      <c r="V354" s="3"/>
      <c r="W354" s="3"/>
      <c r="X354" s="3"/>
      <c r="Y354" s="3"/>
      <c r="Z354" s="3"/>
      <c r="AA354" s="3"/>
      <c r="AB354" s="34" t="s">
        <v>1260</v>
      </c>
      <c r="AC354" s="19" t="s">
        <v>140</v>
      </c>
      <c r="AD354" s="34"/>
      <c r="AE354" s="3"/>
      <c r="AF354" s="3"/>
      <c r="AG354" s="3"/>
      <c r="AH354" s="3"/>
      <c r="AI354" s="3"/>
      <c r="AJ354" s="3"/>
      <c r="AK354" s="3"/>
      <c r="AL354" s="3"/>
      <c r="AM354" s="3"/>
      <c r="AN354" s="3"/>
      <c r="AO354" s="3"/>
    </row>
    <row r="355" spans="1:41" ht="15.75" customHeight="1">
      <c r="A355" s="12"/>
      <c r="B355" s="3"/>
      <c r="C355" s="12"/>
      <c r="D355" s="3"/>
      <c r="E355" s="3"/>
      <c r="F355" s="5"/>
      <c r="G355" s="3"/>
      <c r="H355" s="3"/>
      <c r="I355" s="3"/>
      <c r="J355" s="3"/>
      <c r="K355" s="3"/>
      <c r="L355" s="3"/>
      <c r="M355" s="3"/>
      <c r="N355" s="3"/>
      <c r="O355" s="3"/>
      <c r="P355" s="3"/>
      <c r="Q355" s="3"/>
      <c r="R355" s="5"/>
      <c r="S355" s="3"/>
      <c r="T355" s="3"/>
      <c r="U355" s="3"/>
      <c r="V355" s="3"/>
      <c r="W355" s="3"/>
      <c r="X355" s="3"/>
      <c r="Y355" s="3"/>
      <c r="Z355" s="3"/>
      <c r="AA355" s="3"/>
      <c r="AB355" s="34" t="s">
        <v>1261</v>
      </c>
      <c r="AC355" s="19" t="s">
        <v>140</v>
      </c>
      <c r="AD355" s="34"/>
      <c r="AE355" s="3"/>
      <c r="AF355" s="3"/>
      <c r="AG355" s="3"/>
      <c r="AH355" s="3"/>
      <c r="AI355" s="3"/>
      <c r="AJ355" s="3"/>
      <c r="AK355" s="3"/>
      <c r="AL355" s="3"/>
      <c r="AM355" s="3"/>
      <c r="AN355" s="3"/>
      <c r="AO355" s="3"/>
    </row>
    <row r="356" spans="1:41" ht="15.75" customHeight="1">
      <c r="A356" s="12"/>
      <c r="B356" s="3"/>
      <c r="C356" s="12"/>
      <c r="D356" s="3"/>
      <c r="E356" s="3"/>
      <c r="F356" s="5"/>
      <c r="G356" s="3"/>
      <c r="H356" s="3"/>
      <c r="I356" s="3"/>
      <c r="J356" s="3"/>
      <c r="K356" s="3"/>
      <c r="L356" s="3"/>
      <c r="M356" s="3"/>
      <c r="N356" s="3"/>
      <c r="O356" s="3"/>
      <c r="P356" s="3"/>
      <c r="Q356" s="3"/>
      <c r="R356" s="5"/>
      <c r="S356" s="3"/>
      <c r="T356" s="3"/>
      <c r="U356" s="3"/>
      <c r="V356" s="3"/>
      <c r="W356" s="3"/>
      <c r="X356" s="3"/>
      <c r="Y356" s="3"/>
      <c r="Z356" s="3"/>
      <c r="AA356" s="3"/>
      <c r="AB356" s="34" t="s">
        <v>1262</v>
      </c>
      <c r="AC356" s="19" t="s">
        <v>140</v>
      </c>
      <c r="AD356" s="34"/>
      <c r="AE356" s="3"/>
      <c r="AF356" s="3"/>
      <c r="AG356" s="3"/>
      <c r="AH356" s="3"/>
      <c r="AI356" s="3"/>
      <c r="AJ356" s="3"/>
      <c r="AK356" s="3"/>
      <c r="AL356" s="3"/>
      <c r="AM356" s="3"/>
      <c r="AN356" s="3"/>
      <c r="AO356" s="3"/>
    </row>
    <row r="357" spans="1:41" ht="15.75" customHeight="1">
      <c r="A357" s="12"/>
      <c r="B357" s="3"/>
      <c r="C357" s="12"/>
      <c r="D357" s="3"/>
      <c r="E357" s="3"/>
      <c r="F357" s="5"/>
      <c r="G357" s="3"/>
      <c r="H357" s="3"/>
      <c r="I357" s="3"/>
      <c r="J357" s="3"/>
      <c r="K357" s="3"/>
      <c r="L357" s="3"/>
      <c r="M357" s="3"/>
      <c r="N357" s="3"/>
      <c r="O357" s="3"/>
      <c r="P357" s="3"/>
      <c r="Q357" s="3"/>
      <c r="R357" s="5"/>
      <c r="S357" s="3"/>
      <c r="T357" s="3"/>
      <c r="U357" s="3"/>
      <c r="V357" s="3"/>
      <c r="W357" s="3"/>
      <c r="X357" s="3"/>
      <c r="Y357" s="3"/>
      <c r="Z357" s="3"/>
      <c r="AA357" s="3"/>
      <c r="AB357" s="34" t="s">
        <v>1263</v>
      </c>
      <c r="AC357" s="19" t="s">
        <v>36</v>
      </c>
      <c r="AD357" s="25" t="s">
        <v>1264</v>
      </c>
      <c r="AE357" s="3"/>
      <c r="AF357" s="3"/>
      <c r="AG357" s="3"/>
      <c r="AH357" s="3"/>
      <c r="AI357" s="3"/>
      <c r="AJ357" s="3"/>
      <c r="AK357" s="3"/>
      <c r="AL357" s="3"/>
      <c r="AM357" s="3"/>
      <c r="AN357" s="3"/>
      <c r="AO357" s="3"/>
    </row>
    <row r="358" spans="1:41" ht="15.75" customHeight="1">
      <c r="A358" s="12"/>
      <c r="B358" s="3"/>
      <c r="C358" s="12"/>
      <c r="D358" s="3"/>
      <c r="E358" s="3"/>
      <c r="F358" s="5"/>
      <c r="G358" s="3"/>
      <c r="H358" s="3"/>
      <c r="I358" s="3"/>
      <c r="J358" s="3"/>
      <c r="K358" s="3"/>
      <c r="L358" s="3"/>
      <c r="M358" s="3"/>
      <c r="N358" s="3"/>
      <c r="O358" s="3"/>
      <c r="P358" s="3"/>
      <c r="Q358" s="3"/>
      <c r="R358" s="5"/>
      <c r="S358" s="3"/>
      <c r="T358" s="3"/>
      <c r="U358" s="3"/>
      <c r="V358" s="3"/>
      <c r="W358" s="3"/>
      <c r="X358" s="3"/>
      <c r="Y358" s="3"/>
      <c r="Z358" s="3"/>
      <c r="AA358" s="3"/>
      <c r="AB358" s="34" t="s">
        <v>1265</v>
      </c>
      <c r="AC358" s="19" t="s">
        <v>36</v>
      </c>
      <c r="AD358" s="25" t="s">
        <v>1266</v>
      </c>
      <c r="AE358" s="3"/>
      <c r="AF358" s="3"/>
      <c r="AG358" s="3"/>
      <c r="AH358" s="3"/>
      <c r="AI358" s="3"/>
      <c r="AJ358" s="3"/>
      <c r="AK358" s="3"/>
      <c r="AL358" s="3"/>
      <c r="AM358" s="3"/>
      <c r="AN358" s="3"/>
      <c r="AO358" s="3"/>
    </row>
    <row r="359" spans="1:41" ht="15.75" customHeight="1">
      <c r="A359" s="12"/>
      <c r="B359" s="3"/>
      <c r="C359" s="12"/>
      <c r="D359" s="3"/>
      <c r="E359" s="3"/>
      <c r="F359" s="5"/>
      <c r="G359" s="3"/>
      <c r="H359" s="3"/>
      <c r="I359" s="3"/>
      <c r="J359" s="3"/>
      <c r="K359" s="3"/>
      <c r="L359" s="3"/>
      <c r="M359" s="3"/>
      <c r="N359" s="3"/>
      <c r="O359" s="3"/>
      <c r="P359" s="3"/>
      <c r="Q359" s="3"/>
      <c r="R359" s="5"/>
      <c r="S359" s="3"/>
      <c r="T359" s="3"/>
      <c r="U359" s="3"/>
      <c r="V359" s="3"/>
      <c r="W359" s="3"/>
      <c r="X359" s="3"/>
      <c r="Y359" s="3"/>
      <c r="Z359" s="3"/>
      <c r="AA359" s="3"/>
      <c r="AB359" s="34" t="s">
        <v>1267</v>
      </c>
      <c r="AC359" s="19" t="s">
        <v>36</v>
      </c>
      <c r="AD359" s="25" t="s">
        <v>1268</v>
      </c>
      <c r="AE359" s="3"/>
      <c r="AF359" s="3"/>
      <c r="AG359" s="3"/>
      <c r="AH359" s="3"/>
      <c r="AI359" s="3"/>
      <c r="AJ359" s="3"/>
      <c r="AK359" s="3"/>
      <c r="AL359" s="3"/>
      <c r="AM359" s="3"/>
      <c r="AN359" s="3"/>
      <c r="AO359" s="3"/>
    </row>
    <row r="360" spans="1:41" ht="15.75" customHeight="1">
      <c r="A360" s="12"/>
      <c r="B360" s="3"/>
      <c r="C360" s="12"/>
      <c r="D360" s="3"/>
      <c r="E360" s="3"/>
      <c r="F360" s="5"/>
      <c r="G360" s="3"/>
      <c r="H360" s="3"/>
      <c r="I360" s="3"/>
      <c r="J360" s="3"/>
      <c r="K360" s="3"/>
      <c r="L360" s="3"/>
      <c r="M360" s="3"/>
      <c r="N360" s="3"/>
      <c r="O360" s="3"/>
      <c r="P360" s="3"/>
      <c r="Q360" s="3"/>
      <c r="R360" s="5"/>
      <c r="S360" s="3"/>
      <c r="T360" s="3"/>
      <c r="U360" s="3"/>
      <c r="V360" s="3"/>
      <c r="W360" s="3"/>
      <c r="X360" s="3"/>
      <c r="Y360" s="3"/>
      <c r="Z360" s="3"/>
      <c r="AA360" s="3"/>
      <c r="AB360" s="34" t="s">
        <v>1269</v>
      </c>
      <c r="AC360" s="19" t="s">
        <v>36</v>
      </c>
      <c r="AD360" s="25" t="s">
        <v>1270</v>
      </c>
      <c r="AE360" s="3"/>
      <c r="AF360" s="3"/>
      <c r="AG360" s="3"/>
      <c r="AH360" s="3"/>
      <c r="AI360" s="3"/>
      <c r="AJ360" s="3"/>
      <c r="AK360" s="3"/>
      <c r="AL360" s="3"/>
      <c r="AM360" s="3"/>
      <c r="AN360" s="3"/>
      <c r="AO360" s="3"/>
    </row>
    <row r="361" spans="1:41" ht="15.75" customHeight="1">
      <c r="A361" s="12"/>
      <c r="B361" s="3"/>
      <c r="C361" s="12"/>
      <c r="D361" s="3"/>
      <c r="E361" s="3"/>
      <c r="F361" s="5"/>
      <c r="G361" s="3"/>
      <c r="H361" s="3"/>
      <c r="I361" s="3"/>
      <c r="J361" s="3"/>
      <c r="K361" s="3"/>
      <c r="L361" s="3"/>
      <c r="M361" s="3"/>
      <c r="N361" s="3"/>
      <c r="O361" s="3"/>
      <c r="P361" s="3"/>
      <c r="Q361" s="3"/>
      <c r="R361" s="5"/>
      <c r="S361" s="3"/>
      <c r="T361" s="3"/>
      <c r="U361" s="3"/>
      <c r="V361" s="3"/>
      <c r="W361" s="3"/>
      <c r="X361" s="3"/>
      <c r="Y361" s="3"/>
      <c r="Z361" s="3"/>
      <c r="AA361" s="3"/>
      <c r="AB361" s="34" t="s">
        <v>1271</v>
      </c>
      <c r="AC361" s="19" t="s">
        <v>36</v>
      </c>
      <c r="AD361" s="25" t="s">
        <v>1272</v>
      </c>
      <c r="AE361" s="3"/>
      <c r="AF361" s="3"/>
      <c r="AG361" s="3"/>
      <c r="AH361" s="3"/>
      <c r="AI361" s="3"/>
      <c r="AJ361" s="3"/>
      <c r="AK361" s="3"/>
      <c r="AL361" s="3"/>
      <c r="AM361" s="3"/>
      <c r="AN361" s="3"/>
      <c r="AO361" s="3"/>
    </row>
    <row r="362" spans="1:41" ht="15.75" customHeight="1">
      <c r="A362" s="12"/>
      <c r="B362" s="3"/>
      <c r="C362" s="12"/>
      <c r="D362" s="3"/>
      <c r="E362" s="3"/>
      <c r="F362" s="5"/>
      <c r="G362" s="3"/>
      <c r="H362" s="3"/>
      <c r="I362" s="3"/>
      <c r="J362" s="3"/>
      <c r="K362" s="3"/>
      <c r="L362" s="3"/>
      <c r="M362" s="3"/>
      <c r="N362" s="3"/>
      <c r="O362" s="3"/>
      <c r="P362" s="3"/>
      <c r="Q362" s="3"/>
      <c r="R362" s="5"/>
      <c r="S362" s="3"/>
      <c r="T362" s="3"/>
      <c r="U362" s="3"/>
      <c r="V362" s="3"/>
      <c r="W362" s="3"/>
      <c r="X362" s="3"/>
      <c r="Y362" s="3"/>
      <c r="Z362" s="3"/>
      <c r="AA362" s="3"/>
      <c r="AB362" s="34" t="s">
        <v>1273</v>
      </c>
      <c r="AC362" s="19" t="s">
        <v>140</v>
      </c>
      <c r="AD362" s="34"/>
      <c r="AE362" s="3"/>
      <c r="AF362" s="3"/>
      <c r="AG362" s="3"/>
      <c r="AH362" s="3"/>
      <c r="AI362" s="3"/>
      <c r="AJ362" s="3"/>
      <c r="AK362" s="3"/>
      <c r="AL362" s="3"/>
      <c r="AM362" s="3"/>
      <c r="AN362" s="3"/>
      <c r="AO362" s="3"/>
    </row>
    <row r="363" spans="1:41" ht="15.75" customHeight="1">
      <c r="A363" s="12"/>
      <c r="B363" s="3"/>
      <c r="C363" s="12"/>
      <c r="D363" s="3"/>
      <c r="E363" s="3"/>
      <c r="F363" s="5"/>
      <c r="G363" s="3"/>
      <c r="H363" s="3"/>
      <c r="I363" s="3"/>
      <c r="J363" s="3"/>
      <c r="K363" s="3"/>
      <c r="L363" s="3"/>
      <c r="M363" s="3"/>
      <c r="N363" s="3"/>
      <c r="O363" s="3"/>
      <c r="P363" s="3"/>
      <c r="Q363" s="3"/>
      <c r="R363" s="5"/>
      <c r="S363" s="3"/>
      <c r="T363" s="3"/>
      <c r="U363" s="3"/>
      <c r="V363" s="3"/>
      <c r="W363" s="3"/>
      <c r="X363" s="3"/>
      <c r="Y363" s="3"/>
      <c r="Z363" s="3"/>
      <c r="AA363" s="3"/>
      <c r="AB363" s="34" t="s">
        <v>1274</v>
      </c>
      <c r="AC363" s="19" t="s">
        <v>36</v>
      </c>
      <c r="AD363" s="25" t="s">
        <v>1275</v>
      </c>
      <c r="AE363" s="3"/>
      <c r="AF363" s="3"/>
      <c r="AG363" s="3"/>
      <c r="AH363" s="3"/>
      <c r="AI363" s="3"/>
      <c r="AJ363" s="3"/>
      <c r="AK363" s="3"/>
      <c r="AL363" s="3"/>
      <c r="AM363" s="3"/>
      <c r="AN363" s="3"/>
      <c r="AO363" s="3"/>
    </row>
    <row r="364" spans="1:41" ht="15.75" customHeight="1">
      <c r="A364" s="12"/>
      <c r="B364" s="3"/>
      <c r="C364" s="12"/>
      <c r="D364" s="3"/>
      <c r="E364" s="3"/>
      <c r="F364" s="5"/>
      <c r="G364" s="3"/>
      <c r="H364" s="3"/>
      <c r="I364" s="3"/>
      <c r="J364" s="3"/>
      <c r="K364" s="3"/>
      <c r="L364" s="3"/>
      <c r="M364" s="3"/>
      <c r="N364" s="3"/>
      <c r="O364" s="3"/>
      <c r="P364" s="3"/>
      <c r="Q364" s="3"/>
      <c r="R364" s="5"/>
      <c r="S364" s="3"/>
      <c r="T364" s="3"/>
      <c r="U364" s="3"/>
      <c r="V364" s="3"/>
      <c r="W364" s="3"/>
      <c r="X364" s="3"/>
      <c r="Y364" s="3"/>
      <c r="Z364" s="3"/>
      <c r="AA364" s="3"/>
      <c r="AB364" s="34" t="s">
        <v>1276</v>
      </c>
      <c r="AC364" s="19" t="s">
        <v>36</v>
      </c>
      <c r="AD364" s="25" t="s">
        <v>1277</v>
      </c>
      <c r="AE364" s="3"/>
      <c r="AF364" s="3"/>
      <c r="AG364" s="3"/>
      <c r="AH364" s="3"/>
      <c r="AI364" s="3"/>
      <c r="AJ364" s="3"/>
      <c r="AK364" s="3"/>
      <c r="AL364" s="3"/>
      <c r="AM364" s="3"/>
      <c r="AN364" s="3"/>
      <c r="AO364" s="3"/>
    </row>
    <row r="365" spans="1:41" ht="15.75" customHeight="1">
      <c r="A365" s="12"/>
      <c r="B365" s="3"/>
      <c r="C365" s="12"/>
      <c r="D365" s="3"/>
      <c r="E365" s="3"/>
      <c r="F365" s="5"/>
      <c r="G365" s="3"/>
      <c r="H365" s="3"/>
      <c r="I365" s="3"/>
      <c r="J365" s="3"/>
      <c r="K365" s="3"/>
      <c r="L365" s="3"/>
      <c r="M365" s="3"/>
      <c r="N365" s="3"/>
      <c r="O365" s="3"/>
      <c r="P365" s="3"/>
      <c r="Q365" s="3"/>
      <c r="R365" s="5"/>
      <c r="S365" s="3"/>
      <c r="T365" s="3"/>
      <c r="U365" s="3"/>
      <c r="V365" s="3"/>
      <c r="W365" s="3"/>
      <c r="X365" s="3"/>
      <c r="Y365" s="3"/>
      <c r="Z365" s="3"/>
      <c r="AA365" s="3"/>
      <c r="AB365" s="34" t="s">
        <v>1278</v>
      </c>
      <c r="AC365" s="19" t="s">
        <v>36</v>
      </c>
      <c r="AD365" s="180" t="s">
        <v>1279</v>
      </c>
      <c r="AE365" s="3"/>
      <c r="AF365" s="3"/>
      <c r="AG365" s="3"/>
      <c r="AH365" s="3"/>
      <c r="AI365" s="3"/>
      <c r="AJ365" s="3"/>
      <c r="AK365" s="3"/>
      <c r="AL365" s="3"/>
      <c r="AM365" s="3"/>
      <c r="AN365" s="3"/>
      <c r="AO365" s="3"/>
    </row>
    <row r="366" spans="1:41" ht="15.75" customHeight="1">
      <c r="A366" s="12"/>
      <c r="B366" s="3"/>
      <c r="C366" s="12"/>
      <c r="D366" s="3"/>
      <c r="E366" s="3"/>
      <c r="F366" s="5"/>
      <c r="G366" s="3"/>
      <c r="H366" s="3"/>
      <c r="I366" s="3"/>
      <c r="J366" s="3"/>
      <c r="K366" s="3"/>
      <c r="L366" s="3"/>
      <c r="M366" s="3"/>
      <c r="N366" s="3"/>
      <c r="O366" s="3"/>
      <c r="P366" s="3"/>
      <c r="Q366" s="3"/>
      <c r="R366" s="5"/>
      <c r="S366" s="3"/>
      <c r="T366" s="3"/>
      <c r="U366" s="3"/>
      <c r="V366" s="3"/>
      <c r="W366" s="3"/>
      <c r="X366" s="3"/>
      <c r="Y366" s="3"/>
      <c r="Z366" s="3"/>
      <c r="AA366" s="3"/>
      <c r="AB366" s="34" t="s">
        <v>1280</v>
      </c>
      <c r="AC366" s="19" t="s">
        <v>36</v>
      </c>
      <c r="AD366" s="25" t="s">
        <v>1281</v>
      </c>
      <c r="AE366" s="3"/>
      <c r="AF366" s="3"/>
      <c r="AG366" s="3"/>
      <c r="AH366" s="3"/>
      <c r="AI366" s="3"/>
      <c r="AJ366" s="3"/>
      <c r="AK366" s="3"/>
      <c r="AL366" s="3"/>
      <c r="AM366" s="3"/>
      <c r="AN366" s="3"/>
      <c r="AO366" s="3"/>
    </row>
    <row r="367" spans="1:41" ht="15.75" customHeight="1">
      <c r="A367" s="12"/>
      <c r="B367" s="3"/>
      <c r="C367" s="12"/>
      <c r="D367" s="3"/>
      <c r="E367" s="3"/>
      <c r="F367" s="5"/>
      <c r="G367" s="3"/>
      <c r="H367" s="3"/>
      <c r="I367" s="3"/>
      <c r="J367" s="3"/>
      <c r="K367" s="3"/>
      <c r="L367" s="3"/>
      <c r="M367" s="3"/>
      <c r="N367" s="3"/>
      <c r="O367" s="3"/>
      <c r="P367" s="3"/>
      <c r="Q367" s="3"/>
      <c r="R367" s="5"/>
      <c r="S367" s="3"/>
      <c r="T367" s="3"/>
      <c r="U367" s="3"/>
      <c r="V367" s="3"/>
      <c r="W367" s="3"/>
      <c r="X367" s="3"/>
      <c r="Y367" s="3"/>
      <c r="Z367" s="3"/>
      <c r="AA367" s="3"/>
      <c r="AB367" s="34" t="s">
        <v>1282</v>
      </c>
      <c r="AC367" s="19" t="s">
        <v>36</v>
      </c>
      <c r="AD367" s="180" t="s">
        <v>1283</v>
      </c>
      <c r="AE367" s="3"/>
      <c r="AF367" s="3"/>
      <c r="AG367" s="3"/>
      <c r="AH367" s="3"/>
      <c r="AI367" s="3"/>
      <c r="AJ367" s="3"/>
      <c r="AK367" s="3"/>
      <c r="AL367" s="3"/>
      <c r="AM367" s="3"/>
      <c r="AN367" s="3"/>
      <c r="AO367" s="3"/>
    </row>
    <row r="368" spans="1:41" ht="15.75" customHeight="1">
      <c r="A368" s="12"/>
      <c r="B368" s="3"/>
      <c r="C368" s="12"/>
      <c r="D368" s="3"/>
      <c r="E368" s="3"/>
      <c r="F368" s="5"/>
      <c r="G368" s="3"/>
      <c r="H368" s="3"/>
      <c r="I368" s="3"/>
      <c r="J368" s="3"/>
      <c r="K368" s="3"/>
      <c r="L368" s="3"/>
      <c r="M368" s="3"/>
      <c r="N368" s="3"/>
      <c r="O368" s="3"/>
      <c r="P368" s="3"/>
      <c r="Q368" s="3"/>
      <c r="R368" s="5"/>
      <c r="S368" s="3"/>
      <c r="T368" s="3"/>
      <c r="U368" s="3"/>
      <c r="V368" s="3"/>
      <c r="W368" s="3"/>
      <c r="X368" s="3"/>
      <c r="Y368" s="3"/>
      <c r="Z368" s="3"/>
      <c r="AA368" s="3"/>
      <c r="AB368" s="34" t="s">
        <v>1284</v>
      </c>
      <c r="AC368" s="19" t="s">
        <v>140</v>
      </c>
      <c r="AD368" s="34"/>
      <c r="AE368" s="3"/>
      <c r="AF368" s="3"/>
      <c r="AG368" s="3"/>
      <c r="AH368" s="3"/>
      <c r="AI368" s="3"/>
      <c r="AJ368" s="3"/>
      <c r="AK368" s="3"/>
      <c r="AL368" s="3"/>
      <c r="AM368" s="3"/>
      <c r="AN368" s="3"/>
      <c r="AO368" s="3"/>
    </row>
    <row r="369" spans="1:41" ht="15.75" customHeight="1">
      <c r="A369" s="12"/>
      <c r="B369" s="3"/>
      <c r="C369" s="12"/>
      <c r="D369" s="3"/>
      <c r="E369" s="3"/>
      <c r="F369" s="5"/>
      <c r="G369" s="3"/>
      <c r="H369" s="3"/>
      <c r="I369" s="3"/>
      <c r="J369" s="3"/>
      <c r="K369" s="3"/>
      <c r="L369" s="3"/>
      <c r="M369" s="3"/>
      <c r="N369" s="3"/>
      <c r="O369" s="3"/>
      <c r="P369" s="3"/>
      <c r="Q369" s="3"/>
      <c r="R369" s="5"/>
      <c r="S369" s="3"/>
      <c r="T369" s="3"/>
      <c r="U369" s="3"/>
      <c r="V369" s="3"/>
      <c r="W369" s="3"/>
      <c r="X369" s="3"/>
      <c r="Y369" s="3"/>
      <c r="Z369" s="3"/>
      <c r="AA369" s="3"/>
      <c r="AB369" s="34" t="s">
        <v>1285</v>
      </c>
      <c r="AC369" s="19" t="s">
        <v>36</v>
      </c>
      <c r="AD369" s="180" t="s">
        <v>1286</v>
      </c>
      <c r="AE369" s="3"/>
      <c r="AF369" s="3"/>
      <c r="AG369" s="3"/>
      <c r="AH369" s="3"/>
      <c r="AI369" s="3"/>
      <c r="AJ369" s="3"/>
      <c r="AK369" s="3"/>
      <c r="AL369" s="3"/>
      <c r="AM369" s="3"/>
      <c r="AN369" s="3"/>
      <c r="AO369" s="3"/>
    </row>
    <row r="370" spans="1:41" ht="15.75" customHeight="1">
      <c r="A370" s="12"/>
      <c r="B370" s="3"/>
      <c r="C370" s="12"/>
      <c r="D370" s="3"/>
      <c r="E370" s="3"/>
      <c r="F370" s="5"/>
      <c r="G370" s="3"/>
      <c r="H370" s="3"/>
      <c r="I370" s="3"/>
      <c r="J370" s="3"/>
      <c r="K370" s="3"/>
      <c r="L370" s="3"/>
      <c r="M370" s="3"/>
      <c r="N370" s="3"/>
      <c r="O370" s="3"/>
      <c r="P370" s="3"/>
      <c r="Q370" s="3"/>
      <c r="R370" s="5"/>
      <c r="S370" s="3"/>
      <c r="T370" s="3"/>
      <c r="U370" s="3"/>
      <c r="V370" s="3"/>
      <c r="W370" s="3"/>
      <c r="X370" s="3"/>
      <c r="Y370" s="3"/>
      <c r="Z370" s="3"/>
      <c r="AA370" s="3"/>
      <c r="AB370" s="34" t="s">
        <v>1287</v>
      </c>
      <c r="AC370" s="19" t="s">
        <v>140</v>
      </c>
      <c r="AD370" s="34"/>
      <c r="AE370" s="3"/>
      <c r="AF370" s="3"/>
      <c r="AG370" s="3"/>
      <c r="AH370" s="3"/>
      <c r="AI370" s="3"/>
      <c r="AJ370" s="3"/>
      <c r="AK370" s="3"/>
      <c r="AL370" s="3"/>
      <c r="AM370" s="3"/>
      <c r="AN370" s="3"/>
      <c r="AO370" s="3"/>
    </row>
    <row r="371" spans="1:41" ht="15.75" customHeight="1">
      <c r="A371" s="12"/>
      <c r="B371" s="3"/>
      <c r="C371" s="12"/>
      <c r="D371" s="3"/>
      <c r="E371" s="3"/>
      <c r="F371" s="5"/>
      <c r="G371" s="3"/>
      <c r="H371" s="3"/>
      <c r="I371" s="3"/>
      <c r="J371" s="3"/>
      <c r="K371" s="3"/>
      <c r="L371" s="3"/>
      <c r="M371" s="3"/>
      <c r="N371" s="3"/>
      <c r="O371" s="3"/>
      <c r="P371" s="3"/>
      <c r="Q371" s="3"/>
      <c r="R371" s="5"/>
      <c r="S371" s="3"/>
      <c r="T371" s="3"/>
      <c r="U371" s="3"/>
      <c r="V371" s="3"/>
      <c r="W371" s="3"/>
      <c r="X371" s="3"/>
      <c r="Y371" s="3"/>
      <c r="Z371" s="3"/>
      <c r="AA371" s="3"/>
      <c r="AB371" s="34" t="s">
        <v>1288</v>
      </c>
      <c r="AC371" s="19" t="s">
        <v>36</v>
      </c>
      <c r="AD371" s="25" t="s">
        <v>1289</v>
      </c>
      <c r="AE371" s="3"/>
      <c r="AF371" s="3"/>
      <c r="AG371" s="3"/>
      <c r="AH371" s="3"/>
      <c r="AI371" s="3"/>
      <c r="AJ371" s="3"/>
      <c r="AK371" s="3"/>
      <c r="AL371" s="3"/>
      <c r="AM371" s="3"/>
      <c r="AN371" s="3"/>
      <c r="AO371" s="3"/>
    </row>
    <row r="372" spans="1:41" ht="15.75" customHeight="1">
      <c r="A372" s="12"/>
      <c r="B372" s="3"/>
      <c r="C372" s="12"/>
      <c r="D372" s="3"/>
      <c r="E372" s="3"/>
      <c r="F372" s="5"/>
      <c r="G372" s="3"/>
      <c r="H372" s="3"/>
      <c r="I372" s="3"/>
      <c r="J372" s="3"/>
      <c r="K372" s="3"/>
      <c r="L372" s="3"/>
      <c r="M372" s="3"/>
      <c r="N372" s="3"/>
      <c r="O372" s="3"/>
      <c r="P372" s="3"/>
      <c r="Q372" s="3"/>
      <c r="R372" s="5"/>
      <c r="S372" s="3"/>
      <c r="T372" s="3"/>
      <c r="U372" s="3"/>
      <c r="V372" s="3"/>
      <c r="W372" s="3"/>
      <c r="X372" s="3"/>
      <c r="Y372" s="3"/>
      <c r="Z372" s="3"/>
      <c r="AA372" s="3"/>
      <c r="AB372" s="34" t="s">
        <v>1290</v>
      </c>
      <c r="AC372" s="19" t="s">
        <v>36</v>
      </c>
      <c r="AD372" s="25" t="s">
        <v>1291</v>
      </c>
      <c r="AE372" s="3"/>
      <c r="AF372" s="3"/>
      <c r="AG372" s="3"/>
      <c r="AH372" s="3"/>
      <c r="AI372" s="3"/>
      <c r="AJ372" s="3"/>
      <c r="AK372" s="3"/>
      <c r="AL372" s="3"/>
      <c r="AM372" s="3"/>
      <c r="AN372" s="3"/>
      <c r="AO372" s="3"/>
    </row>
    <row r="373" spans="1:41" ht="15.75" customHeight="1">
      <c r="A373" s="12"/>
      <c r="B373" s="3"/>
      <c r="C373" s="12"/>
      <c r="D373" s="3"/>
      <c r="E373" s="3"/>
      <c r="F373" s="5"/>
      <c r="G373" s="3"/>
      <c r="H373" s="3"/>
      <c r="I373" s="3"/>
      <c r="J373" s="3"/>
      <c r="K373" s="3"/>
      <c r="L373" s="3"/>
      <c r="M373" s="3"/>
      <c r="N373" s="3"/>
      <c r="O373" s="3"/>
      <c r="P373" s="3"/>
      <c r="Q373" s="3"/>
      <c r="R373" s="5"/>
      <c r="S373" s="3"/>
      <c r="T373" s="3"/>
      <c r="U373" s="3"/>
      <c r="V373" s="3"/>
      <c r="W373" s="3"/>
      <c r="X373" s="3"/>
      <c r="Y373" s="3"/>
      <c r="Z373" s="3"/>
      <c r="AA373" s="3"/>
      <c r="AB373" s="34" t="s">
        <v>1292</v>
      </c>
      <c r="AC373" s="19" t="s">
        <v>140</v>
      </c>
      <c r="AD373" s="34"/>
      <c r="AE373" s="3"/>
      <c r="AF373" s="3"/>
      <c r="AG373" s="3"/>
      <c r="AH373" s="3"/>
      <c r="AI373" s="3"/>
      <c r="AJ373" s="3"/>
      <c r="AK373" s="3"/>
      <c r="AL373" s="3"/>
      <c r="AM373" s="3"/>
      <c r="AN373" s="3"/>
      <c r="AO373" s="3"/>
    </row>
    <row r="374" spans="1:41" ht="15.75" customHeight="1">
      <c r="A374" s="12"/>
      <c r="B374" s="3"/>
      <c r="C374" s="12"/>
      <c r="D374" s="3"/>
      <c r="E374" s="3"/>
      <c r="F374" s="5"/>
      <c r="G374" s="3"/>
      <c r="H374" s="3"/>
      <c r="I374" s="3"/>
      <c r="J374" s="3"/>
      <c r="K374" s="3"/>
      <c r="L374" s="3"/>
      <c r="M374" s="3"/>
      <c r="N374" s="3"/>
      <c r="O374" s="3"/>
      <c r="P374" s="3"/>
      <c r="Q374" s="3"/>
      <c r="R374" s="5"/>
      <c r="S374" s="3"/>
      <c r="T374" s="3"/>
      <c r="U374" s="3"/>
      <c r="V374" s="3"/>
      <c r="W374" s="3"/>
      <c r="X374" s="3"/>
      <c r="Y374" s="3"/>
      <c r="Z374" s="3"/>
      <c r="AA374" s="3"/>
      <c r="AB374" s="34" t="s">
        <v>1293</v>
      </c>
      <c r="AC374" s="19" t="s">
        <v>36</v>
      </c>
      <c r="AD374" s="25" t="s">
        <v>1294</v>
      </c>
      <c r="AE374" s="3"/>
      <c r="AF374" s="3"/>
      <c r="AG374" s="3"/>
      <c r="AH374" s="3"/>
      <c r="AI374" s="3"/>
      <c r="AJ374" s="3"/>
      <c r="AK374" s="3"/>
      <c r="AL374" s="3"/>
      <c r="AM374" s="3"/>
      <c r="AN374" s="3"/>
      <c r="AO374" s="3"/>
    </row>
    <row r="375" spans="1:41" ht="15.75" customHeight="1">
      <c r="A375" s="12"/>
      <c r="B375" s="3"/>
      <c r="C375" s="12"/>
      <c r="D375" s="3"/>
      <c r="E375" s="3"/>
      <c r="F375" s="5"/>
      <c r="G375" s="3"/>
      <c r="H375" s="3"/>
      <c r="I375" s="3"/>
      <c r="J375" s="3"/>
      <c r="K375" s="3"/>
      <c r="L375" s="3"/>
      <c r="M375" s="3"/>
      <c r="N375" s="3"/>
      <c r="O375" s="3"/>
      <c r="P375" s="3"/>
      <c r="Q375" s="3"/>
      <c r="R375" s="5"/>
      <c r="S375" s="3"/>
      <c r="T375" s="3"/>
      <c r="U375" s="3"/>
      <c r="V375" s="3"/>
      <c r="W375" s="3"/>
      <c r="X375" s="3"/>
      <c r="Y375" s="3"/>
      <c r="Z375" s="3"/>
      <c r="AA375" s="3"/>
      <c r="AB375" s="34" t="s">
        <v>1295</v>
      </c>
      <c r="AC375" s="19" t="s">
        <v>140</v>
      </c>
      <c r="AD375" s="25" t="s">
        <v>1296</v>
      </c>
      <c r="AE375" s="3"/>
      <c r="AF375" s="3"/>
      <c r="AG375" s="3"/>
      <c r="AH375" s="3"/>
      <c r="AI375" s="3"/>
      <c r="AJ375" s="3"/>
      <c r="AK375" s="3"/>
      <c r="AL375" s="3"/>
      <c r="AM375" s="3"/>
      <c r="AN375" s="3"/>
      <c r="AO375" s="3"/>
    </row>
    <row r="376" spans="1:41" ht="15.75" customHeight="1">
      <c r="A376" s="12"/>
      <c r="B376" s="3"/>
      <c r="C376" s="12"/>
      <c r="D376" s="3"/>
      <c r="E376" s="3"/>
      <c r="F376" s="5"/>
      <c r="G376" s="3"/>
      <c r="H376" s="3"/>
      <c r="I376" s="3"/>
      <c r="J376" s="3"/>
      <c r="K376" s="3"/>
      <c r="L376" s="3"/>
      <c r="M376" s="3"/>
      <c r="N376" s="3"/>
      <c r="O376" s="3"/>
      <c r="P376" s="3"/>
      <c r="Q376" s="3"/>
      <c r="R376" s="5"/>
      <c r="S376" s="3"/>
      <c r="T376" s="3"/>
      <c r="U376" s="3"/>
      <c r="V376" s="3"/>
      <c r="W376" s="3"/>
      <c r="X376" s="3"/>
      <c r="Y376" s="3"/>
      <c r="Z376" s="3"/>
      <c r="AA376" s="3"/>
      <c r="AB376" s="34" t="s">
        <v>1297</v>
      </c>
      <c r="AC376" s="19" t="s">
        <v>140</v>
      </c>
      <c r="AD376" s="34"/>
      <c r="AE376" s="3"/>
      <c r="AF376" s="3"/>
      <c r="AG376" s="3"/>
      <c r="AH376" s="3"/>
      <c r="AI376" s="3"/>
      <c r="AJ376" s="3"/>
      <c r="AK376" s="3"/>
      <c r="AL376" s="3"/>
      <c r="AM376" s="3"/>
      <c r="AN376" s="3"/>
      <c r="AO376" s="3"/>
    </row>
    <row r="377" spans="1:41" ht="15.75" customHeight="1">
      <c r="A377" s="12"/>
      <c r="B377" s="3"/>
      <c r="C377" s="12"/>
      <c r="D377" s="3"/>
      <c r="E377" s="3"/>
      <c r="F377" s="5"/>
      <c r="G377" s="3"/>
      <c r="H377" s="3"/>
      <c r="I377" s="3"/>
      <c r="J377" s="3"/>
      <c r="K377" s="3"/>
      <c r="L377" s="3"/>
      <c r="M377" s="3"/>
      <c r="N377" s="3"/>
      <c r="O377" s="3"/>
      <c r="P377" s="3"/>
      <c r="Q377" s="3"/>
      <c r="R377" s="5"/>
      <c r="S377" s="3"/>
      <c r="T377" s="3"/>
      <c r="U377" s="3"/>
      <c r="V377" s="3"/>
      <c r="W377" s="3"/>
      <c r="X377" s="3"/>
      <c r="Y377" s="3"/>
      <c r="Z377" s="3"/>
      <c r="AA377" s="3"/>
      <c r="AB377" s="34" t="s">
        <v>1298</v>
      </c>
      <c r="AC377" s="19" t="s">
        <v>140</v>
      </c>
      <c r="AD377" s="34"/>
      <c r="AE377" s="3"/>
      <c r="AF377" s="3"/>
      <c r="AG377" s="3"/>
      <c r="AH377" s="3"/>
      <c r="AI377" s="3"/>
      <c r="AJ377" s="3"/>
      <c r="AK377" s="3"/>
      <c r="AL377" s="3"/>
      <c r="AM377" s="3"/>
      <c r="AN377" s="3"/>
      <c r="AO377" s="3"/>
    </row>
    <row r="378" spans="1:41" ht="15.75" customHeight="1">
      <c r="A378" s="12"/>
      <c r="B378" s="3"/>
      <c r="C378" s="12"/>
      <c r="D378" s="3"/>
      <c r="E378" s="3"/>
      <c r="F378" s="5"/>
      <c r="G378" s="3"/>
      <c r="H378" s="3"/>
      <c r="I378" s="3"/>
      <c r="J378" s="3"/>
      <c r="K378" s="3"/>
      <c r="L378" s="3"/>
      <c r="M378" s="3"/>
      <c r="N378" s="3"/>
      <c r="O378" s="3"/>
      <c r="P378" s="3"/>
      <c r="Q378" s="3"/>
      <c r="R378" s="5"/>
      <c r="S378" s="3"/>
      <c r="T378" s="3"/>
      <c r="U378" s="3"/>
      <c r="V378" s="3"/>
      <c r="W378" s="3"/>
      <c r="X378" s="3"/>
      <c r="Y378" s="3"/>
      <c r="Z378" s="3"/>
      <c r="AA378" s="3"/>
      <c r="AB378" s="34" t="s">
        <v>1299</v>
      </c>
      <c r="AC378" s="19" t="s">
        <v>140</v>
      </c>
      <c r="AD378" s="34"/>
      <c r="AE378" s="3"/>
      <c r="AF378" s="3"/>
      <c r="AG378" s="3"/>
      <c r="AH378" s="3"/>
      <c r="AI378" s="3"/>
      <c r="AJ378" s="3"/>
      <c r="AK378" s="3"/>
      <c r="AL378" s="3"/>
      <c r="AM378" s="3"/>
      <c r="AN378" s="3"/>
      <c r="AO378" s="3"/>
    </row>
    <row r="379" spans="1:41" ht="15.75" customHeight="1">
      <c r="A379" s="12"/>
      <c r="B379" s="3"/>
      <c r="C379" s="12"/>
      <c r="D379" s="3"/>
      <c r="E379" s="3"/>
      <c r="F379" s="5"/>
      <c r="G379" s="3"/>
      <c r="H379" s="3"/>
      <c r="I379" s="3"/>
      <c r="J379" s="3"/>
      <c r="K379" s="3"/>
      <c r="L379" s="3"/>
      <c r="M379" s="3"/>
      <c r="N379" s="3"/>
      <c r="O379" s="3"/>
      <c r="P379" s="3"/>
      <c r="Q379" s="3"/>
      <c r="R379" s="5"/>
      <c r="S379" s="3"/>
      <c r="T379" s="3"/>
      <c r="U379" s="3"/>
      <c r="V379" s="3"/>
      <c r="W379" s="3"/>
      <c r="X379" s="3"/>
      <c r="Y379" s="3"/>
      <c r="Z379" s="3"/>
      <c r="AA379" s="3"/>
      <c r="AB379" s="34" t="s">
        <v>1300</v>
      </c>
      <c r="AC379" s="19" t="s">
        <v>140</v>
      </c>
      <c r="AD379" s="34"/>
      <c r="AE379" s="3"/>
      <c r="AF379" s="3"/>
      <c r="AG379" s="3"/>
      <c r="AH379" s="3"/>
      <c r="AI379" s="3"/>
      <c r="AJ379" s="3"/>
      <c r="AK379" s="3"/>
      <c r="AL379" s="3"/>
      <c r="AM379" s="3"/>
      <c r="AN379" s="3"/>
      <c r="AO379" s="3"/>
    </row>
    <row r="380" spans="1:41" ht="15.75" customHeight="1">
      <c r="A380" s="12"/>
      <c r="B380" s="3"/>
      <c r="C380" s="12"/>
      <c r="D380" s="3"/>
      <c r="E380" s="3"/>
      <c r="F380" s="5"/>
      <c r="G380" s="3"/>
      <c r="H380" s="3"/>
      <c r="I380" s="3"/>
      <c r="J380" s="3"/>
      <c r="K380" s="3"/>
      <c r="L380" s="3"/>
      <c r="M380" s="3"/>
      <c r="N380" s="3"/>
      <c r="O380" s="3"/>
      <c r="P380" s="3"/>
      <c r="Q380" s="3"/>
      <c r="R380" s="5"/>
      <c r="S380" s="3"/>
      <c r="T380" s="3"/>
      <c r="U380" s="3"/>
      <c r="V380" s="3"/>
      <c r="W380" s="3"/>
      <c r="X380" s="3"/>
      <c r="Y380" s="3"/>
      <c r="Z380" s="3"/>
      <c r="AA380" s="3"/>
      <c r="AB380" s="34" t="s">
        <v>1301</v>
      </c>
      <c r="AC380" s="19" t="s">
        <v>140</v>
      </c>
      <c r="AD380" s="34"/>
      <c r="AE380" s="3"/>
      <c r="AF380" s="3"/>
      <c r="AG380" s="3"/>
      <c r="AH380" s="3"/>
      <c r="AI380" s="3"/>
      <c r="AJ380" s="3"/>
      <c r="AK380" s="3"/>
      <c r="AL380" s="3"/>
      <c r="AM380" s="3"/>
      <c r="AN380" s="3"/>
      <c r="AO380" s="3"/>
    </row>
    <row r="381" spans="1:41" ht="15.75" customHeight="1">
      <c r="A381" s="12"/>
      <c r="B381" s="3"/>
      <c r="C381" s="12"/>
      <c r="D381" s="3"/>
      <c r="E381" s="3"/>
      <c r="F381" s="5"/>
      <c r="G381" s="3"/>
      <c r="H381" s="3"/>
      <c r="I381" s="3"/>
      <c r="J381" s="3"/>
      <c r="K381" s="3"/>
      <c r="L381" s="3"/>
      <c r="M381" s="3"/>
      <c r="N381" s="3"/>
      <c r="O381" s="3"/>
      <c r="P381" s="3"/>
      <c r="Q381" s="3"/>
      <c r="R381" s="5"/>
      <c r="S381" s="3"/>
      <c r="T381" s="3"/>
      <c r="U381" s="3"/>
      <c r="V381" s="3"/>
      <c r="W381" s="3"/>
      <c r="X381" s="3"/>
      <c r="Y381" s="3"/>
      <c r="Z381" s="3"/>
      <c r="AA381" s="3"/>
      <c r="AB381" s="34" t="s">
        <v>1302</v>
      </c>
      <c r="AC381" s="19" t="s">
        <v>36</v>
      </c>
      <c r="AD381" s="180" t="s">
        <v>1303</v>
      </c>
      <c r="AE381" s="3"/>
      <c r="AF381" s="3"/>
      <c r="AG381" s="3"/>
      <c r="AH381" s="3"/>
      <c r="AI381" s="3"/>
      <c r="AJ381" s="3"/>
      <c r="AK381" s="3"/>
      <c r="AL381" s="3"/>
      <c r="AM381" s="3"/>
      <c r="AN381" s="3"/>
      <c r="AO381" s="3"/>
    </row>
    <row r="382" spans="1:41" ht="15.75" customHeight="1">
      <c r="A382" s="12"/>
      <c r="B382" s="3"/>
      <c r="C382" s="12"/>
      <c r="D382" s="3"/>
      <c r="E382" s="3"/>
      <c r="F382" s="5"/>
      <c r="G382" s="3"/>
      <c r="H382" s="3"/>
      <c r="I382" s="3"/>
      <c r="J382" s="3"/>
      <c r="K382" s="3"/>
      <c r="L382" s="3"/>
      <c r="M382" s="3"/>
      <c r="N382" s="3"/>
      <c r="O382" s="3"/>
      <c r="P382" s="3"/>
      <c r="Q382" s="3"/>
      <c r="R382" s="5"/>
      <c r="S382" s="3"/>
      <c r="T382" s="3"/>
      <c r="U382" s="3"/>
      <c r="V382" s="3"/>
      <c r="W382" s="3"/>
      <c r="X382" s="3"/>
      <c r="Y382" s="3"/>
      <c r="Z382" s="3"/>
      <c r="AA382" s="3"/>
      <c r="AB382" s="34" t="s">
        <v>1304</v>
      </c>
      <c r="AC382" s="19" t="s">
        <v>140</v>
      </c>
      <c r="AD382" s="34"/>
      <c r="AE382" s="3"/>
      <c r="AF382" s="3"/>
      <c r="AG382" s="3"/>
      <c r="AH382" s="3"/>
      <c r="AI382" s="3"/>
      <c r="AJ382" s="3"/>
      <c r="AK382" s="3"/>
      <c r="AL382" s="3"/>
      <c r="AM382" s="3"/>
      <c r="AN382" s="3"/>
      <c r="AO382" s="3"/>
    </row>
    <row r="383" spans="1:41" ht="15.75" customHeight="1">
      <c r="A383" s="12"/>
      <c r="B383" s="3"/>
      <c r="C383" s="12"/>
      <c r="D383" s="3"/>
      <c r="E383" s="3"/>
      <c r="F383" s="5"/>
      <c r="G383" s="3"/>
      <c r="H383" s="3"/>
      <c r="I383" s="3"/>
      <c r="J383" s="3"/>
      <c r="K383" s="3"/>
      <c r="L383" s="3"/>
      <c r="M383" s="3"/>
      <c r="N383" s="3"/>
      <c r="O383" s="3"/>
      <c r="P383" s="3"/>
      <c r="Q383" s="3"/>
      <c r="R383" s="5"/>
      <c r="S383" s="3"/>
      <c r="T383" s="3"/>
      <c r="U383" s="3"/>
      <c r="V383" s="3"/>
      <c r="W383" s="3"/>
      <c r="X383" s="3"/>
      <c r="Y383" s="3"/>
      <c r="Z383" s="3"/>
      <c r="AA383" s="3"/>
      <c r="AB383" s="34" t="s">
        <v>1305</v>
      </c>
      <c r="AC383" s="19" t="s">
        <v>140</v>
      </c>
      <c r="AD383" s="34"/>
      <c r="AE383" s="3"/>
      <c r="AF383" s="3"/>
      <c r="AG383" s="3"/>
      <c r="AH383" s="3"/>
      <c r="AI383" s="3"/>
      <c r="AJ383" s="3"/>
      <c r="AK383" s="3"/>
      <c r="AL383" s="3"/>
      <c r="AM383" s="3"/>
      <c r="AN383" s="3"/>
      <c r="AO383" s="3"/>
    </row>
    <row r="384" spans="1:41" ht="15.75" customHeight="1">
      <c r="A384" s="12"/>
      <c r="B384" s="3"/>
      <c r="C384" s="12"/>
      <c r="D384" s="3"/>
      <c r="E384" s="3"/>
      <c r="F384" s="5"/>
      <c r="G384" s="3"/>
      <c r="H384" s="3"/>
      <c r="I384" s="3"/>
      <c r="J384" s="3"/>
      <c r="K384" s="3"/>
      <c r="L384" s="3"/>
      <c r="M384" s="3"/>
      <c r="N384" s="3"/>
      <c r="O384" s="3"/>
      <c r="P384" s="3"/>
      <c r="Q384" s="3"/>
      <c r="R384" s="5"/>
      <c r="S384" s="3"/>
      <c r="T384" s="3"/>
      <c r="U384" s="3"/>
      <c r="V384" s="3"/>
      <c r="W384" s="3"/>
      <c r="X384" s="3"/>
      <c r="Y384" s="3"/>
      <c r="Z384" s="3"/>
      <c r="AA384" s="3"/>
      <c r="AB384" s="34" t="s">
        <v>1306</v>
      </c>
      <c r="AC384" s="19" t="s">
        <v>36</v>
      </c>
      <c r="AD384" s="25" t="s">
        <v>1307</v>
      </c>
      <c r="AE384" s="3"/>
      <c r="AF384" s="3"/>
      <c r="AG384" s="3"/>
      <c r="AH384" s="3"/>
      <c r="AI384" s="3"/>
      <c r="AJ384" s="3"/>
      <c r="AK384" s="3"/>
      <c r="AL384" s="3"/>
      <c r="AM384" s="3"/>
      <c r="AN384" s="3"/>
      <c r="AO384" s="3"/>
    </row>
    <row r="385" spans="1:41" ht="15.75" customHeight="1">
      <c r="A385" s="12"/>
      <c r="B385" s="3"/>
      <c r="C385" s="12"/>
      <c r="D385" s="3"/>
      <c r="E385" s="3"/>
      <c r="F385" s="5"/>
      <c r="G385" s="3"/>
      <c r="H385" s="3"/>
      <c r="I385" s="3"/>
      <c r="J385" s="3"/>
      <c r="K385" s="3"/>
      <c r="L385" s="3"/>
      <c r="M385" s="3"/>
      <c r="N385" s="3"/>
      <c r="O385" s="3"/>
      <c r="P385" s="3"/>
      <c r="Q385" s="3"/>
      <c r="R385" s="5"/>
      <c r="S385" s="3"/>
      <c r="T385" s="3"/>
      <c r="U385" s="3"/>
      <c r="V385" s="3"/>
      <c r="W385" s="3"/>
      <c r="X385" s="3"/>
      <c r="Y385" s="3"/>
      <c r="Z385" s="3"/>
      <c r="AA385" s="3"/>
      <c r="AB385" s="34" t="s">
        <v>1308</v>
      </c>
      <c r="AC385" s="19" t="s">
        <v>140</v>
      </c>
      <c r="AD385" s="34"/>
      <c r="AE385" s="3"/>
      <c r="AF385" s="3"/>
      <c r="AG385" s="3"/>
      <c r="AH385" s="3"/>
      <c r="AI385" s="3"/>
      <c r="AJ385" s="3"/>
      <c r="AK385" s="3"/>
      <c r="AL385" s="3"/>
      <c r="AM385" s="3"/>
      <c r="AN385" s="3"/>
      <c r="AO385" s="3"/>
    </row>
    <row r="386" spans="1:41" ht="15.75" customHeight="1">
      <c r="A386" s="12"/>
      <c r="B386" s="3"/>
      <c r="C386" s="12"/>
      <c r="D386" s="3"/>
      <c r="E386" s="3"/>
      <c r="F386" s="5"/>
      <c r="G386" s="3"/>
      <c r="H386" s="3"/>
      <c r="I386" s="3"/>
      <c r="J386" s="3"/>
      <c r="K386" s="3"/>
      <c r="L386" s="3"/>
      <c r="M386" s="3"/>
      <c r="N386" s="3"/>
      <c r="O386" s="3"/>
      <c r="P386" s="3"/>
      <c r="Q386" s="3"/>
      <c r="R386" s="5"/>
      <c r="S386" s="3"/>
      <c r="T386" s="3"/>
      <c r="U386" s="3"/>
      <c r="V386" s="3"/>
      <c r="W386" s="3"/>
      <c r="X386" s="3"/>
      <c r="Y386" s="3"/>
      <c r="Z386" s="3"/>
      <c r="AA386" s="3"/>
      <c r="AB386" s="34" t="s">
        <v>1309</v>
      </c>
      <c r="AC386" s="19" t="s">
        <v>140</v>
      </c>
      <c r="AD386" s="34"/>
      <c r="AE386" s="3"/>
      <c r="AF386" s="3"/>
      <c r="AG386" s="3"/>
      <c r="AH386" s="3"/>
      <c r="AI386" s="3"/>
      <c r="AJ386" s="3"/>
      <c r="AK386" s="3"/>
      <c r="AL386" s="3"/>
      <c r="AM386" s="3"/>
      <c r="AN386" s="3"/>
      <c r="AO386" s="3"/>
    </row>
    <row r="387" spans="1:41" ht="15.75" customHeight="1">
      <c r="A387" s="12"/>
      <c r="B387" s="3"/>
      <c r="C387" s="12"/>
      <c r="D387" s="3"/>
      <c r="E387" s="3"/>
      <c r="F387" s="5"/>
      <c r="G387" s="3"/>
      <c r="H387" s="3"/>
      <c r="I387" s="3"/>
      <c r="J387" s="3"/>
      <c r="K387" s="3"/>
      <c r="L387" s="3"/>
      <c r="M387" s="3"/>
      <c r="N387" s="3"/>
      <c r="O387" s="3"/>
      <c r="P387" s="3"/>
      <c r="Q387" s="3"/>
      <c r="R387" s="5"/>
      <c r="S387" s="3"/>
      <c r="T387" s="3"/>
      <c r="U387" s="3"/>
      <c r="V387" s="3"/>
      <c r="W387" s="3"/>
      <c r="X387" s="3"/>
      <c r="Y387" s="3"/>
      <c r="Z387" s="3"/>
      <c r="AA387" s="3"/>
      <c r="AB387" s="34" t="s">
        <v>1310</v>
      </c>
      <c r="AC387" s="19" t="s">
        <v>140</v>
      </c>
      <c r="AD387" s="25" t="s">
        <v>1311</v>
      </c>
      <c r="AE387" s="3"/>
      <c r="AF387" s="3"/>
      <c r="AG387" s="3"/>
      <c r="AH387" s="3"/>
      <c r="AI387" s="3"/>
      <c r="AJ387" s="3"/>
      <c r="AK387" s="3"/>
      <c r="AL387" s="3"/>
      <c r="AM387" s="3"/>
      <c r="AN387" s="3"/>
      <c r="AO387" s="3"/>
    </row>
    <row r="388" spans="1:41" ht="15.75" customHeight="1">
      <c r="A388" s="12"/>
      <c r="B388" s="3"/>
      <c r="C388" s="12"/>
      <c r="D388" s="3"/>
      <c r="E388" s="3"/>
      <c r="F388" s="5"/>
      <c r="G388" s="3"/>
      <c r="H388" s="3"/>
      <c r="I388" s="3"/>
      <c r="J388" s="3"/>
      <c r="K388" s="3"/>
      <c r="L388" s="3"/>
      <c r="M388" s="3"/>
      <c r="N388" s="3"/>
      <c r="O388" s="3"/>
      <c r="P388" s="3"/>
      <c r="Q388" s="3"/>
      <c r="R388" s="5"/>
      <c r="S388" s="3"/>
      <c r="T388" s="3"/>
      <c r="U388" s="3"/>
      <c r="V388" s="3"/>
      <c r="W388" s="3"/>
      <c r="X388" s="3"/>
      <c r="Y388" s="3"/>
      <c r="Z388" s="3"/>
      <c r="AA388" s="3"/>
      <c r="AB388" s="34" t="s">
        <v>1312</v>
      </c>
      <c r="AC388" s="34" t="s">
        <v>36</v>
      </c>
      <c r="AD388" s="25" t="s">
        <v>1313</v>
      </c>
      <c r="AE388" s="3" t="s">
        <v>1314</v>
      </c>
      <c r="AF388" s="3"/>
      <c r="AG388" s="3"/>
      <c r="AH388" s="3"/>
      <c r="AI388" s="3"/>
      <c r="AJ388" s="3"/>
      <c r="AK388" s="3"/>
      <c r="AL388" s="3"/>
      <c r="AM388" s="3"/>
      <c r="AN388" s="3"/>
      <c r="AO388" s="3"/>
    </row>
    <row r="389" spans="1:41" ht="15.75" customHeight="1">
      <c r="A389" s="12"/>
      <c r="B389" s="3"/>
      <c r="C389" s="12"/>
      <c r="D389" s="3"/>
      <c r="E389" s="3"/>
      <c r="F389" s="5"/>
      <c r="G389" s="3"/>
      <c r="H389" s="3"/>
      <c r="I389" s="3"/>
      <c r="J389" s="3"/>
      <c r="K389" s="3"/>
      <c r="L389" s="3"/>
      <c r="M389" s="3"/>
      <c r="N389" s="3"/>
      <c r="O389" s="3"/>
      <c r="P389" s="3"/>
      <c r="Q389" s="3"/>
      <c r="R389" s="5"/>
      <c r="S389" s="3"/>
      <c r="T389" s="3"/>
      <c r="U389" s="3"/>
      <c r="V389" s="3"/>
      <c r="W389" s="3"/>
      <c r="X389" s="3"/>
      <c r="Y389" s="3"/>
      <c r="Z389" s="3"/>
      <c r="AA389" s="3"/>
      <c r="AB389" s="34" t="s">
        <v>1315</v>
      </c>
      <c r="AC389" s="34" t="s">
        <v>36</v>
      </c>
      <c r="AD389" s="25" t="s">
        <v>1316</v>
      </c>
      <c r="AE389" s="3"/>
      <c r="AF389" s="3"/>
      <c r="AG389" s="3"/>
      <c r="AH389" s="3"/>
      <c r="AI389" s="3"/>
      <c r="AJ389" s="3"/>
      <c r="AK389" s="3"/>
      <c r="AL389" s="3"/>
      <c r="AM389" s="3"/>
      <c r="AN389" s="3"/>
      <c r="AO389" s="3"/>
    </row>
    <row r="390" spans="1:41" ht="15.75" customHeight="1">
      <c r="A390" s="12"/>
      <c r="B390" s="3"/>
      <c r="C390" s="12"/>
      <c r="D390" s="3"/>
      <c r="E390" s="3"/>
      <c r="F390" s="5"/>
      <c r="G390" s="3"/>
      <c r="H390" s="3"/>
      <c r="I390" s="3"/>
      <c r="J390" s="3"/>
      <c r="K390" s="3"/>
      <c r="L390" s="3"/>
      <c r="M390" s="3"/>
      <c r="N390" s="3"/>
      <c r="O390" s="3"/>
      <c r="P390" s="3"/>
      <c r="Q390" s="3"/>
      <c r="R390" s="5"/>
      <c r="S390" s="3"/>
      <c r="T390" s="3"/>
      <c r="U390" s="3"/>
      <c r="V390" s="3"/>
      <c r="W390" s="3"/>
      <c r="X390" s="3"/>
      <c r="Y390" s="3"/>
      <c r="Z390" s="3"/>
      <c r="AA390" s="3"/>
      <c r="AB390" s="34" t="s">
        <v>1317</v>
      </c>
      <c r="AC390" s="34" t="s">
        <v>36</v>
      </c>
      <c r="AD390" s="25" t="s">
        <v>1318</v>
      </c>
      <c r="AE390" s="3"/>
      <c r="AF390" s="3"/>
      <c r="AG390" s="3"/>
      <c r="AH390" s="3"/>
      <c r="AI390" s="3"/>
      <c r="AJ390" s="3"/>
      <c r="AK390" s="3"/>
      <c r="AL390" s="3"/>
      <c r="AM390" s="3"/>
      <c r="AN390" s="3"/>
      <c r="AO390" s="3"/>
    </row>
    <row r="391" spans="1:41" ht="15.75" customHeight="1">
      <c r="A391" s="12"/>
      <c r="B391" s="3"/>
      <c r="C391" s="12"/>
      <c r="D391" s="3"/>
      <c r="E391" s="3"/>
      <c r="F391" s="5"/>
      <c r="G391" s="3"/>
      <c r="H391" s="3"/>
      <c r="I391" s="3"/>
      <c r="J391" s="3"/>
      <c r="K391" s="3"/>
      <c r="L391" s="3"/>
      <c r="M391" s="3"/>
      <c r="N391" s="3"/>
      <c r="O391" s="3"/>
      <c r="P391" s="3"/>
      <c r="Q391" s="3"/>
      <c r="R391" s="5"/>
      <c r="S391" s="3"/>
      <c r="T391" s="3"/>
      <c r="U391" s="3"/>
      <c r="V391" s="3"/>
      <c r="W391" s="3"/>
      <c r="X391" s="3"/>
      <c r="Y391" s="3"/>
      <c r="Z391" s="3"/>
      <c r="AA391" s="3"/>
      <c r="AB391" s="34" t="s">
        <v>1319</v>
      </c>
      <c r="AC391" s="34" t="s">
        <v>36</v>
      </c>
      <c r="AD391" s="25" t="s">
        <v>1320</v>
      </c>
      <c r="AE391" s="3"/>
      <c r="AF391" s="3"/>
      <c r="AG391" s="3"/>
      <c r="AH391" s="3"/>
      <c r="AI391" s="3"/>
      <c r="AJ391" s="3"/>
      <c r="AK391" s="3"/>
      <c r="AL391" s="3"/>
      <c r="AM391" s="3"/>
      <c r="AN391" s="3"/>
      <c r="AO391" s="3"/>
    </row>
    <row r="392" spans="1:41" ht="15.75" customHeight="1">
      <c r="A392" s="12"/>
      <c r="B392" s="3"/>
      <c r="C392" s="12"/>
      <c r="D392" s="3"/>
      <c r="E392" s="3"/>
      <c r="F392" s="5"/>
      <c r="G392" s="3"/>
      <c r="H392" s="3"/>
      <c r="I392" s="3"/>
      <c r="J392" s="3"/>
      <c r="K392" s="3"/>
      <c r="L392" s="3"/>
      <c r="M392" s="3"/>
      <c r="N392" s="3"/>
      <c r="O392" s="3"/>
      <c r="P392" s="3"/>
      <c r="Q392" s="3"/>
      <c r="R392" s="5"/>
      <c r="S392" s="3"/>
      <c r="T392" s="3"/>
      <c r="U392" s="3"/>
      <c r="V392" s="3"/>
      <c r="W392" s="3"/>
      <c r="X392" s="3"/>
      <c r="Y392" s="3"/>
      <c r="Z392" s="3"/>
      <c r="AA392" s="3"/>
      <c r="AB392" s="34" t="s">
        <v>269</v>
      </c>
      <c r="AC392" s="34" t="s">
        <v>36</v>
      </c>
      <c r="AD392" s="25" t="s">
        <v>270</v>
      </c>
      <c r="AE392" s="3"/>
      <c r="AF392" s="3"/>
      <c r="AG392" s="3"/>
      <c r="AH392" s="3"/>
      <c r="AI392" s="3"/>
      <c r="AJ392" s="3"/>
      <c r="AK392" s="3"/>
      <c r="AL392" s="3"/>
      <c r="AM392" s="3"/>
      <c r="AN392" s="3"/>
      <c r="AO392" s="3"/>
    </row>
    <row r="393" spans="1:41" ht="15.75" customHeight="1">
      <c r="A393" s="12"/>
      <c r="B393" s="3"/>
      <c r="C393" s="12"/>
      <c r="D393" s="3"/>
      <c r="E393" s="3"/>
      <c r="F393" s="5"/>
      <c r="G393" s="3"/>
      <c r="H393" s="3"/>
      <c r="I393" s="3"/>
      <c r="J393" s="3"/>
      <c r="K393" s="3"/>
      <c r="L393" s="3"/>
      <c r="M393" s="3"/>
      <c r="N393" s="3"/>
      <c r="O393" s="3"/>
      <c r="P393" s="3"/>
      <c r="Q393" s="3"/>
      <c r="R393" s="5"/>
      <c r="S393" s="3"/>
      <c r="T393" s="3"/>
      <c r="U393" s="3"/>
      <c r="V393" s="3"/>
      <c r="W393" s="3"/>
      <c r="X393" s="3"/>
      <c r="Y393" s="3"/>
      <c r="Z393" s="3"/>
      <c r="AA393" s="3"/>
      <c r="AB393" s="34" t="s">
        <v>1321</v>
      </c>
      <c r="AC393" s="34" t="s">
        <v>36</v>
      </c>
      <c r="AD393" s="25" t="s">
        <v>1322</v>
      </c>
      <c r="AE393" s="3"/>
      <c r="AF393" s="3"/>
      <c r="AG393" s="3"/>
      <c r="AH393" s="3"/>
      <c r="AI393" s="3"/>
      <c r="AJ393" s="3"/>
      <c r="AK393" s="3"/>
      <c r="AL393" s="3"/>
      <c r="AM393" s="3"/>
      <c r="AN393" s="3"/>
      <c r="AO393" s="3"/>
    </row>
    <row r="394" spans="1:41" ht="15.75" customHeight="1">
      <c r="A394" s="12"/>
      <c r="B394" s="3"/>
      <c r="C394" s="12"/>
      <c r="D394" s="3"/>
      <c r="E394" s="3"/>
      <c r="F394" s="5"/>
      <c r="G394" s="3"/>
      <c r="H394" s="3"/>
      <c r="I394" s="3"/>
      <c r="J394" s="3"/>
      <c r="K394" s="3"/>
      <c r="L394" s="3"/>
      <c r="M394" s="3"/>
      <c r="N394" s="3"/>
      <c r="O394" s="3"/>
      <c r="P394" s="3"/>
      <c r="Q394" s="3"/>
      <c r="R394" s="5"/>
      <c r="S394" s="3"/>
      <c r="T394" s="3"/>
      <c r="U394" s="3"/>
      <c r="V394" s="3"/>
      <c r="W394" s="3"/>
      <c r="X394" s="3"/>
      <c r="Y394" s="3"/>
      <c r="Z394" s="3"/>
      <c r="AA394" s="3"/>
      <c r="AB394" s="34" t="s">
        <v>678</v>
      </c>
      <c r="AC394" s="34" t="s">
        <v>36</v>
      </c>
      <c r="AD394" s="25" t="s">
        <v>1323</v>
      </c>
      <c r="AE394" s="3"/>
      <c r="AF394" s="3"/>
      <c r="AG394" s="3"/>
      <c r="AH394" s="3"/>
      <c r="AI394" s="3"/>
      <c r="AJ394" s="3"/>
      <c r="AK394" s="3"/>
      <c r="AL394" s="3"/>
      <c r="AM394" s="3"/>
      <c r="AN394" s="3"/>
      <c r="AO394" s="3"/>
    </row>
    <row r="395" spans="1:41" ht="15.75" customHeight="1">
      <c r="A395" s="12"/>
      <c r="B395" s="3"/>
      <c r="C395" s="12"/>
      <c r="D395" s="3"/>
      <c r="E395" s="3"/>
      <c r="F395" s="5"/>
      <c r="G395" s="3"/>
      <c r="H395" s="3"/>
      <c r="I395" s="3"/>
      <c r="J395" s="3"/>
      <c r="K395" s="3"/>
      <c r="L395" s="3"/>
      <c r="M395" s="3"/>
      <c r="N395" s="3"/>
      <c r="O395" s="3"/>
      <c r="P395" s="3"/>
      <c r="Q395" s="3"/>
      <c r="R395" s="5"/>
      <c r="S395" s="3"/>
      <c r="T395" s="3"/>
      <c r="U395" s="3"/>
      <c r="V395" s="3"/>
      <c r="W395" s="3"/>
      <c r="X395" s="3"/>
      <c r="Y395" s="3"/>
      <c r="Z395" s="3"/>
      <c r="AA395" s="3"/>
      <c r="AB395" s="34" t="s">
        <v>1324</v>
      </c>
      <c r="AC395" s="34" t="s">
        <v>36</v>
      </c>
      <c r="AD395" s="25" t="s">
        <v>1325</v>
      </c>
      <c r="AE395" s="3"/>
      <c r="AF395" s="3"/>
      <c r="AG395" s="3"/>
      <c r="AH395" s="3"/>
      <c r="AI395" s="3"/>
      <c r="AJ395" s="3"/>
      <c r="AK395" s="3"/>
      <c r="AL395" s="3"/>
      <c r="AM395" s="3"/>
      <c r="AN395" s="3"/>
      <c r="AO395" s="3"/>
    </row>
    <row r="396" spans="1:41" ht="15.75" customHeight="1">
      <c r="A396" s="12"/>
      <c r="B396" s="3"/>
      <c r="C396" s="12"/>
      <c r="D396" s="3"/>
      <c r="E396" s="3"/>
      <c r="F396" s="5"/>
      <c r="G396" s="3"/>
      <c r="H396" s="3"/>
      <c r="I396" s="3"/>
      <c r="J396" s="3"/>
      <c r="K396" s="3"/>
      <c r="L396" s="3"/>
      <c r="M396" s="3"/>
      <c r="N396" s="3"/>
      <c r="O396" s="3"/>
      <c r="P396" s="3"/>
      <c r="Q396" s="3"/>
      <c r="R396" s="5"/>
      <c r="S396" s="3"/>
      <c r="T396" s="3"/>
      <c r="U396" s="3"/>
      <c r="V396" s="3"/>
      <c r="W396" s="3"/>
      <c r="X396" s="3"/>
      <c r="Y396" s="3"/>
      <c r="Z396" s="3"/>
      <c r="AA396" s="3"/>
      <c r="AB396" s="34" t="s">
        <v>211</v>
      </c>
      <c r="AC396" s="34" t="s">
        <v>36</v>
      </c>
      <c r="AD396" s="25" t="s">
        <v>212</v>
      </c>
      <c r="AE396" s="3"/>
      <c r="AF396" s="3"/>
      <c r="AG396" s="3"/>
      <c r="AH396" s="3"/>
      <c r="AI396" s="3"/>
      <c r="AJ396" s="3"/>
      <c r="AK396" s="3"/>
      <c r="AL396" s="3"/>
      <c r="AM396" s="3"/>
      <c r="AN396" s="3"/>
      <c r="AO396" s="3"/>
    </row>
    <row r="397" spans="1:41" ht="15.75" customHeight="1">
      <c r="A397" s="12"/>
      <c r="B397" s="3"/>
      <c r="C397" s="12"/>
      <c r="D397" s="3"/>
      <c r="E397" s="3"/>
      <c r="F397" s="5"/>
      <c r="G397" s="3"/>
      <c r="H397" s="3"/>
      <c r="I397" s="3"/>
      <c r="J397" s="3"/>
      <c r="K397" s="3"/>
      <c r="L397" s="3"/>
      <c r="M397" s="3"/>
      <c r="N397" s="3"/>
      <c r="O397" s="3"/>
      <c r="P397" s="3"/>
      <c r="Q397" s="3"/>
      <c r="R397" s="5"/>
      <c r="S397" s="3"/>
      <c r="T397" s="3"/>
      <c r="U397" s="3"/>
      <c r="V397" s="3"/>
      <c r="W397" s="3"/>
      <c r="X397" s="3"/>
      <c r="Y397" s="3"/>
      <c r="Z397" s="3"/>
      <c r="AA397" s="3"/>
      <c r="AB397" s="34" t="s">
        <v>1326</v>
      </c>
      <c r="AC397" s="34" t="s">
        <v>36</v>
      </c>
      <c r="AD397" s="25" t="s">
        <v>1327</v>
      </c>
      <c r="AE397" s="3"/>
      <c r="AF397" s="3"/>
      <c r="AG397" s="3"/>
      <c r="AH397" s="3"/>
      <c r="AI397" s="3"/>
      <c r="AJ397" s="3"/>
      <c r="AK397" s="3"/>
      <c r="AL397" s="3"/>
      <c r="AM397" s="3"/>
      <c r="AN397" s="3"/>
      <c r="AO397" s="3"/>
    </row>
    <row r="398" spans="1:41" ht="15.75" customHeight="1">
      <c r="A398" s="12"/>
      <c r="B398" s="3"/>
      <c r="C398" s="12"/>
      <c r="D398" s="3"/>
      <c r="E398" s="3"/>
      <c r="F398" s="5"/>
      <c r="G398" s="3"/>
      <c r="H398" s="3"/>
      <c r="I398" s="3"/>
      <c r="J398" s="3"/>
      <c r="K398" s="3"/>
      <c r="L398" s="3"/>
      <c r="M398" s="3"/>
      <c r="N398" s="3"/>
      <c r="O398" s="3"/>
      <c r="P398" s="3"/>
      <c r="Q398" s="3"/>
      <c r="R398" s="5"/>
      <c r="S398" s="3"/>
      <c r="T398" s="3"/>
      <c r="U398" s="3"/>
      <c r="V398" s="3"/>
      <c r="W398" s="3"/>
      <c r="X398" s="3"/>
      <c r="Y398" s="3"/>
      <c r="Z398" s="3"/>
      <c r="AA398" s="3"/>
      <c r="AB398" s="34" t="s">
        <v>1328</v>
      </c>
      <c r="AC398" s="34" t="s">
        <v>36</v>
      </c>
      <c r="AD398" s="25" t="s">
        <v>1329</v>
      </c>
      <c r="AE398" s="3"/>
      <c r="AF398" s="3"/>
      <c r="AG398" s="3"/>
      <c r="AH398" s="3"/>
      <c r="AI398" s="3"/>
      <c r="AJ398" s="3"/>
      <c r="AK398" s="3"/>
      <c r="AL398" s="3"/>
      <c r="AM398" s="3"/>
      <c r="AN398" s="3"/>
      <c r="AO398" s="3"/>
    </row>
    <row r="399" spans="1:41" ht="15.75" customHeight="1">
      <c r="A399" s="12"/>
      <c r="B399" s="3"/>
      <c r="C399" s="12"/>
      <c r="D399" s="3"/>
      <c r="E399" s="3"/>
      <c r="F399" s="5"/>
      <c r="G399" s="3"/>
      <c r="H399" s="3"/>
      <c r="I399" s="3"/>
      <c r="J399" s="3"/>
      <c r="K399" s="3"/>
      <c r="L399" s="3"/>
      <c r="M399" s="3"/>
      <c r="N399" s="3"/>
      <c r="O399" s="3"/>
      <c r="P399" s="3"/>
      <c r="Q399" s="3"/>
      <c r="R399" s="5"/>
      <c r="S399" s="3"/>
      <c r="T399" s="3"/>
      <c r="U399" s="3"/>
      <c r="V399" s="3"/>
      <c r="W399" s="3"/>
      <c r="X399" s="3"/>
      <c r="Y399" s="3"/>
      <c r="Z399" s="3"/>
      <c r="AA399" s="3"/>
      <c r="AB399" s="34" t="s">
        <v>1330</v>
      </c>
      <c r="AC399" s="34" t="s">
        <v>36</v>
      </c>
      <c r="AD399" s="25" t="s">
        <v>1331</v>
      </c>
      <c r="AE399" s="3"/>
      <c r="AF399" s="3"/>
      <c r="AG399" s="3"/>
      <c r="AH399" s="3"/>
      <c r="AI399" s="3"/>
      <c r="AJ399" s="3"/>
      <c r="AK399" s="3"/>
      <c r="AL399" s="3"/>
      <c r="AM399" s="3"/>
      <c r="AN399" s="3"/>
      <c r="AO399" s="3"/>
    </row>
    <row r="400" spans="1:41" ht="15.75" customHeight="1">
      <c r="A400" s="12"/>
      <c r="B400" s="3"/>
      <c r="C400" s="12"/>
      <c r="D400" s="3"/>
      <c r="E400" s="3"/>
      <c r="F400" s="5"/>
      <c r="G400" s="3"/>
      <c r="H400" s="3"/>
      <c r="I400" s="3"/>
      <c r="J400" s="3"/>
      <c r="K400" s="3"/>
      <c r="L400" s="3"/>
      <c r="M400" s="3"/>
      <c r="N400" s="3"/>
      <c r="O400" s="3"/>
      <c r="P400" s="3"/>
      <c r="Q400" s="3"/>
      <c r="R400" s="5"/>
      <c r="S400" s="3"/>
      <c r="T400" s="3"/>
      <c r="U400" s="3"/>
      <c r="V400" s="3"/>
      <c r="W400" s="3"/>
      <c r="X400" s="3"/>
      <c r="Y400" s="3"/>
      <c r="Z400" s="3"/>
      <c r="AA400" s="3"/>
      <c r="AB400" s="34" t="s">
        <v>1332</v>
      </c>
      <c r="AC400" s="34" t="s">
        <v>36</v>
      </c>
      <c r="AD400" s="25" t="s">
        <v>1333</v>
      </c>
      <c r="AE400" s="3"/>
      <c r="AF400" s="3"/>
      <c r="AG400" s="3"/>
      <c r="AH400" s="3"/>
      <c r="AI400" s="3"/>
      <c r="AJ400" s="3"/>
      <c r="AK400" s="3"/>
      <c r="AL400" s="3"/>
      <c r="AM400" s="3"/>
      <c r="AN400" s="3"/>
      <c r="AO400" s="3"/>
    </row>
    <row r="401" spans="1:41" ht="15.75" customHeight="1">
      <c r="A401" s="12"/>
      <c r="B401" s="3"/>
      <c r="C401" s="12"/>
      <c r="D401" s="3"/>
      <c r="E401" s="3"/>
      <c r="F401" s="5"/>
      <c r="G401" s="3"/>
      <c r="H401" s="3"/>
      <c r="I401" s="3"/>
      <c r="J401" s="3"/>
      <c r="K401" s="3"/>
      <c r="L401" s="3"/>
      <c r="M401" s="3"/>
      <c r="N401" s="3"/>
      <c r="O401" s="3"/>
      <c r="P401" s="3"/>
      <c r="Q401" s="3"/>
      <c r="R401" s="5"/>
      <c r="S401" s="3"/>
      <c r="T401" s="3"/>
      <c r="U401" s="3"/>
      <c r="V401" s="3"/>
      <c r="W401" s="3"/>
      <c r="X401" s="3"/>
      <c r="Y401" s="3"/>
      <c r="Z401" s="3"/>
      <c r="AA401" s="3"/>
      <c r="AB401" s="34" t="s">
        <v>1334</v>
      </c>
      <c r="AC401" s="34" t="s">
        <v>36</v>
      </c>
      <c r="AD401" s="25" t="s">
        <v>1335</v>
      </c>
      <c r="AE401" s="3"/>
      <c r="AF401" s="3"/>
      <c r="AG401" s="3"/>
      <c r="AH401" s="3"/>
      <c r="AI401" s="3"/>
      <c r="AJ401" s="3"/>
      <c r="AK401" s="3"/>
      <c r="AL401" s="3"/>
      <c r="AM401" s="3"/>
      <c r="AN401" s="3"/>
      <c r="AO401" s="3"/>
    </row>
    <row r="402" spans="1:41" ht="15.75" customHeight="1">
      <c r="A402" s="12"/>
      <c r="B402" s="3"/>
      <c r="C402" s="12"/>
      <c r="D402" s="3"/>
      <c r="E402" s="3"/>
      <c r="F402" s="5"/>
      <c r="G402" s="3"/>
      <c r="H402" s="3"/>
      <c r="I402" s="3"/>
      <c r="J402" s="3"/>
      <c r="K402" s="3"/>
      <c r="L402" s="3"/>
      <c r="M402" s="3"/>
      <c r="N402" s="3"/>
      <c r="O402" s="3"/>
      <c r="P402" s="3"/>
      <c r="Q402" s="3"/>
      <c r="R402" s="5"/>
      <c r="S402" s="3"/>
      <c r="T402" s="3"/>
      <c r="U402" s="3"/>
      <c r="V402" s="3"/>
      <c r="W402" s="3"/>
      <c r="X402" s="3"/>
      <c r="Y402" s="3"/>
      <c r="Z402" s="3"/>
      <c r="AA402" s="3"/>
      <c r="AB402" s="34" t="s">
        <v>1336</v>
      </c>
      <c r="AC402" s="34" t="s">
        <v>36</v>
      </c>
      <c r="AD402" s="25" t="s">
        <v>1337</v>
      </c>
      <c r="AE402" s="3"/>
      <c r="AF402" s="3"/>
      <c r="AG402" s="3"/>
      <c r="AH402" s="3"/>
      <c r="AI402" s="3"/>
      <c r="AJ402" s="3"/>
      <c r="AK402" s="3"/>
      <c r="AL402" s="3"/>
      <c r="AM402" s="3"/>
      <c r="AN402" s="3"/>
      <c r="AO402" s="3"/>
    </row>
    <row r="403" spans="1:41" ht="15.75" customHeight="1">
      <c r="A403" s="12"/>
      <c r="B403" s="3"/>
      <c r="C403" s="12"/>
      <c r="D403" s="3"/>
      <c r="E403" s="3"/>
      <c r="F403" s="5"/>
      <c r="G403" s="3"/>
      <c r="H403" s="3"/>
      <c r="I403" s="3"/>
      <c r="J403" s="3"/>
      <c r="K403" s="3"/>
      <c r="L403" s="3"/>
      <c r="M403" s="3"/>
      <c r="N403" s="3"/>
      <c r="O403" s="3"/>
      <c r="P403" s="3"/>
      <c r="Q403" s="3"/>
      <c r="R403" s="5"/>
      <c r="S403" s="3"/>
      <c r="T403" s="3"/>
      <c r="U403" s="3"/>
      <c r="V403" s="3"/>
      <c r="W403" s="3"/>
      <c r="X403" s="3"/>
      <c r="Y403" s="3"/>
      <c r="Z403" s="3"/>
      <c r="AA403" s="3"/>
      <c r="AB403" s="34" t="s">
        <v>215</v>
      </c>
      <c r="AC403" s="34" t="s">
        <v>36</v>
      </c>
      <c r="AD403" s="25" t="s">
        <v>1338</v>
      </c>
      <c r="AE403" s="3"/>
      <c r="AF403" s="3"/>
      <c r="AG403" s="3"/>
      <c r="AH403" s="3"/>
      <c r="AI403" s="3"/>
      <c r="AJ403" s="3"/>
      <c r="AK403" s="3"/>
      <c r="AL403" s="3"/>
      <c r="AM403" s="3"/>
      <c r="AN403" s="3"/>
      <c r="AO403" s="3"/>
    </row>
    <row r="404" spans="1:41" ht="15.75" customHeight="1">
      <c r="A404" s="12"/>
      <c r="B404" s="3"/>
      <c r="C404" s="12"/>
      <c r="D404" s="3"/>
      <c r="E404" s="3"/>
      <c r="F404" s="5"/>
      <c r="G404" s="3"/>
      <c r="H404" s="3"/>
      <c r="I404" s="3"/>
      <c r="J404" s="3"/>
      <c r="K404" s="3"/>
      <c r="L404" s="3"/>
      <c r="M404" s="3"/>
      <c r="N404" s="3"/>
      <c r="O404" s="3"/>
      <c r="P404" s="3"/>
      <c r="Q404" s="3"/>
      <c r="R404" s="5"/>
      <c r="S404" s="3"/>
      <c r="T404" s="3"/>
      <c r="U404" s="3"/>
      <c r="V404" s="3"/>
      <c r="W404" s="3"/>
      <c r="X404" s="3"/>
      <c r="Y404" s="3"/>
      <c r="Z404" s="3"/>
      <c r="AA404" s="3"/>
      <c r="AB404" s="34" t="s">
        <v>1339</v>
      </c>
      <c r="AC404" s="34" t="s">
        <v>36</v>
      </c>
      <c r="AD404" s="25" t="s">
        <v>1340</v>
      </c>
      <c r="AE404" s="3"/>
      <c r="AF404" s="3"/>
      <c r="AG404" s="3"/>
      <c r="AH404" s="3"/>
      <c r="AI404" s="3"/>
      <c r="AJ404" s="3"/>
      <c r="AK404" s="3"/>
      <c r="AL404" s="3"/>
      <c r="AM404" s="3"/>
      <c r="AN404" s="3"/>
      <c r="AO404" s="3"/>
    </row>
    <row r="405" spans="1:41" ht="15.75" customHeight="1">
      <c r="A405" s="12"/>
      <c r="B405" s="3"/>
      <c r="C405" s="12"/>
      <c r="D405" s="3"/>
      <c r="E405" s="3"/>
      <c r="F405" s="5"/>
      <c r="G405" s="3"/>
      <c r="H405" s="3"/>
      <c r="I405" s="3"/>
      <c r="J405" s="3"/>
      <c r="K405" s="3"/>
      <c r="L405" s="3"/>
      <c r="M405" s="3"/>
      <c r="N405" s="3"/>
      <c r="O405" s="3"/>
      <c r="P405" s="3"/>
      <c r="Q405" s="3"/>
      <c r="R405" s="5"/>
      <c r="S405" s="3"/>
      <c r="T405" s="3"/>
      <c r="U405" s="3"/>
      <c r="V405" s="3"/>
      <c r="W405" s="3"/>
      <c r="X405" s="3"/>
      <c r="Y405" s="3"/>
      <c r="Z405" s="3"/>
      <c r="AA405" s="3"/>
      <c r="AB405" s="34" t="s">
        <v>1341</v>
      </c>
      <c r="AC405" s="34" t="s">
        <v>36</v>
      </c>
      <c r="AD405" s="25" t="s">
        <v>1342</v>
      </c>
      <c r="AE405" s="3"/>
      <c r="AF405" s="3"/>
      <c r="AG405" s="3"/>
      <c r="AH405" s="3"/>
      <c r="AI405" s="3"/>
      <c r="AJ405" s="3"/>
      <c r="AK405" s="3"/>
      <c r="AL405" s="3"/>
      <c r="AM405" s="3"/>
      <c r="AN405" s="3"/>
      <c r="AO405" s="3"/>
    </row>
    <row r="406" spans="1:41" ht="15.75" customHeight="1">
      <c r="A406" s="12"/>
      <c r="B406" s="3"/>
      <c r="C406" s="12"/>
      <c r="D406" s="3"/>
      <c r="E406" s="3"/>
      <c r="F406" s="5"/>
      <c r="G406" s="3"/>
      <c r="H406" s="3"/>
      <c r="I406" s="3"/>
      <c r="J406" s="3"/>
      <c r="K406" s="3"/>
      <c r="L406" s="3"/>
      <c r="M406" s="3"/>
      <c r="N406" s="3"/>
      <c r="O406" s="3"/>
      <c r="P406" s="3"/>
      <c r="Q406" s="3"/>
      <c r="R406" s="5"/>
      <c r="S406" s="3"/>
      <c r="T406" s="3"/>
      <c r="U406" s="3"/>
      <c r="V406" s="3"/>
      <c r="W406" s="3"/>
      <c r="X406" s="3"/>
      <c r="Y406" s="3"/>
      <c r="Z406" s="3"/>
      <c r="AA406" s="3"/>
      <c r="AB406" s="34" t="s">
        <v>1343</v>
      </c>
      <c r="AC406" s="34" t="s">
        <v>36</v>
      </c>
      <c r="AD406" s="25" t="s">
        <v>1344</v>
      </c>
      <c r="AE406" s="3"/>
      <c r="AF406" s="3"/>
      <c r="AG406" s="3"/>
      <c r="AH406" s="3"/>
      <c r="AI406" s="3"/>
      <c r="AJ406" s="3"/>
      <c r="AK406" s="3"/>
      <c r="AL406" s="3"/>
      <c r="AM406" s="3"/>
      <c r="AN406" s="3"/>
      <c r="AO406" s="3"/>
    </row>
    <row r="407" spans="1:41" ht="15.75" customHeight="1">
      <c r="A407" s="12"/>
      <c r="B407" s="3"/>
      <c r="C407" s="12"/>
      <c r="D407" s="3"/>
      <c r="E407" s="3"/>
      <c r="F407" s="5"/>
      <c r="G407" s="3"/>
      <c r="H407" s="3"/>
      <c r="I407" s="3"/>
      <c r="J407" s="3"/>
      <c r="K407" s="3"/>
      <c r="L407" s="3"/>
      <c r="M407" s="3"/>
      <c r="N407" s="3"/>
      <c r="O407" s="3"/>
      <c r="P407" s="3"/>
      <c r="Q407" s="3"/>
      <c r="R407" s="5"/>
      <c r="S407" s="3"/>
      <c r="T407" s="3"/>
      <c r="U407" s="3"/>
      <c r="V407" s="3"/>
      <c r="W407" s="3"/>
      <c r="X407" s="3"/>
      <c r="Y407" s="3"/>
      <c r="Z407" s="3"/>
      <c r="AA407" s="3"/>
      <c r="AB407" s="34" t="s">
        <v>1345</v>
      </c>
      <c r="AC407" s="34" t="s">
        <v>36</v>
      </c>
      <c r="AD407" s="25" t="s">
        <v>1346</v>
      </c>
      <c r="AE407" s="3"/>
      <c r="AF407" s="3"/>
      <c r="AG407" s="3"/>
      <c r="AH407" s="3"/>
      <c r="AI407" s="3"/>
      <c r="AJ407" s="3"/>
      <c r="AK407" s="3"/>
      <c r="AL407" s="3"/>
      <c r="AM407" s="3"/>
      <c r="AN407" s="3"/>
      <c r="AO407" s="3"/>
    </row>
    <row r="408" spans="1:41" ht="15.75" customHeight="1">
      <c r="A408" s="12"/>
      <c r="B408" s="3"/>
      <c r="C408" s="12"/>
      <c r="D408" s="3"/>
      <c r="E408" s="3"/>
      <c r="F408" s="5"/>
      <c r="G408" s="3"/>
      <c r="H408" s="3"/>
      <c r="I408" s="3"/>
      <c r="J408" s="3"/>
      <c r="K408" s="3"/>
      <c r="L408" s="3"/>
      <c r="M408" s="3"/>
      <c r="N408" s="3"/>
      <c r="O408" s="3"/>
      <c r="P408" s="3"/>
      <c r="Q408" s="3"/>
      <c r="R408" s="5"/>
      <c r="S408" s="3"/>
      <c r="T408" s="3"/>
      <c r="U408" s="3"/>
      <c r="V408" s="3"/>
      <c r="W408" s="3"/>
      <c r="X408" s="3"/>
      <c r="Y408" s="3"/>
      <c r="Z408" s="3"/>
      <c r="AA408" s="3"/>
      <c r="AB408" s="34" t="s">
        <v>1347</v>
      </c>
      <c r="AC408" s="34" t="s">
        <v>36</v>
      </c>
      <c r="AD408" s="25" t="s">
        <v>1348</v>
      </c>
      <c r="AE408" s="3"/>
      <c r="AF408" s="3"/>
      <c r="AG408" s="3"/>
      <c r="AH408" s="3"/>
      <c r="AI408" s="3"/>
      <c r="AJ408" s="3"/>
      <c r="AK408" s="3"/>
      <c r="AL408" s="3"/>
      <c r="AM408" s="3"/>
      <c r="AN408" s="3"/>
      <c r="AO408" s="3"/>
    </row>
    <row r="409" spans="1:41" ht="15.75" customHeight="1">
      <c r="A409" s="12"/>
      <c r="B409" s="3"/>
      <c r="C409" s="12"/>
      <c r="D409" s="3"/>
      <c r="E409" s="3"/>
      <c r="F409" s="5"/>
      <c r="G409" s="3"/>
      <c r="H409" s="3"/>
      <c r="I409" s="3"/>
      <c r="J409" s="3"/>
      <c r="K409" s="3"/>
      <c r="L409" s="3"/>
      <c r="M409" s="3"/>
      <c r="N409" s="3"/>
      <c r="O409" s="3"/>
      <c r="P409" s="3"/>
      <c r="Q409" s="3"/>
      <c r="R409" s="5"/>
      <c r="S409" s="3"/>
      <c r="T409" s="3"/>
      <c r="U409" s="3"/>
      <c r="V409" s="3"/>
      <c r="W409" s="3"/>
      <c r="X409" s="3"/>
      <c r="Y409" s="3"/>
      <c r="Z409" s="3"/>
      <c r="AA409" s="3"/>
      <c r="AB409" s="34" t="s">
        <v>1349</v>
      </c>
      <c r="AC409" s="34" t="s">
        <v>36</v>
      </c>
      <c r="AD409" s="25" t="s">
        <v>1350</v>
      </c>
      <c r="AE409" s="3"/>
      <c r="AF409" s="3"/>
      <c r="AG409" s="3"/>
      <c r="AH409" s="3"/>
      <c r="AI409" s="3"/>
      <c r="AJ409" s="3"/>
      <c r="AK409" s="3"/>
      <c r="AL409" s="3"/>
      <c r="AM409" s="3"/>
      <c r="AN409" s="3"/>
      <c r="AO409" s="3"/>
    </row>
    <row r="410" spans="1:41" ht="15.75" customHeight="1">
      <c r="A410" s="12"/>
      <c r="B410" s="3"/>
      <c r="C410" s="12"/>
      <c r="D410" s="3"/>
      <c r="E410" s="3"/>
      <c r="F410" s="5"/>
      <c r="G410" s="3"/>
      <c r="H410" s="3"/>
      <c r="I410" s="3"/>
      <c r="J410" s="3"/>
      <c r="K410" s="3"/>
      <c r="L410" s="3"/>
      <c r="M410" s="3"/>
      <c r="N410" s="3"/>
      <c r="O410" s="3"/>
      <c r="P410" s="3"/>
      <c r="Q410" s="3"/>
      <c r="R410" s="5"/>
      <c r="S410" s="3"/>
      <c r="T410" s="3"/>
      <c r="U410" s="3"/>
      <c r="V410" s="3"/>
      <c r="W410" s="3"/>
      <c r="X410" s="3"/>
      <c r="Y410" s="3"/>
      <c r="Z410" s="3"/>
      <c r="AA410" s="3"/>
      <c r="AB410" s="34" t="s">
        <v>1351</v>
      </c>
      <c r="AC410" s="34" t="s">
        <v>36</v>
      </c>
      <c r="AD410" s="25" t="s">
        <v>1352</v>
      </c>
      <c r="AE410" s="3"/>
      <c r="AF410" s="3"/>
      <c r="AG410" s="3"/>
      <c r="AH410" s="3"/>
      <c r="AI410" s="3"/>
      <c r="AJ410" s="3"/>
      <c r="AK410" s="3"/>
      <c r="AL410" s="3"/>
      <c r="AM410" s="3"/>
      <c r="AN410" s="3"/>
      <c r="AO410" s="3"/>
    </row>
    <row r="411" spans="1:41" ht="15.75" customHeight="1">
      <c r="A411" s="12"/>
      <c r="B411" s="3"/>
      <c r="C411" s="12"/>
      <c r="D411" s="3"/>
      <c r="E411" s="3"/>
      <c r="F411" s="5"/>
      <c r="G411" s="3"/>
      <c r="H411" s="3"/>
      <c r="I411" s="3"/>
      <c r="J411" s="3"/>
      <c r="K411" s="3"/>
      <c r="L411" s="3"/>
      <c r="M411" s="3"/>
      <c r="N411" s="3"/>
      <c r="O411" s="3"/>
      <c r="P411" s="3"/>
      <c r="Q411" s="3"/>
      <c r="R411" s="5"/>
      <c r="S411" s="3"/>
      <c r="T411" s="3"/>
      <c r="U411" s="3"/>
      <c r="V411" s="3"/>
      <c r="W411" s="3"/>
      <c r="X411" s="3"/>
      <c r="Y411" s="3"/>
      <c r="Z411" s="3"/>
      <c r="AA411" s="3"/>
      <c r="AB411" s="34" t="s">
        <v>1353</v>
      </c>
      <c r="AC411" s="34" t="s">
        <v>36</v>
      </c>
      <c r="AD411" s="25" t="s">
        <v>1354</v>
      </c>
      <c r="AE411" s="3"/>
      <c r="AF411" s="3"/>
      <c r="AG411" s="3"/>
      <c r="AH411" s="3"/>
      <c r="AI411" s="3"/>
      <c r="AJ411" s="3"/>
      <c r="AK411" s="3"/>
      <c r="AL411" s="3"/>
      <c r="AM411" s="3"/>
      <c r="AN411" s="3"/>
      <c r="AO411" s="3"/>
    </row>
    <row r="412" spans="1:41" ht="15.75" customHeight="1">
      <c r="A412" s="12"/>
      <c r="B412" s="3"/>
      <c r="C412" s="12"/>
      <c r="D412" s="3"/>
      <c r="E412" s="3"/>
      <c r="F412" s="5"/>
      <c r="G412" s="3"/>
      <c r="H412" s="3"/>
      <c r="I412" s="3"/>
      <c r="J412" s="3"/>
      <c r="K412" s="3"/>
      <c r="L412" s="3"/>
      <c r="M412" s="3"/>
      <c r="N412" s="3"/>
      <c r="O412" s="3"/>
      <c r="P412" s="3"/>
      <c r="Q412" s="3"/>
      <c r="R412" s="5"/>
      <c r="S412" s="3"/>
      <c r="T412" s="3"/>
      <c r="U412" s="3"/>
      <c r="V412" s="3"/>
      <c r="W412" s="3"/>
      <c r="X412" s="3"/>
      <c r="Y412" s="3"/>
      <c r="Z412" s="3"/>
      <c r="AA412" s="3"/>
      <c r="AB412" s="34" t="s">
        <v>1355</v>
      </c>
      <c r="AC412" s="34" t="s">
        <v>36</v>
      </c>
      <c r="AD412" s="25" t="s">
        <v>1356</v>
      </c>
      <c r="AE412" s="3"/>
      <c r="AF412" s="3"/>
      <c r="AG412" s="3"/>
      <c r="AH412" s="3"/>
      <c r="AI412" s="3"/>
      <c r="AJ412" s="3"/>
      <c r="AK412" s="3"/>
      <c r="AL412" s="3"/>
      <c r="AM412" s="3"/>
      <c r="AN412" s="3"/>
      <c r="AO412" s="3"/>
    </row>
    <row r="413" spans="1:41" ht="15.75" customHeight="1">
      <c r="A413" s="12"/>
      <c r="B413" s="3"/>
      <c r="C413" s="12"/>
      <c r="D413" s="3"/>
      <c r="E413" s="3"/>
      <c r="F413" s="5"/>
      <c r="G413" s="3"/>
      <c r="H413" s="3"/>
      <c r="I413" s="3"/>
      <c r="J413" s="3"/>
      <c r="K413" s="3"/>
      <c r="L413" s="3"/>
      <c r="M413" s="3"/>
      <c r="N413" s="3"/>
      <c r="O413" s="3"/>
      <c r="P413" s="3"/>
      <c r="Q413" s="3"/>
      <c r="R413" s="5"/>
      <c r="S413" s="3"/>
      <c r="T413" s="3"/>
      <c r="U413" s="3"/>
      <c r="V413" s="3"/>
      <c r="W413" s="3"/>
      <c r="X413" s="3"/>
      <c r="Y413" s="3"/>
      <c r="Z413" s="3"/>
      <c r="AA413" s="3"/>
      <c r="AB413" s="34" t="s">
        <v>1357</v>
      </c>
      <c r="AC413" s="34" t="s">
        <v>36</v>
      </c>
      <c r="AD413" s="25" t="s">
        <v>1358</v>
      </c>
      <c r="AE413" s="3"/>
      <c r="AF413" s="3"/>
      <c r="AG413" s="3"/>
      <c r="AH413" s="3"/>
      <c r="AI413" s="3"/>
      <c r="AJ413" s="3"/>
      <c r="AK413" s="3"/>
      <c r="AL413" s="3"/>
      <c r="AM413" s="3"/>
      <c r="AN413" s="3"/>
      <c r="AO413" s="3"/>
    </row>
    <row r="414" spans="1:41" ht="15.75" customHeight="1">
      <c r="A414" s="12"/>
      <c r="B414" s="3"/>
      <c r="C414" s="12"/>
      <c r="D414" s="3"/>
      <c r="E414" s="3"/>
      <c r="F414" s="5"/>
      <c r="G414" s="3"/>
      <c r="H414" s="3"/>
      <c r="I414" s="3"/>
      <c r="J414" s="3"/>
      <c r="K414" s="3"/>
      <c r="L414" s="3"/>
      <c r="M414" s="3"/>
      <c r="N414" s="3"/>
      <c r="O414" s="3"/>
      <c r="P414" s="3"/>
      <c r="Q414" s="3"/>
      <c r="R414" s="5"/>
      <c r="S414" s="3"/>
      <c r="T414" s="3"/>
      <c r="U414" s="3"/>
      <c r="V414" s="3"/>
      <c r="W414" s="3"/>
      <c r="X414" s="3"/>
      <c r="Y414" s="3"/>
      <c r="Z414" s="3"/>
      <c r="AA414" s="3"/>
      <c r="AB414" s="34" t="s">
        <v>1359</v>
      </c>
      <c r="AC414" s="34" t="s">
        <v>36</v>
      </c>
      <c r="AD414" s="25" t="s">
        <v>1360</v>
      </c>
      <c r="AE414" s="3"/>
      <c r="AF414" s="3"/>
      <c r="AG414" s="3"/>
      <c r="AH414" s="3"/>
      <c r="AI414" s="3"/>
      <c r="AJ414" s="3"/>
      <c r="AK414" s="3"/>
      <c r="AL414" s="3"/>
      <c r="AM414" s="3"/>
      <c r="AN414" s="3"/>
      <c r="AO414" s="3"/>
    </row>
    <row r="415" spans="1:41" ht="15.75" customHeight="1">
      <c r="A415" s="12"/>
      <c r="B415" s="3"/>
      <c r="C415" s="12"/>
      <c r="D415" s="3"/>
      <c r="E415" s="3"/>
      <c r="F415" s="5"/>
      <c r="G415" s="3"/>
      <c r="H415" s="3"/>
      <c r="I415" s="3"/>
      <c r="J415" s="3"/>
      <c r="K415" s="3"/>
      <c r="L415" s="3"/>
      <c r="M415" s="3"/>
      <c r="N415" s="3"/>
      <c r="O415" s="3"/>
      <c r="P415" s="3"/>
      <c r="Q415" s="3"/>
      <c r="R415" s="5"/>
      <c r="S415" s="3"/>
      <c r="T415" s="3"/>
      <c r="U415" s="3"/>
      <c r="V415" s="3"/>
      <c r="W415" s="3"/>
      <c r="X415" s="3"/>
      <c r="Y415" s="3"/>
      <c r="Z415" s="3"/>
      <c r="AA415" s="3"/>
      <c r="AB415" s="34" t="s">
        <v>1361</v>
      </c>
      <c r="AC415" s="34" t="s">
        <v>140</v>
      </c>
      <c r="AD415" s="34"/>
      <c r="AE415" s="3"/>
      <c r="AF415" s="3"/>
      <c r="AG415" s="3"/>
      <c r="AH415" s="3"/>
      <c r="AI415" s="3"/>
      <c r="AJ415" s="3"/>
      <c r="AK415" s="3"/>
      <c r="AL415" s="3"/>
      <c r="AM415" s="3"/>
      <c r="AN415" s="3"/>
      <c r="AO415" s="3"/>
    </row>
    <row r="416" spans="1:41" ht="15.75" customHeight="1">
      <c r="A416" s="12"/>
      <c r="B416" s="3"/>
      <c r="C416" s="12"/>
      <c r="D416" s="3"/>
      <c r="E416" s="3"/>
      <c r="F416" s="5"/>
      <c r="G416" s="3"/>
      <c r="H416" s="3"/>
      <c r="I416" s="3"/>
      <c r="J416" s="3"/>
      <c r="K416" s="3"/>
      <c r="L416" s="3"/>
      <c r="M416" s="3"/>
      <c r="N416" s="3"/>
      <c r="O416" s="3"/>
      <c r="P416" s="3"/>
      <c r="Q416" s="3"/>
      <c r="R416" s="5"/>
      <c r="S416" s="3"/>
      <c r="T416" s="3"/>
      <c r="U416" s="3"/>
      <c r="V416" s="3"/>
      <c r="W416" s="3"/>
      <c r="X416" s="3"/>
      <c r="Y416" s="3"/>
      <c r="Z416" s="3"/>
      <c r="AA416" s="3"/>
      <c r="AB416" s="34" t="s">
        <v>1362</v>
      </c>
      <c r="AC416" s="34" t="s">
        <v>36</v>
      </c>
      <c r="AD416" s="25" t="s">
        <v>1363</v>
      </c>
      <c r="AE416" s="3"/>
      <c r="AF416" s="3"/>
      <c r="AG416" s="3"/>
      <c r="AH416" s="3"/>
      <c r="AI416" s="3"/>
      <c r="AJ416" s="3"/>
      <c r="AK416" s="3"/>
      <c r="AL416" s="3"/>
      <c r="AM416" s="3"/>
      <c r="AN416" s="3"/>
      <c r="AO416" s="3"/>
    </row>
    <row r="417" spans="1:41" ht="15.75" customHeight="1">
      <c r="A417" s="12"/>
      <c r="B417" s="3"/>
      <c r="C417" s="12"/>
      <c r="D417" s="3"/>
      <c r="E417" s="3"/>
      <c r="F417" s="5"/>
      <c r="G417" s="3"/>
      <c r="H417" s="3"/>
      <c r="I417" s="3"/>
      <c r="J417" s="3"/>
      <c r="K417" s="3"/>
      <c r="L417" s="3"/>
      <c r="M417" s="3"/>
      <c r="N417" s="3"/>
      <c r="O417" s="3"/>
      <c r="P417" s="3"/>
      <c r="Q417" s="3"/>
      <c r="R417" s="5"/>
      <c r="S417" s="3"/>
      <c r="T417" s="3"/>
      <c r="U417" s="3"/>
      <c r="V417" s="3"/>
      <c r="W417" s="3"/>
      <c r="X417" s="3"/>
      <c r="Y417" s="3"/>
      <c r="Z417" s="3"/>
      <c r="AA417" s="3"/>
      <c r="AB417" s="34" t="s">
        <v>742</v>
      </c>
      <c r="AC417" s="34" t="s">
        <v>36</v>
      </c>
      <c r="AD417" s="25" t="s">
        <v>1364</v>
      </c>
      <c r="AE417" s="3"/>
      <c r="AF417" s="3"/>
      <c r="AG417" s="3"/>
      <c r="AH417" s="3"/>
      <c r="AI417" s="3"/>
      <c r="AJ417" s="3"/>
      <c r="AK417" s="3"/>
      <c r="AL417" s="3"/>
      <c r="AM417" s="3"/>
      <c r="AN417" s="3"/>
      <c r="AO417" s="3"/>
    </row>
    <row r="418" spans="1:41" ht="15.75" customHeight="1">
      <c r="A418" s="12"/>
      <c r="B418" s="3"/>
      <c r="C418" s="12"/>
      <c r="D418" s="3"/>
      <c r="E418" s="3"/>
      <c r="F418" s="5"/>
      <c r="G418" s="3"/>
      <c r="H418" s="3"/>
      <c r="I418" s="3"/>
      <c r="J418" s="3"/>
      <c r="K418" s="3"/>
      <c r="L418" s="3"/>
      <c r="M418" s="3"/>
      <c r="N418" s="3"/>
      <c r="O418" s="3"/>
      <c r="P418" s="3"/>
      <c r="Q418" s="3"/>
      <c r="R418" s="5"/>
      <c r="S418" s="3"/>
      <c r="T418" s="3"/>
      <c r="U418" s="3"/>
      <c r="V418" s="3"/>
      <c r="W418" s="3"/>
      <c r="X418" s="3"/>
      <c r="Y418" s="3"/>
      <c r="Z418" s="3"/>
      <c r="AA418" s="3"/>
      <c r="AB418" s="34" t="s">
        <v>1365</v>
      </c>
      <c r="AC418" s="34" t="s">
        <v>36</v>
      </c>
      <c r="AD418" s="25" t="s">
        <v>1366</v>
      </c>
      <c r="AE418" s="3"/>
      <c r="AF418" s="3"/>
      <c r="AG418" s="3"/>
      <c r="AH418" s="3"/>
      <c r="AI418" s="3"/>
      <c r="AJ418" s="3"/>
      <c r="AK418" s="3"/>
      <c r="AL418" s="3"/>
      <c r="AM418" s="3"/>
      <c r="AN418" s="3"/>
      <c r="AO418" s="3"/>
    </row>
    <row r="419" spans="1:41" ht="15.75" customHeight="1">
      <c r="A419" s="12"/>
      <c r="B419" s="3"/>
      <c r="C419" s="12"/>
      <c r="D419" s="3"/>
      <c r="E419" s="3"/>
      <c r="F419" s="5"/>
      <c r="G419" s="3"/>
      <c r="H419" s="3"/>
      <c r="I419" s="3"/>
      <c r="J419" s="3"/>
      <c r="K419" s="3"/>
      <c r="L419" s="3"/>
      <c r="M419" s="3"/>
      <c r="N419" s="3"/>
      <c r="O419" s="3"/>
      <c r="P419" s="3"/>
      <c r="Q419" s="3"/>
      <c r="R419" s="5"/>
      <c r="S419" s="3"/>
      <c r="T419" s="3"/>
      <c r="U419" s="3"/>
      <c r="V419" s="3"/>
      <c r="W419" s="3"/>
      <c r="X419" s="3"/>
      <c r="Y419" s="3"/>
      <c r="Z419" s="3"/>
      <c r="AA419" s="3"/>
      <c r="AB419" s="34" t="s">
        <v>442</v>
      </c>
      <c r="AC419" s="34" t="s">
        <v>36</v>
      </c>
      <c r="AD419" s="25" t="s">
        <v>443</v>
      </c>
      <c r="AE419" s="3"/>
      <c r="AF419" s="3"/>
      <c r="AG419" s="3"/>
      <c r="AH419" s="3"/>
      <c r="AI419" s="3"/>
      <c r="AJ419" s="3"/>
      <c r="AK419" s="3"/>
      <c r="AL419" s="3"/>
      <c r="AM419" s="3"/>
      <c r="AN419" s="3"/>
      <c r="AO419" s="3"/>
    </row>
    <row r="420" spans="1:41" ht="15.75" customHeight="1">
      <c r="A420" s="12"/>
      <c r="B420" s="3"/>
      <c r="C420" s="12"/>
      <c r="D420" s="3"/>
      <c r="E420" s="3"/>
      <c r="F420" s="5"/>
      <c r="G420" s="3"/>
      <c r="H420" s="3"/>
      <c r="I420" s="3"/>
      <c r="J420" s="3"/>
      <c r="K420" s="3"/>
      <c r="L420" s="3"/>
      <c r="M420" s="3"/>
      <c r="N420" s="3"/>
      <c r="O420" s="3"/>
      <c r="P420" s="3"/>
      <c r="Q420" s="3"/>
      <c r="R420" s="5"/>
      <c r="S420" s="3"/>
      <c r="T420" s="3"/>
      <c r="U420" s="3"/>
      <c r="V420" s="3"/>
      <c r="W420" s="3"/>
      <c r="X420" s="3"/>
      <c r="Y420" s="3"/>
      <c r="Z420" s="3"/>
      <c r="AA420" s="3"/>
      <c r="AB420" s="34" t="s">
        <v>1367</v>
      </c>
      <c r="AC420" s="34" t="s">
        <v>36</v>
      </c>
      <c r="AD420" s="25" t="s">
        <v>1368</v>
      </c>
      <c r="AE420" s="3"/>
      <c r="AF420" s="3"/>
      <c r="AG420" s="3"/>
      <c r="AH420" s="3"/>
      <c r="AI420" s="3"/>
      <c r="AJ420" s="3"/>
      <c r="AK420" s="3"/>
      <c r="AL420" s="3"/>
      <c r="AM420" s="3"/>
      <c r="AN420" s="3"/>
      <c r="AO420" s="3"/>
    </row>
    <row r="421" spans="1:41" ht="15.75" customHeight="1">
      <c r="A421" s="12"/>
      <c r="B421" s="3"/>
      <c r="C421" s="12"/>
      <c r="D421" s="3"/>
      <c r="E421" s="3"/>
      <c r="F421" s="5"/>
      <c r="G421" s="3"/>
      <c r="H421" s="3"/>
      <c r="I421" s="3"/>
      <c r="J421" s="3"/>
      <c r="K421" s="3"/>
      <c r="L421" s="3"/>
      <c r="M421" s="3"/>
      <c r="N421" s="3"/>
      <c r="O421" s="3"/>
      <c r="P421" s="3"/>
      <c r="Q421" s="3"/>
      <c r="R421" s="5"/>
      <c r="S421" s="3"/>
      <c r="T421" s="3"/>
      <c r="U421" s="3"/>
      <c r="V421" s="3"/>
      <c r="W421" s="3"/>
      <c r="X421" s="3"/>
      <c r="Y421" s="3"/>
      <c r="Z421" s="3"/>
      <c r="AA421" s="3"/>
      <c r="AB421" s="34" t="s">
        <v>1369</v>
      </c>
      <c r="AC421" s="34" t="s">
        <v>36</v>
      </c>
      <c r="AD421" s="25" t="s">
        <v>1370</v>
      </c>
      <c r="AE421" s="3"/>
      <c r="AF421" s="3"/>
      <c r="AG421" s="3"/>
      <c r="AH421" s="3"/>
      <c r="AI421" s="3"/>
      <c r="AJ421" s="3"/>
      <c r="AK421" s="3"/>
      <c r="AL421" s="3"/>
      <c r="AM421" s="3"/>
      <c r="AN421" s="3"/>
      <c r="AO421" s="3"/>
    </row>
    <row r="422" spans="1:41" ht="15.75" customHeight="1">
      <c r="A422" s="12"/>
      <c r="B422" s="3"/>
      <c r="C422" s="12"/>
      <c r="D422" s="3"/>
      <c r="E422" s="3"/>
      <c r="F422" s="5"/>
      <c r="G422" s="3"/>
      <c r="H422" s="3"/>
      <c r="I422" s="3"/>
      <c r="J422" s="3"/>
      <c r="K422" s="3"/>
      <c r="L422" s="3"/>
      <c r="M422" s="3"/>
      <c r="N422" s="3"/>
      <c r="O422" s="3"/>
      <c r="P422" s="3"/>
      <c r="Q422" s="3"/>
      <c r="R422" s="5"/>
      <c r="S422" s="3"/>
      <c r="T422" s="3"/>
      <c r="U422" s="3"/>
      <c r="V422" s="3"/>
      <c r="W422" s="3"/>
      <c r="X422" s="3"/>
      <c r="Y422" s="3"/>
      <c r="Z422" s="3"/>
      <c r="AA422" s="3"/>
      <c r="AB422" s="34" t="s">
        <v>1371</v>
      </c>
      <c r="AC422" s="34" t="s">
        <v>36</v>
      </c>
      <c r="AD422" s="25" t="s">
        <v>1372</v>
      </c>
      <c r="AE422" s="3"/>
      <c r="AF422" s="3"/>
      <c r="AG422" s="3"/>
      <c r="AH422" s="3"/>
      <c r="AI422" s="3"/>
      <c r="AJ422" s="3"/>
      <c r="AK422" s="3"/>
      <c r="AL422" s="3"/>
      <c r="AM422" s="3"/>
      <c r="AN422" s="3"/>
      <c r="AO422" s="3"/>
    </row>
    <row r="423" spans="1:41" ht="15.75" customHeight="1">
      <c r="A423" s="12"/>
      <c r="B423" s="3"/>
      <c r="C423" s="12"/>
      <c r="D423" s="3"/>
      <c r="E423" s="3"/>
      <c r="F423" s="5"/>
      <c r="G423" s="3"/>
      <c r="H423" s="3"/>
      <c r="I423" s="3"/>
      <c r="J423" s="3"/>
      <c r="K423" s="3"/>
      <c r="L423" s="3"/>
      <c r="M423" s="3"/>
      <c r="N423" s="3"/>
      <c r="O423" s="3"/>
      <c r="P423" s="3"/>
      <c r="Q423" s="3"/>
      <c r="R423" s="5"/>
      <c r="S423" s="3"/>
      <c r="T423" s="3"/>
      <c r="U423" s="3"/>
      <c r="V423" s="3"/>
      <c r="W423" s="3"/>
      <c r="X423" s="3"/>
      <c r="Y423" s="3"/>
      <c r="Z423" s="3"/>
      <c r="AA423" s="3"/>
      <c r="AB423" s="34" t="s">
        <v>1373</v>
      </c>
      <c r="AC423" s="34" t="s">
        <v>36</v>
      </c>
      <c r="AD423" s="25" t="s">
        <v>1374</v>
      </c>
      <c r="AE423" s="3"/>
      <c r="AF423" s="3"/>
      <c r="AG423" s="3"/>
      <c r="AH423" s="3"/>
      <c r="AI423" s="3"/>
      <c r="AJ423" s="3"/>
      <c r="AK423" s="3"/>
      <c r="AL423" s="3"/>
      <c r="AM423" s="3"/>
      <c r="AN423" s="3"/>
      <c r="AO423" s="3"/>
    </row>
    <row r="424" spans="1:41" ht="15.75" customHeight="1">
      <c r="A424" s="12"/>
      <c r="B424" s="3"/>
      <c r="C424" s="12"/>
      <c r="D424" s="3"/>
      <c r="E424" s="3"/>
      <c r="F424" s="5"/>
      <c r="G424" s="3"/>
      <c r="H424" s="3"/>
      <c r="I424" s="3"/>
      <c r="J424" s="3"/>
      <c r="K424" s="3"/>
      <c r="L424" s="3"/>
      <c r="M424" s="3"/>
      <c r="N424" s="3"/>
      <c r="O424" s="3"/>
      <c r="P424" s="3"/>
      <c r="Q424" s="3"/>
      <c r="R424" s="5"/>
      <c r="S424" s="3"/>
      <c r="T424" s="3"/>
      <c r="U424" s="3"/>
      <c r="V424" s="3"/>
      <c r="W424" s="3"/>
      <c r="X424" s="3"/>
      <c r="Y424" s="3"/>
      <c r="Z424" s="3"/>
      <c r="AA424" s="3"/>
      <c r="AB424" s="34" t="s">
        <v>1375</v>
      </c>
      <c r="AC424" s="34" t="s">
        <v>140</v>
      </c>
      <c r="AD424" s="34"/>
      <c r="AE424" s="3"/>
      <c r="AF424" s="3"/>
      <c r="AG424" s="3"/>
      <c r="AH424" s="3"/>
      <c r="AI424" s="3"/>
      <c r="AJ424" s="3"/>
      <c r="AK424" s="3"/>
      <c r="AL424" s="3"/>
      <c r="AM424" s="3"/>
      <c r="AN424" s="3"/>
      <c r="AO424" s="3"/>
    </row>
    <row r="425" spans="1:41" ht="15.75" customHeight="1">
      <c r="A425" s="12"/>
      <c r="B425" s="3"/>
      <c r="C425" s="12"/>
      <c r="D425" s="3"/>
      <c r="E425" s="3"/>
      <c r="F425" s="5"/>
      <c r="G425" s="3"/>
      <c r="H425" s="3"/>
      <c r="I425" s="3"/>
      <c r="J425" s="3"/>
      <c r="K425" s="3"/>
      <c r="L425" s="3"/>
      <c r="M425" s="3"/>
      <c r="N425" s="3"/>
      <c r="O425" s="3"/>
      <c r="P425" s="3"/>
      <c r="Q425" s="3"/>
      <c r="R425" s="5"/>
      <c r="S425" s="3"/>
      <c r="T425" s="3"/>
      <c r="U425" s="3"/>
      <c r="V425" s="3"/>
      <c r="W425" s="3"/>
      <c r="X425" s="3"/>
      <c r="Y425" s="3"/>
      <c r="Z425" s="3"/>
      <c r="AA425" s="3"/>
      <c r="AB425" s="34" t="s">
        <v>1376</v>
      </c>
      <c r="AC425" s="34" t="s">
        <v>36</v>
      </c>
      <c r="AD425" s="25" t="s">
        <v>1377</v>
      </c>
      <c r="AE425" s="3"/>
      <c r="AF425" s="3"/>
      <c r="AG425" s="3"/>
      <c r="AH425" s="3"/>
      <c r="AI425" s="3"/>
      <c r="AJ425" s="3"/>
      <c r="AK425" s="3"/>
      <c r="AL425" s="3"/>
      <c r="AM425" s="3"/>
      <c r="AN425" s="3"/>
      <c r="AO425" s="3"/>
    </row>
    <row r="426" spans="1:41" ht="15.75" customHeight="1">
      <c r="A426" s="12"/>
      <c r="B426" s="3"/>
      <c r="C426" s="12"/>
      <c r="D426" s="3"/>
      <c r="E426" s="3"/>
      <c r="F426" s="5"/>
      <c r="G426" s="3"/>
      <c r="H426" s="3"/>
      <c r="I426" s="3"/>
      <c r="J426" s="3"/>
      <c r="K426" s="3"/>
      <c r="L426" s="3"/>
      <c r="M426" s="3"/>
      <c r="N426" s="3"/>
      <c r="O426" s="3"/>
      <c r="P426" s="3"/>
      <c r="Q426" s="3"/>
      <c r="R426" s="5"/>
      <c r="S426" s="3"/>
      <c r="T426" s="3"/>
      <c r="U426" s="3"/>
      <c r="V426" s="3"/>
      <c r="W426" s="3"/>
      <c r="X426" s="3"/>
      <c r="Y426" s="3"/>
      <c r="Z426" s="3"/>
      <c r="AA426" s="3"/>
      <c r="AB426" s="34" t="s">
        <v>1378</v>
      </c>
      <c r="AC426" s="34" t="s">
        <v>36</v>
      </c>
      <c r="AD426" s="25" t="s">
        <v>1379</v>
      </c>
      <c r="AE426" s="3"/>
      <c r="AF426" s="3"/>
      <c r="AG426" s="3"/>
      <c r="AH426" s="3"/>
      <c r="AI426" s="3"/>
      <c r="AJ426" s="3"/>
      <c r="AK426" s="3"/>
      <c r="AL426" s="3"/>
      <c r="AM426" s="3"/>
      <c r="AN426" s="3"/>
      <c r="AO426" s="3"/>
    </row>
    <row r="427" spans="1:41" ht="15.75" customHeight="1">
      <c r="A427" s="12"/>
      <c r="B427" s="3"/>
      <c r="C427" s="12"/>
      <c r="D427" s="3"/>
      <c r="E427" s="3"/>
      <c r="F427" s="5"/>
      <c r="G427" s="3"/>
      <c r="H427" s="3"/>
      <c r="I427" s="3"/>
      <c r="J427" s="3"/>
      <c r="K427" s="3"/>
      <c r="L427" s="3"/>
      <c r="M427" s="3"/>
      <c r="N427" s="3"/>
      <c r="O427" s="3"/>
      <c r="P427" s="3"/>
      <c r="Q427" s="3"/>
      <c r="R427" s="5"/>
      <c r="S427" s="3"/>
      <c r="T427" s="3"/>
      <c r="U427" s="3"/>
      <c r="V427" s="3"/>
      <c r="W427" s="3"/>
      <c r="X427" s="3"/>
      <c r="Y427" s="3"/>
      <c r="Z427" s="3"/>
      <c r="AA427" s="3"/>
      <c r="AB427" s="34" t="s">
        <v>1380</v>
      </c>
      <c r="AC427" s="34" t="s">
        <v>36</v>
      </c>
      <c r="AD427" s="25" t="s">
        <v>1381</v>
      </c>
      <c r="AE427" s="3"/>
      <c r="AF427" s="3"/>
      <c r="AG427" s="3"/>
      <c r="AH427" s="3"/>
      <c r="AI427" s="3"/>
      <c r="AJ427" s="3"/>
      <c r="AK427" s="3"/>
      <c r="AL427" s="3"/>
      <c r="AM427" s="3"/>
      <c r="AN427" s="3"/>
      <c r="AO427" s="3"/>
    </row>
    <row r="428" spans="1:41" ht="15.75" customHeight="1">
      <c r="A428" s="12"/>
      <c r="B428" s="3"/>
      <c r="C428" s="12"/>
      <c r="D428" s="3"/>
      <c r="E428" s="3"/>
      <c r="F428" s="5"/>
      <c r="G428" s="3"/>
      <c r="H428" s="3"/>
      <c r="I428" s="3"/>
      <c r="J428" s="3"/>
      <c r="K428" s="3"/>
      <c r="L428" s="3"/>
      <c r="M428" s="3"/>
      <c r="N428" s="3"/>
      <c r="O428" s="3"/>
      <c r="P428" s="3"/>
      <c r="Q428" s="3"/>
      <c r="R428" s="5"/>
      <c r="S428" s="3"/>
      <c r="T428" s="3"/>
      <c r="U428" s="3"/>
      <c r="V428" s="3"/>
      <c r="W428" s="3"/>
      <c r="X428" s="3"/>
      <c r="Y428" s="3"/>
      <c r="Z428" s="3"/>
      <c r="AA428" s="3"/>
      <c r="AB428" s="34" t="s">
        <v>1382</v>
      </c>
      <c r="AC428" s="34" t="s">
        <v>36</v>
      </c>
      <c r="AD428" s="25" t="s">
        <v>1383</v>
      </c>
      <c r="AE428" s="3"/>
      <c r="AF428" s="3"/>
      <c r="AG428" s="3"/>
      <c r="AH428" s="3"/>
      <c r="AI428" s="3"/>
      <c r="AJ428" s="3"/>
      <c r="AK428" s="3"/>
      <c r="AL428" s="3"/>
      <c r="AM428" s="3"/>
      <c r="AN428" s="3"/>
      <c r="AO428" s="3"/>
    </row>
    <row r="429" spans="1:41" ht="15.75" customHeight="1">
      <c r="A429" s="12"/>
      <c r="B429" s="3"/>
      <c r="C429" s="12"/>
      <c r="D429" s="3"/>
      <c r="E429" s="3"/>
      <c r="F429" s="5"/>
      <c r="G429" s="3"/>
      <c r="H429" s="3"/>
      <c r="I429" s="3"/>
      <c r="J429" s="3"/>
      <c r="K429" s="3"/>
      <c r="L429" s="3"/>
      <c r="M429" s="3"/>
      <c r="N429" s="3"/>
      <c r="O429" s="3"/>
      <c r="P429" s="3"/>
      <c r="Q429" s="3"/>
      <c r="R429" s="5"/>
      <c r="S429" s="3"/>
      <c r="T429" s="3"/>
      <c r="U429" s="3"/>
      <c r="V429" s="3"/>
      <c r="W429" s="3"/>
      <c r="X429" s="3"/>
      <c r="Y429" s="3"/>
      <c r="Z429" s="3"/>
      <c r="AA429" s="3"/>
      <c r="AB429" s="34" t="s">
        <v>1384</v>
      </c>
      <c r="AC429" s="34" t="s">
        <v>36</v>
      </c>
      <c r="AD429" s="25" t="s">
        <v>1385</v>
      </c>
      <c r="AE429" s="3"/>
      <c r="AF429" s="3"/>
      <c r="AG429" s="3"/>
      <c r="AH429" s="3"/>
      <c r="AI429" s="3"/>
      <c r="AJ429" s="3"/>
      <c r="AK429" s="3"/>
      <c r="AL429" s="3"/>
      <c r="AM429" s="3"/>
      <c r="AN429" s="3"/>
      <c r="AO429" s="3"/>
    </row>
    <row r="430" spans="1:41" ht="15.75" customHeight="1">
      <c r="A430" s="12"/>
      <c r="B430" s="3"/>
      <c r="C430" s="12"/>
      <c r="D430" s="3"/>
      <c r="E430" s="3"/>
      <c r="F430" s="5"/>
      <c r="G430" s="3"/>
      <c r="H430" s="3"/>
      <c r="I430" s="3"/>
      <c r="J430" s="3"/>
      <c r="K430" s="3"/>
      <c r="L430" s="3"/>
      <c r="M430" s="3"/>
      <c r="N430" s="3"/>
      <c r="O430" s="3"/>
      <c r="P430" s="3"/>
      <c r="Q430" s="3"/>
      <c r="R430" s="5"/>
      <c r="S430" s="3"/>
      <c r="T430" s="3"/>
      <c r="U430" s="3"/>
      <c r="V430" s="3"/>
      <c r="W430" s="3"/>
      <c r="X430" s="3"/>
      <c r="Y430" s="3"/>
      <c r="Z430" s="3"/>
      <c r="AA430" s="3"/>
      <c r="AB430" s="34" t="s">
        <v>1386</v>
      </c>
      <c r="AC430" s="34" t="s">
        <v>36</v>
      </c>
      <c r="AD430" s="25" t="s">
        <v>1387</v>
      </c>
      <c r="AE430" s="3"/>
      <c r="AF430" s="3"/>
      <c r="AG430" s="3"/>
      <c r="AH430" s="3"/>
      <c r="AI430" s="3"/>
      <c r="AJ430" s="3"/>
      <c r="AK430" s="3"/>
      <c r="AL430" s="3"/>
      <c r="AM430" s="3"/>
      <c r="AN430" s="3"/>
      <c r="AO430" s="3"/>
    </row>
    <row r="431" spans="1:41" ht="15.75" customHeight="1">
      <c r="A431" s="12"/>
      <c r="B431" s="3"/>
      <c r="C431" s="12"/>
      <c r="D431" s="3"/>
      <c r="E431" s="3"/>
      <c r="F431" s="5"/>
      <c r="G431" s="3"/>
      <c r="H431" s="3"/>
      <c r="I431" s="3"/>
      <c r="J431" s="3"/>
      <c r="K431" s="3"/>
      <c r="L431" s="3"/>
      <c r="M431" s="3"/>
      <c r="N431" s="3"/>
      <c r="O431" s="3"/>
      <c r="P431" s="3"/>
      <c r="Q431" s="3"/>
      <c r="R431" s="5"/>
      <c r="S431" s="3"/>
      <c r="T431" s="3"/>
      <c r="U431" s="3"/>
      <c r="V431" s="3"/>
      <c r="W431" s="3"/>
      <c r="X431" s="3"/>
      <c r="Y431" s="3"/>
      <c r="Z431" s="3"/>
      <c r="AA431" s="3"/>
      <c r="AB431" s="34" t="s">
        <v>1388</v>
      </c>
      <c r="AC431" s="34" t="s">
        <v>36</v>
      </c>
      <c r="AD431" s="25" t="s">
        <v>1389</v>
      </c>
      <c r="AE431" s="3"/>
      <c r="AF431" s="3"/>
      <c r="AG431" s="3"/>
      <c r="AH431" s="3"/>
      <c r="AI431" s="3"/>
      <c r="AJ431" s="3"/>
      <c r="AK431" s="3"/>
      <c r="AL431" s="3"/>
      <c r="AM431" s="3"/>
      <c r="AN431" s="3"/>
      <c r="AO431" s="3"/>
    </row>
    <row r="432" spans="1:41" ht="15.75" customHeight="1">
      <c r="A432" s="12"/>
      <c r="B432" s="3"/>
      <c r="C432" s="12"/>
      <c r="D432" s="3"/>
      <c r="E432" s="3"/>
      <c r="F432" s="5"/>
      <c r="G432" s="3"/>
      <c r="H432" s="3"/>
      <c r="I432" s="3"/>
      <c r="J432" s="3"/>
      <c r="K432" s="3"/>
      <c r="L432" s="3"/>
      <c r="M432" s="3"/>
      <c r="N432" s="3"/>
      <c r="O432" s="3"/>
      <c r="P432" s="3"/>
      <c r="Q432" s="3"/>
      <c r="R432" s="5"/>
      <c r="S432" s="3"/>
      <c r="T432" s="3"/>
      <c r="U432" s="3"/>
      <c r="V432" s="3"/>
      <c r="W432" s="3"/>
      <c r="X432" s="3"/>
      <c r="Y432" s="3"/>
      <c r="Z432" s="3"/>
      <c r="AA432" s="3"/>
      <c r="AB432" s="34" t="s">
        <v>1390</v>
      </c>
      <c r="AC432" s="34" t="s">
        <v>36</v>
      </c>
      <c r="AD432" s="25" t="s">
        <v>1391</v>
      </c>
      <c r="AE432" s="3"/>
      <c r="AF432" s="3"/>
      <c r="AG432" s="3"/>
      <c r="AH432" s="3"/>
      <c r="AI432" s="3"/>
      <c r="AJ432" s="3"/>
      <c r="AK432" s="3"/>
      <c r="AL432" s="3"/>
      <c r="AM432" s="3"/>
      <c r="AN432" s="3"/>
      <c r="AO432" s="3"/>
    </row>
    <row r="433" spans="1:41" ht="15.75" customHeight="1">
      <c r="A433" s="12"/>
      <c r="B433" s="3"/>
      <c r="C433" s="12"/>
      <c r="D433" s="3"/>
      <c r="E433" s="3"/>
      <c r="F433" s="5"/>
      <c r="G433" s="3"/>
      <c r="H433" s="3"/>
      <c r="I433" s="3"/>
      <c r="J433" s="3"/>
      <c r="K433" s="3"/>
      <c r="L433" s="3"/>
      <c r="M433" s="3"/>
      <c r="N433" s="3"/>
      <c r="O433" s="3"/>
      <c r="P433" s="3"/>
      <c r="Q433" s="3"/>
      <c r="R433" s="5"/>
      <c r="S433" s="3"/>
      <c r="T433" s="3"/>
      <c r="U433" s="3"/>
      <c r="V433" s="3"/>
      <c r="W433" s="3"/>
      <c r="X433" s="3"/>
      <c r="Y433" s="3"/>
      <c r="Z433" s="3"/>
      <c r="AA433" s="3"/>
      <c r="AB433" s="34" t="s">
        <v>1392</v>
      </c>
      <c r="AC433" s="34" t="s">
        <v>36</v>
      </c>
      <c r="AD433" s="25" t="s">
        <v>1393</v>
      </c>
      <c r="AE433" s="3"/>
      <c r="AF433" s="3"/>
      <c r="AG433" s="3"/>
      <c r="AH433" s="3"/>
      <c r="AI433" s="3"/>
      <c r="AJ433" s="3"/>
      <c r="AK433" s="3"/>
      <c r="AL433" s="3"/>
      <c r="AM433" s="3"/>
      <c r="AN433" s="3"/>
      <c r="AO433" s="3"/>
    </row>
    <row r="434" spans="1:41" ht="15.75" customHeight="1">
      <c r="A434" s="12"/>
      <c r="B434" s="3"/>
      <c r="C434" s="12"/>
      <c r="D434" s="3"/>
      <c r="E434" s="3"/>
      <c r="F434" s="5"/>
      <c r="G434" s="3"/>
      <c r="H434" s="3"/>
      <c r="I434" s="3"/>
      <c r="J434" s="3"/>
      <c r="K434" s="3"/>
      <c r="L434" s="3"/>
      <c r="M434" s="3"/>
      <c r="N434" s="3"/>
      <c r="O434" s="3"/>
      <c r="P434" s="3"/>
      <c r="Q434" s="3"/>
      <c r="R434" s="5"/>
      <c r="S434" s="3"/>
      <c r="T434" s="3"/>
      <c r="U434" s="3"/>
      <c r="V434" s="3"/>
      <c r="W434" s="3"/>
      <c r="X434" s="3"/>
      <c r="Y434" s="3"/>
      <c r="Z434" s="3"/>
      <c r="AA434" s="3"/>
      <c r="AB434" s="34" t="s">
        <v>1394</v>
      </c>
      <c r="AC434" s="34" t="s">
        <v>36</v>
      </c>
      <c r="AD434" s="25" t="s">
        <v>1395</v>
      </c>
      <c r="AE434" s="3"/>
      <c r="AF434" s="3"/>
      <c r="AG434" s="3"/>
      <c r="AH434" s="3"/>
      <c r="AI434" s="3"/>
      <c r="AJ434" s="3"/>
      <c r="AK434" s="3"/>
      <c r="AL434" s="3"/>
      <c r="AM434" s="3"/>
      <c r="AN434" s="3"/>
      <c r="AO434" s="3"/>
    </row>
    <row r="435" spans="1:41" ht="15.75" customHeight="1">
      <c r="A435" s="12"/>
      <c r="B435" s="3"/>
      <c r="C435" s="12"/>
      <c r="D435" s="3"/>
      <c r="E435" s="3"/>
      <c r="F435" s="5"/>
      <c r="G435" s="3"/>
      <c r="H435" s="3"/>
      <c r="I435" s="3"/>
      <c r="J435" s="3"/>
      <c r="K435" s="3"/>
      <c r="L435" s="3"/>
      <c r="M435" s="3"/>
      <c r="N435" s="3"/>
      <c r="O435" s="3"/>
      <c r="P435" s="3"/>
      <c r="Q435" s="3"/>
      <c r="R435" s="5"/>
      <c r="S435" s="3"/>
      <c r="T435" s="3"/>
      <c r="U435" s="3"/>
      <c r="V435" s="3"/>
      <c r="W435" s="3"/>
      <c r="X435" s="3"/>
      <c r="Y435" s="3"/>
      <c r="Z435" s="3"/>
      <c r="AA435" s="3"/>
      <c r="AB435" s="34" t="s">
        <v>1396</v>
      </c>
      <c r="AC435" s="34" t="s">
        <v>140</v>
      </c>
      <c r="AD435" s="34"/>
      <c r="AE435" s="3"/>
      <c r="AF435" s="3"/>
      <c r="AG435" s="3"/>
      <c r="AH435" s="3"/>
      <c r="AI435" s="3"/>
      <c r="AJ435" s="3"/>
      <c r="AK435" s="3"/>
      <c r="AL435" s="3"/>
      <c r="AM435" s="3"/>
      <c r="AN435" s="3"/>
      <c r="AO435" s="3"/>
    </row>
    <row r="436" spans="1:41" ht="15.75" customHeight="1">
      <c r="A436" s="12"/>
      <c r="B436" s="3"/>
      <c r="C436" s="12"/>
      <c r="D436" s="3"/>
      <c r="E436" s="3"/>
      <c r="F436" s="5"/>
      <c r="G436" s="3"/>
      <c r="H436" s="3"/>
      <c r="I436" s="3"/>
      <c r="J436" s="3"/>
      <c r="K436" s="3"/>
      <c r="L436" s="3"/>
      <c r="M436" s="3"/>
      <c r="N436" s="3"/>
      <c r="O436" s="3"/>
      <c r="P436" s="3"/>
      <c r="Q436" s="3"/>
      <c r="R436" s="5"/>
      <c r="S436" s="3"/>
      <c r="T436" s="3"/>
      <c r="U436" s="3"/>
      <c r="V436" s="3"/>
      <c r="W436" s="3"/>
      <c r="X436" s="3"/>
      <c r="Y436" s="3"/>
      <c r="Z436" s="3"/>
      <c r="AA436" s="3"/>
      <c r="AB436" s="34" t="s">
        <v>1397</v>
      </c>
      <c r="AC436" s="34" t="s">
        <v>140</v>
      </c>
      <c r="AD436" s="34"/>
      <c r="AE436" s="3"/>
      <c r="AF436" s="3"/>
      <c r="AG436" s="3"/>
      <c r="AH436" s="3"/>
      <c r="AI436" s="3"/>
      <c r="AJ436" s="3"/>
      <c r="AK436" s="3"/>
      <c r="AL436" s="3"/>
      <c r="AM436" s="3"/>
      <c r="AN436" s="3"/>
      <c r="AO436" s="3"/>
    </row>
    <row r="437" spans="1:41" ht="15.75" customHeight="1">
      <c r="A437" s="12"/>
      <c r="B437" s="3"/>
      <c r="C437" s="12"/>
      <c r="D437" s="3"/>
      <c r="E437" s="3"/>
      <c r="F437" s="5"/>
      <c r="G437" s="3"/>
      <c r="H437" s="3"/>
      <c r="I437" s="3"/>
      <c r="J437" s="3"/>
      <c r="K437" s="3"/>
      <c r="L437" s="3"/>
      <c r="M437" s="3"/>
      <c r="N437" s="3"/>
      <c r="O437" s="3"/>
      <c r="P437" s="3"/>
      <c r="Q437" s="3"/>
      <c r="R437" s="5"/>
      <c r="S437" s="3"/>
      <c r="T437" s="3"/>
      <c r="U437" s="3"/>
      <c r="V437" s="3"/>
      <c r="W437" s="3"/>
      <c r="X437" s="3"/>
      <c r="Y437" s="3"/>
      <c r="Z437" s="3"/>
      <c r="AA437" s="3"/>
      <c r="AB437" s="34" t="s">
        <v>1398</v>
      </c>
      <c r="AC437" s="34" t="s">
        <v>36</v>
      </c>
      <c r="AD437" s="25" t="s">
        <v>1399</v>
      </c>
      <c r="AE437" s="3"/>
      <c r="AF437" s="3"/>
      <c r="AG437" s="3"/>
      <c r="AH437" s="3"/>
      <c r="AI437" s="3"/>
      <c r="AJ437" s="3"/>
      <c r="AK437" s="3"/>
      <c r="AL437" s="3"/>
      <c r="AM437" s="3"/>
      <c r="AN437" s="3"/>
      <c r="AO437" s="3"/>
    </row>
    <row r="438" spans="1:41" ht="15.75" customHeight="1">
      <c r="A438" s="12"/>
      <c r="B438" s="3"/>
      <c r="C438" s="12"/>
      <c r="D438" s="3"/>
      <c r="E438" s="3"/>
      <c r="F438" s="5"/>
      <c r="G438" s="3"/>
      <c r="H438" s="3"/>
      <c r="I438" s="3"/>
      <c r="J438" s="3"/>
      <c r="K438" s="3"/>
      <c r="L438" s="3"/>
      <c r="M438" s="3"/>
      <c r="N438" s="3"/>
      <c r="O438" s="3"/>
      <c r="P438" s="3"/>
      <c r="Q438" s="3"/>
      <c r="R438" s="5"/>
      <c r="S438" s="3"/>
      <c r="T438" s="3"/>
      <c r="U438" s="3"/>
      <c r="V438" s="3"/>
      <c r="W438" s="3"/>
      <c r="X438" s="3"/>
      <c r="Y438" s="3"/>
      <c r="Z438" s="3"/>
      <c r="AA438" s="3"/>
      <c r="AB438" s="34" t="s">
        <v>1400</v>
      </c>
      <c r="AC438" s="34" t="s">
        <v>36</v>
      </c>
      <c r="AD438" s="25" t="s">
        <v>1401</v>
      </c>
      <c r="AE438" s="3"/>
      <c r="AF438" s="3"/>
      <c r="AG438" s="3"/>
      <c r="AH438" s="3"/>
      <c r="AI438" s="3"/>
      <c r="AJ438" s="3"/>
      <c r="AK438" s="3"/>
      <c r="AL438" s="3"/>
      <c r="AM438" s="3"/>
      <c r="AN438" s="3"/>
      <c r="AO438" s="3"/>
    </row>
    <row r="439" spans="1:41" ht="15.75" customHeight="1">
      <c r="A439" s="12"/>
      <c r="B439" s="3"/>
      <c r="C439" s="12"/>
      <c r="D439" s="3"/>
      <c r="E439" s="3"/>
      <c r="F439" s="5"/>
      <c r="G439" s="3"/>
      <c r="H439" s="3"/>
      <c r="I439" s="3"/>
      <c r="J439" s="3"/>
      <c r="K439" s="3"/>
      <c r="L439" s="3"/>
      <c r="M439" s="3"/>
      <c r="N439" s="3"/>
      <c r="O439" s="3"/>
      <c r="P439" s="3"/>
      <c r="Q439" s="3"/>
      <c r="R439" s="5"/>
      <c r="S439" s="3"/>
      <c r="T439" s="3"/>
      <c r="U439" s="3"/>
      <c r="V439" s="3"/>
      <c r="W439" s="3"/>
      <c r="X439" s="3"/>
      <c r="Y439" s="3"/>
      <c r="Z439" s="3"/>
      <c r="AA439" s="3"/>
      <c r="AB439" s="34" t="s">
        <v>1402</v>
      </c>
      <c r="AC439" s="34" t="s">
        <v>36</v>
      </c>
      <c r="AD439" s="25" t="s">
        <v>1403</v>
      </c>
      <c r="AE439" s="3"/>
      <c r="AF439" s="3"/>
      <c r="AG439" s="3"/>
      <c r="AH439" s="3"/>
      <c r="AI439" s="3"/>
      <c r="AJ439" s="3"/>
      <c r="AK439" s="3"/>
      <c r="AL439" s="3"/>
      <c r="AM439" s="3"/>
      <c r="AN439" s="3"/>
      <c r="AO439" s="3"/>
    </row>
    <row r="440" spans="1:41" ht="15.75" customHeight="1">
      <c r="A440" s="12"/>
      <c r="B440" s="3"/>
      <c r="C440" s="12"/>
      <c r="D440" s="3"/>
      <c r="E440" s="3"/>
      <c r="F440" s="5"/>
      <c r="G440" s="3"/>
      <c r="H440" s="3"/>
      <c r="I440" s="3"/>
      <c r="J440" s="3"/>
      <c r="K440" s="3"/>
      <c r="L440" s="3"/>
      <c r="M440" s="3"/>
      <c r="N440" s="3"/>
      <c r="O440" s="3"/>
      <c r="P440" s="3"/>
      <c r="Q440" s="3"/>
      <c r="R440" s="5"/>
      <c r="S440" s="3"/>
      <c r="T440" s="3"/>
      <c r="U440" s="3"/>
      <c r="V440" s="3"/>
      <c r="W440" s="3"/>
      <c r="X440" s="3"/>
      <c r="Y440" s="3"/>
      <c r="Z440" s="3"/>
      <c r="AA440" s="3"/>
      <c r="AB440" s="34" t="s">
        <v>1404</v>
      </c>
      <c r="AC440" s="34" t="s">
        <v>36</v>
      </c>
      <c r="AD440" s="25" t="s">
        <v>1405</v>
      </c>
      <c r="AE440" s="3"/>
      <c r="AF440" s="3"/>
      <c r="AG440" s="3"/>
      <c r="AH440" s="3"/>
      <c r="AI440" s="3"/>
      <c r="AJ440" s="3"/>
      <c r="AK440" s="3"/>
      <c r="AL440" s="3"/>
      <c r="AM440" s="3"/>
      <c r="AN440" s="3"/>
      <c r="AO440" s="3"/>
    </row>
    <row r="441" spans="1:41" ht="15.75" customHeight="1">
      <c r="A441" s="12"/>
      <c r="B441" s="3"/>
      <c r="C441" s="12"/>
      <c r="D441" s="3"/>
      <c r="E441" s="3"/>
      <c r="F441" s="5"/>
      <c r="G441" s="3"/>
      <c r="H441" s="3"/>
      <c r="I441" s="3"/>
      <c r="J441" s="3"/>
      <c r="K441" s="3"/>
      <c r="L441" s="3"/>
      <c r="M441" s="3"/>
      <c r="N441" s="3"/>
      <c r="O441" s="3"/>
      <c r="P441" s="3"/>
      <c r="Q441" s="3"/>
      <c r="R441" s="5"/>
      <c r="S441" s="3"/>
      <c r="T441" s="3"/>
      <c r="U441" s="3"/>
      <c r="V441" s="3"/>
      <c r="W441" s="3"/>
      <c r="X441" s="3"/>
      <c r="Y441" s="3"/>
      <c r="Z441" s="3"/>
      <c r="AA441" s="3"/>
      <c r="AB441" s="34" t="s">
        <v>1406</v>
      </c>
      <c r="AC441" s="34" t="s">
        <v>36</v>
      </c>
      <c r="AD441" s="25" t="s">
        <v>1407</v>
      </c>
      <c r="AE441" s="3"/>
      <c r="AF441" s="3"/>
      <c r="AG441" s="3"/>
      <c r="AH441" s="3"/>
      <c r="AI441" s="3"/>
      <c r="AJ441" s="3"/>
      <c r="AK441" s="3"/>
      <c r="AL441" s="3"/>
      <c r="AM441" s="3"/>
      <c r="AN441" s="3"/>
      <c r="AO441" s="3"/>
    </row>
    <row r="442" spans="1:41" ht="15.75" customHeight="1">
      <c r="A442" s="12"/>
      <c r="B442" s="3"/>
      <c r="C442" s="12"/>
      <c r="D442" s="3"/>
      <c r="E442" s="3"/>
      <c r="F442" s="5"/>
      <c r="G442" s="3"/>
      <c r="H442" s="3"/>
      <c r="I442" s="3"/>
      <c r="J442" s="3"/>
      <c r="K442" s="3"/>
      <c r="L442" s="3"/>
      <c r="M442" s="3"/>
      <c r="N442" s="3"/>
      <c r="O442" s="3"/>
      <c r="P442" s="3"/>
      <c r="Q442" s="3"/>
      <c r="R442" s="5"/>
      <c r="S442" s="3"/>
      <c r="T442" s="3"/>
      <c r="U442" s="3"/>
      <c r="V442" s="3"/>
      <c r="W442" s="3"/>
      <c r="X442" s="3"/>
      <c r="Y442" s="3"/>
      <c r="Z442" s="3"/>
      <c r="AA442" s="3"/>
      <c r="AB442" s="34" t="s">
        <v>1408</v>
      </c>
      <c r="AC442" s="34" t="s">
        <v>36</v>
      </c>
      <c r="AD442" s="25" t="s">
        <v>1409</v>
      </c>
      <c r="AE442" s="3"/>
      <c r="AF442" s="3"/>
      <c r="AG442" s="3"/>
      <c r="AH442" s="3"/>
      <c r="AI442" s="3"/>
      <c r="AJ442" s="3"/>
      <c r="AK442" s="3"/>
      <c r="AL442" s="3"/>
      <c r="AM442" s="3"/>
      <c r="AN442" s="3"/>
      <c r="AO442" s="3"/>
    </row>
    <row r="443" spans="1:41" ht="15.75" customHeight="1">
      <c r="A443" s="12"/>
      <c r="B443" s="3"/>
      <c r="C443" s="12"/>
      <c r="D443" s="3"/>
      <c r="E443" s="3"/>
      <c r="F443" s="5"/>
      <c r="G443" s="3"/>
      <c r="H443" s="3"/>
      <c r="I443" s="3"/>
      <c r="J443" s="3"/>
      <c r="K443" s="3"/>
      <c r="L443" s="3"/>
      <c r="M443" s="3"/>
      <c r="N443" s="3"/>
      <c r="O443" s="3"/>
      <c r="P443" s="3"/>
      <c r="Q443" s="3"/>
      <c r="R443" s="5"/>
      <c r="S443" s="3"/>
      <c r="T443" s="3"/>
      <c r="U443" s="3"/>
      <c r="V443" s="3"/>
      <c r="W443" s="3"/>
      <c r="X443" s="3"/>
      <c r="Y443" s="3"/>
      <c r="Z443" s="3"/>
      <c r="AA443" s="3"/>
      <c r="AB443" s="34" t="s">
        <v>1109</v>
      </c>
      <c r="AC443" s="34" t="s">
        <v>36</v>
      </c>
      <c r="AD443" s="25" t="s">
        <v>1110</v>
      </c>
      <c r="AE443" s="3"/>
      <c r="AF443" s="3"/>
      <c r="AG443" s="3"/>
      <c r="AH443" s="3"/>
      <c r="AI443" s="3"/>
      <c r="AJ443" s="3"/>
      <c r="AK443" s="3"/>
      <c r="AL443" s="3"/>
      <c r="AM443" s="3"/>
      <c r="AN443" s="3"/>
      <c r="AO443" s="3"/>
    </row>
    <row r="444" spans="1:41" ht="15.75" customHeight="1">
      <c r="A444" s="12"/>
      <c r="B444" s="3"/>
      <c r="C444" s="12"/>
      <c r="D444" s="3"/>
      <c r="E444" s="3"/>
      <c r="F444" s="5"/>
      <c r="G444" s="3"/>
      <c r="H444" s="3"/>
      <c r="I444" s="3"/>
      <c r="J444" s="3"/>
      <c r="K444" s="3"/>
      <c r="L444" s="3"/>
      <c r="M444" s="3"/>
      <c r="N444" s="3"/>
      <c r="O444" s="3"/>
      <c r="P444" s="3"/>
      <c r="Q444" s="3"/>
      <c r="R444" s="5"/>
      <c r="S444" s="3"/>
      <c r="T444" s="3"/>
      <c r="U444" s="3"/>
      <c r="V444" s="3"/>
      <c r="W444" s="3"/>
      <c r="X444" s="3"/>
      <c r="Y444" s="3"/>
      <c r="Z444" s="3"/>
      <c r="AA444" s="3"/>
      <c r="AB444" s="34" t="s">
        <v>1410</v>
      </c>
      <c r="AC444" s="34" t="s">
        <v>36</v>
      </c>
      <c r="AD444" s="25" t="s">
        <v>1411</v>
      </c>
      <c r="AE444" s="3"/>
      <c r="AF444" s="3"/>
      <c r="AG444" s="3"/>
      <c r="AH444" s="3"/>
      <c r="AI444" s="3"/>
      <c r="AJ444" s="3"/>
      <c r="AK444" s="3"/>
      <c r="AL444" s="3"/>
      <c r="AM444" s="3"/>
      <c r="AN444" s="3"/>
      <c r="AO444" s="3"/>
    </row>
    <row r="445" spans="1:41" ht="15.75" customHeight="1">
      <c r="A445" s="12"/>
      <c r="B445" s="3"/>
      <c r="C445" s="12"/>
      <c r="D445" s="3"/>
      <c r="E445" s="3"/>
      <c r="F445" s="5"/>
      <c r="G445" s="3"/>
      <c r="H445" s="3"/>
      <c r="I445" s="3"/>
      <c r="J445" s="3"/>
      <c r="K445" s="3"/>
      <c r="L445" s="3"/>
      <c r="M445" s="3"/>
      <c r="N445" s="3"/>
      <c r="O445" s="3"/>
      <c r="P445" s="3"/>
      <c r="Q445" s="3"/>
      <c r="R445" s="5"/>
      <c r="S445" s="3"/>
      <c r="T445" s="3"/>
      <c r="U445" s="3"/>
      <c r="V445" s="3"/>
      <c r="W445" s="3"/>
      <c r="X445" s="3"/>
      <c r="Y445" s="3"/>
      <c r="Z445" s="3"/>
      <c r="AA445" s="3"/>
      <c r="AB445" s="34" t="s">
        <v>1412</v>
      </c>
      <c r="AC445" s="34" t="s">
        <v>36</v>
      </c>
      <c r="AD445" s="25" t="s">
        <v>1413</v>
      </c>
      <c r="AE445" s="3"/>
      <c r="AF445" s="3"/>
      <c r="AG445" s="3"/>
      <c r="AH445" s="3"/>
      <c r="AI445" s="3"/>
      <c r="AJ445" s="3"/>
      <c r="AK445" s="3"/>
      <c r="AL445" s="3"/>
      <c r="AM445" s="3"/>
      <c r="AN445" s="3"/>
      <c r="AO445" s="3"/>
    </row>
    <row r="446" spans="1:41" ht="15.75" customHeight="1">
      <c r="A446" s="12"/>
      <c r="B446" s="3"/>
      <c r="C446" s="12"/>
      <c r="D446" s="3"/>
      <c r="E446" s="3"/>
      <c r="F446" s="5"/>
      <c r="G446" s="3"/>
      <c r="H446" s="3"/>
      <c r="I446" s="3"/>
      <c r="J446" s="3"/>
      <c r="K446" s="3"/>
      <c r="L446" s="3"/>
      <c r="M446" s="3"/>
      <c r="N446" s="3"/>
      <c r="O446" s="3"/>
      <c r="P446" s="3"/>
      <c r="Q446" s="3"/>
      <c r="R446" s="5"/>
      <c r="S446" s="3"/>
      <c r="T446" s="3"/>
      <c r="U446" s="3"/>
      <c r="V446" s="3"/>
      <c r="W446" s="3"/>
      <c r="X446" s="3"/>
      <c r="Y446" s="3"/>
      <c r="Z446" s="3"/>
      <c r="AA446" s="3"/>
      <c r="AB446" s="34" t="s">
        <v>1414</v>
      </c>
      <c r="AC446" s="34" t="s">
        <v>36</v>
      </c>
      <c r="AD446" s="25" t="s">
        <v>1415</v>
      </c>
      <c r="AE446" s="3"/>
      <c r="AF446" s="3"/>
      <c r="AG446" s="3"/>
      <c r="AH446" s="3"/>
      <c r="AI446" s="3"/>
      <c r="AJ446" s="3"/>
      <c r="AK446" s="3"/>
      <c r="AL446" s="3"/>
      <c r="AM446" s="3"/>
      <c r="AN446" s="3"/>
      <c r="AO446" s="3"/>
    </row>
    <row r="447" spans="1:41" ht="15.75" customHeight="1">
      <c r="A447" s="12"/>
      <c r="B447" s="3"/>
      <c r="C447" s="12"/>
      <c r="D447" s="3"/>
      <c r="E447" s="3"/>
      <c r="F447" s="5"/>
      <c r="G447" s="3"/>
      <c r="H447" s="3"/>
      <c r="I447" s="3"/>
      <c r="J447" s="3"/>
      <c r="K447" s="3"/>
      <c r="L447" s="3"/>
      <c r="M447" s="3"/>
      <c r="N447" s="3"/>
      <c r="O447" s="3"/>
      <c r="P447" s="3"/>
      <c r="Q447" s="3"/>
      <c r="R447" s="5"/>
      <c r="S447" s="3"/>
      <c r="T447" s="3"/>
      <c r="U447" s="3"/>
      <c r="V447" s="3"/>
      <c r="W447" s="3"/>
      <c r="X447" s="3"/>
      <c r="Y447" s="3"/>
      <c r="Z447" s="3"/>
      <c r="AA447" s="3"/>
      <c r="AB447" s="34" t="s">
        <v>1416</v>
      </c>
      <c r="AC447" s="34" t="s">
        <v>36</v>
      </c>
      <c r="AD447" s="25" t="s">
        <v>1417</v>
      </c>
      <c r="AE447" s="3"/>
      <c r="AF447" s="3"/>
      <c r="AG447" s="3"/>
      <c r="AH447" s="3"/>
      <c r="AI447" s="3"/>
      <c r="AJ447" s="3"/>
      <c r="AK447" s="3"/>
      <c r="AL447" s="3"/>
      <c r="AM447" s="3"/>
      <c r="AN447" s="3"/>
      <c r="AO447" s="3"/>
    </row>
    <row r="448" spans="1:41" ht="15.75" customHeight="1">
      <c r="A448" s="12"/>
      <c r="B448" s="3"/>
      <c r="C448" s="12"/>
      <c r="D448" s="3"/>
      <c r="E448" s="3"/>
      <c r="F448" s="5"/>
      <c r="G448" s="3"/>
      <c r="H448" s="3"/>
      <c r="I448" s="3"/>
      <c r="J448" s="3"/>
      <c r="K448" s="3"/>
      <c r="L448" s="3"/>
      <c r="M448" s="3"/>
      <c r="N448" s="3"/>
      <c r="O448" s="3"/>
      <c r="P448" s="3"/>
      <c r="Q448" s="3"/>
      <c r="R448" s="5"/>
      <c r="S448" s="3"/>
      <c r="T448" s="3"/>
      <c r="U448" s="3"/>
      <c r="V448" s="3"/>
      <c r="W448" s="3"/>
      <c r="X448" s="3"/>
      <c r="Y448" s="3"/>
      <c r="Z448" s="3"/>
      <c r="AA448" s="3"/>
      <c r="AB448" s="34" t="s">
        <v>1418</v>
      </c>
      <c r="AC448" s="34" t="s">
        <v>36</v>
      </c>
      <c r="AD448" s="25" t="s">
        <v>1419</v>
      </c>
      <c r="AE448" s="3"/>
      <c r="AF448" s="3"/>
      <c r="AG448" s="3"/>
      <c r="AH448" s="3"/>
      <c r="AI448" s="3"/>
      <c r="AJ448" s="3"/>
      <c r="AK448" s="3"/>
      <c r="AL448" s="3"/>
      <c r="AM448" s="3"/>
      <c r="AN448" s="3"/>
      <c r="AO448" s="3"/>
    </row>
    <row r="449" spans="1:41" ht="15.75" customHeight="1">
      <c r="A449" s="12"/>
      <c r="B449" s="3"/>
      <c r="C449" s="12"/>
      <c r="D449" s="3"/>
      <c r="E449" s="3"/>
      <c r="F449" s="5"/>
      <c r="G449" s="3"/>
      <c r="H449" s="3"/>
      <c r="I449" s="3"/>
      <c r="J449" s="3"/>
      <c r="K449" s="3"/>
      <c r="L449" s="3"/>
      <c r="M449" s="3"/>
      <c r="N449" s="3"/>
      <c r="O449" s="3"/>
      <c r="P449" s="3"/>
      <c r="Q449" s="3"/>
      <c r="R449" s="5"/>
      <c r="S449" s="3"/>
      <c r="T449" s="3"/>
      <c r="U449" s="3"/>
      <c r="V449" s="3"/>
      <c r="W449" s="3"/>
      <c r="X449" s="3"/>
      <c r="Y449" s="3"/>
      <c r="Z449" s="3"/>
      <c r="AA449" s="3"/>
      <c r="AB449" s="34" t="s">
        <v>1420</v>
      </c>
      <c r="AC449" s="34" t="s">
        <v>36</v>
      </c>
      <c r="AD449" s="25" t="s">
        <v>1421</v>
      </c>
      <c r="AE449" s="3"/>
      <c r="AF449" s="3"/>
      <c r="AG449" s="3"/>
      <c r="AH449" s="3"/>
      <c r="AI449" s="3"/>
      <c r="AJ449" s="3"/>
      <c r="AK449" s="3"/>
      <c r="AL449" s="3"/>
      <c r="AM449" s="3"/>
      <c r="AN449" s="3"/>
      <c r="AO449" s="3"/>
    </row>
    <row r="450" spans="1:41" ht="15.75" customHeight="1">
      <c r="A450" s="12"/>
      <c r="B450" s="3"/>
      <c r="C450" s="12"/>
      <c r="D450" s="3"/>
      <c r="E450" s="3"/>
      <c r="F450" s="5"/>
      <c r="G450" s="3"/>
      <c r="H450" s="3"/>
      <c r="I450" s="3"/>
      <c r="J450" s="3"/>
      <c r="K450" s="3"/>
      <c r="L450" s="3"/>
      <c r="M450" s="3"/>
      <c r="N450" s="3"/>
      <c r="O450" s="3"/>
      <c r="P450" s="3"/>
      <c r="Q450" s="3"/>
      <c r="R450" s="5"/>
      <c r="S450" s="3"/>
      <c r="T450" s="3"/>
      <c r="U450" s="3"/>
      <c r="V450" s="3"/>
      <c r="W450" s="3"/>
      <c r="X450" s="3"/>
      <c r="Y450" s="3"/>
      <c r="Z450" s="3"/>
      <c r="AA450" s="3"/>
      <c r="AB450" s="34" t="s">
        <v>1422</v>
      </c>
      <c r="AC450" s="34" t="s">
        <v>36</v>
      </c>
      <c r="AD450" s="25" t="s">
        <v>1423</v>
      </c>
      <c r="AE450" s="3"/>
      <c r="AF450" s="3"/>
      <c r="AG450" s="3"/>
      <c r="AH450" s="3"/>
      <c r="AI450" s="3"/>
      <c r="AJ450" s="3"/>
      <c r="AK450" s="3"/>
      <c r="AL450" s="3"/>
      <c r="AM450" s="3"/>
      <c r="AN450" s="3"/>
      <c r="AO450" s="3"/>
    </row>
    <row r="451" spans="1:41" ht="15.75" customHeight="1">
      <c r="A451" s="12"/>
      <c r="B451" s="3"/>
      <c r="C451" s="12"/>
      <c r="D451" s="3"/>
      <c r="E451" s="3"/>
      <c r="F451" s="5"/>
      <c r="G451" s="3"/>
      <c r="H451" s="3"/>
      <c r="I451" s="3"/>
      <c r="J451" s="3"/>
      <c r="K451" s="3"/>
      <c r="L451" s="3"/>
      <c r="M451" s="3"/>
      <c r="N451" s="3"/>
      <c r="O451" s="3"/>
      <c r="P451" s="3"/>
      <c r="Q451" s="3"/>
      <c r="R451" s="5"/>
      <c r="S451" s="3"/>
      <c r="T451" s="3"/>
      <c r="U451" s="3"/>
      <c r="V451" s="3"/>
      <c r="W451" s="3"/>
      <c r="X451" s="3"/>
      <c r="Y451" s="3"/>
      <c r="Z451" s="3"/>
      <c r="AA451" s="3"/>
      <c r="AB451" s="34" t="s">
        <v>1424</v>
      </c>
      <c r="AC451" s="34" t="s">
        <v>36</v>
      </c>
      <c r="AD451" s="25" t="s">
        <v>1425</v>
      </c>
      <c r="AE451" s="3"/>
      <c r="AF451" s="3"/>
      <c r="AG451" s="3"/>
      <c r="AH451" s="3"/>
      <c r="AI451" s="3"/>
      <c r="AJ451" s="3"/>
      <c r="AK451" s="3"/>
      <c r="AL451" s="3"/>
      <c r="AM451" s="3"/>
      <c r="AN451" s="3"/>
      <c r="AO451" s="3"/>
    </row>
    <row r="452" spans="1:41" ht="15.75" customHeight="1">
      <c r="A452" s="12"/>
      <c r="B452" s="3"/>
      <c r="C452" s="12"/>
      <c r="D452" s="3"/>
      <c r="E452" s="3"/>
      <c r="F452" s="5"/>
      <c r="G452" s="3"/>
      <c r="H452" s="3"/>
      <c r="I452" s="3"/>
      <c r="J452" s="3"/>
      <c r="K452" s="3"/>
      <c r="L452" s="3"/>
      <c r="M452" s="3"/>
      <c r="N452" s="3"/>
      <c r="O452" s="3"/>
      <c r="P452" s="3"/>
      <c r="Q452" s="3"/>
      <c r="R452" s="5"/>
      <c r="S452" s="3"/>
      <c r="T452" s="3"/>
      <c r="U452" s="3"/>
      <c r="V452" s="3"/>
      <c r="W452" s="3"/>
      <c r="X452" s="3"/>
      <c r="Y452" s="3"/>
      <c r="Z452" s="3"/>
      <c r="AA452" s="3"/>
      <c r="AB452" s="34" t="s">
        <v>1426</v>
      </c>
      <c r="AC452" s="34" t="s">
        <v>36</v>
      </c>
      <c r="AD452" s="25" t="s">
        <v>1427</v>
      </c>
      <c r="AE452" s="3"/>
      <c r="AF452" s="3"/>
      <c r="AG452" s="3"/>
      <c r="AH452" s="3"/>
      <c r="AI452" s="3"/>
      <c r="AJ452" s="3"/>
      <c r="AK452" s="3"/>
      <c r="AL452" s="3"/>
      <c r="AM452" s="3"/>
      <c r="AN452" s="3"/>
      <c r="AO452" s="3"/>
    </row>
    <row r="453" spans="1:41" ht="15.75" customHeight="1">
      <c r="A453" s="12"/>
      <c r="B453" s="3"/>
      <c r="C453" s="12"/>
      <c r="D453" s="3"/>
      <c r="E453" s="3"/>
      <c r="F453" s="5"/>
      <c r="G453" s="3"/>
      <c r="H453" s="3"/>
      <c r="I453" s="3"/>
      <c r="J453" s="3"/>
      <c r="K453" s="3"/>
      <c r="L453" s="3"/>
      <c r="M453" s="3"/>
      <c r="N453" s="3"/>
      <c r="O453" s="3"/>
      <c r="P453" s="3"/>
      <c r="Q453" s="3"/>
      <c r="R453" s="5"/>
      <c r="S453" s="3"/>
      <c r="T453" s="3"/>
      <c r="U453" s="3"/>
      <c r="V453" s="3"/>
      <c r="W453" s="3"/>
      <c r="X453" s="3"/>
      <c r="Y453" s="3"/>
      <c r="Z453" s="3"/>
      <c r="AA453" s="3"/>
      <c r="AB453" s="34" t="s">
        <v>1428</v>
      </c>
      <c r="AC453" s="34" t="s">
        <v>36</v>
      </c>
      <c r="AD453" s="25" t="s">
        <v>1429</v>
      </c>
      <c r="AE453" s="3"/>
      <c r="AF453" s="3"/>
      <c r="AG453" s="3"/>
      <c r="AH453" s="3"/>
      <c r="AI453" s="3"/>
      <c r="AJ453" s="3"/>
      <c r="AK453" s="3"/>
      <c r="AL453" s="3"/>
      <c r="AM453" s="3"/>
      <c r="AN453" s="3"/>
      <c r="AO453" s="3"/>
    </row>
    <row r="454" spans="1:41" ht="15.75" customHeight="1">
      <c r="A454" s="12"/>
      <c r="B454" s="3"/>
      <c r="C454" s="12"/>
      <c r="D454" s="3"/>
      <c r="E454" s="3"/>
      <c r="F454" s="5"/>
      <c r="G454" s="3"/>
      <c r="H454" s="3"/>
      <c r="I454" s="3"/>
      <c r="J454" s="3"/>
      <c r="K454" s="3"/>
      <c r="L454" s="3"/>
      <c r="M454" s="3"/>
      <c r="N454" s="3"/>
      <c r="O454" s="3"/>
      <c r="P454" s="3"/>
      <c r="Q454" s="3"/>
      <c r="R454" s="5"/>
      <c r="S454" s="3"/>
      <c r="T454" s="3"/>
      <c r="U454" s="3"/>
      <c r="V454" s="3"/>
      <c r="W454" s="3"/>
      <c r="X454" s="3"/>
      <c r="Y454" s="3"/>
      <c r="Z454" s="3"/>
      <c r="AA454" s="3"/>
      <c r="AB454" s="34" t="s">
        <v>1430</v>
      </c>
      <c r="AC454" s="34" t="s">
        <v>36</v>
      </c>
      <c r="AD454" s="25" t="s">
        <v>1431</v>
      </c>
      <c r="AE454" s="3"/>
      <c r="AF454" s="3"/>
      <c r="AG454" s="3"/>
      <c r="AH454" s="3"/>
      <c r="AI454" s="3"/>
      <c r="AJ454" s="3"/>
      <c r="AK454" s="3"/>
      <c r="AL454" s="3"/>
      <c r="AM454" s="3"/>
      <c r="AN454" s="3"/>
      <c r="AO454" s="3"/>
    </row>
    <row r="455" spans="1:41" ht="15.75" customHeight="1">
      <c r="A455" s="12"/>
      <c r="B455" s="3"/>
      <c r="C455" s="12"/>
      <c r="D455" s="3"/>
      <c r="E455" s="3"/>
      <c r="F455" s="5"/>
      <c r="G455" s="3"/>
      <c r="H455" s="3"/>
      <c r="I455" s="3"/>
      <c r="J455" s="3"/>
      <c r="K455" s="3"/>
      <c r="L455" s="3"/>
      <c r="M455" s="3"/>
      <c r="N455" s="3"/>
      <c r="O455" s="3"/>
      <c r="P455" s="3"/>
      <c r="Q455" s="3"/>
      <c r="R455" s="5"/>
      <c r="S455" s="3"/>
      <c r="T455" s="3"/>
      <c r="U455" s="3"/>
      <c r="V455" s="3"/>
      <c r="W455" s="3"/>
      <c r="X455" s="3"/>
      <c r="Y455" s="3"/>
      <c r="Z455" s="3"/>
      <c r="AA455" s="3"/>
      <c r="AB455" s="34" t="s">
        <v>1432</v>
      </c>
      <c r="AC455" s="34" t="s">
        <v>36</v>
      </c>
      <c r="AD455" s="25" t="s">
        <v>1433</v>
      </c>
      <c r="AE455" s="3"/>
      <c r="AF455" s="3"/>
      <c r="AG455" s="3"/>
      <c r="AH455" s="3"/>
      <c r="AI455" s="3"/>
      <c r="AJ455" s="3"/>
      <c r="AK455" s="3"/>
      <c r="AL455" s="3"/>
      <c r="AM455" s="3"/>
      <c r="AN455" s="3"/>
      <c r="AO455" s="3"/>
    </row>
    <row r="456" spans="1:41" ht="15.75" customHeight="1">
      <c r="A456" s="12"/>
      <c r="B456" s="3"/>
      <c r="C456" s="12"/>
      <c r="D456" s="3"/>
      <c r="E456" s="3"/>
      <c r="F456" s="5"/>
      <c r="G456" s="3"/>
      <c r="H456" s="3"/>
      <c r="I456" s="3"/>
      <c r="J456" s="3"/>
      <c r="K456" s="3"/>
      <c r="L456" s="3"/>
      <c r="M456" s="3"/>
      <c r="N456" s="3"/>
      <c r="O456" s="3"/>
      <c r="P456" s="3"/>
      <c r="Q456" s="3"/>
      <c r="R456" s="5"/>
      <c r="S456" s="3"/>
      <c r="T456" s="3"/>
      <c r="U456" s="3"/>
      <c r="V456" s="3"/>
      <c r="W456" s="3"/>
      <c r="X456" s="3"/>
      <c r="Y456" s="3"/>
      <c r="Z456" s="3"/>
      <c r="AA456" s="3"/>
      <c r="AB456" s="34" t="s">
        <v>1434</v>
      </c>
      <c r="AC456" s="34" t="s">
        <v>36</v>
      </c>
      <c r="AD456" s="25" t="s">
        <v>1435</v>
      </c>
      <c r="AE456" s="3"/>
      <c r="AF456" s="3"/>
      <c r="AG456" s="3"/>
      <c r="AH456" s="3"/>
      <c r="AI456" s="3"/>
      <c r="AJ456" s="3"/>
      <c r="AK456" s="3"/>
      <c r="AL456" s="3"/>
      <c r="AM456" s="3"/>
      <c r="AN456" s="3"/>
      <c r="AO456" s="3"/>
    </row>
    <row r="457" spans="1:41" ht="15.75" customHeight="1">
      <c r="A457" s="12"/>
      <c r="B457" s="3"/>
      <c r="C457" s="12"/>
      <c r="D457" s="3"/>
      <c r="E457" s="3"/>
      <c r="F457" s="5"/>
      <c r="G457" s="3"/>
      <c r="H457" s="3"/>
      <c r="I457" s="3"/>
      <c r="J457" s="3"/>
      <c r="K457" s="3"/>
      <c r="L457" s="3"/>
      <c r="M457" s="3"/>
      <c r="N457" s="3"/>
      <c r="O457" s="3"/>
      <c r="P457" s="3"/>
      <c r="Q457" s="3"/>
      <c r="R457" s="5"/>
      <c r="S457" s="3"/>
      <c r="T457" s="3"/>
      <c r="U457" s="3"/>
      <c r="V457" s="3"/>
      <c r="W457" s="3"/>
      <c r="X457" s="3"/>
      <c r="Y457" s="3"/>
      <c r="Z457" s="3"/>
      <c r="AA457" s="3"/>
      <c r="AB457" s="34" t="s">
        <v>1436</v>
      </c>
      <c r="AC457" s="34" t="s">
        <v>36</v>
      </c>
      <c r="AD457" s="25" t="s">
        <v>1437</v>
      </c>
      <c r="AE457" s="3"/>
      <c r="AF457" s="3"/>
      <c r="AG457" s="3"/>
      <c r="AH457" s="3"/>
      <c r="AI457" s="3"/>
      <c r="AJ457" s="3"/>
      <c r="AK457" s="3"/>
      <c r="AL457" s="3"/>
      <c r="AM457" s="3"/>
      <c r="AN457" s="3"/>
      <c r="AO457" s="3"/>
    </row>
    <row r="458" spans="1:41" ht="15.75" customHeight="1">
      <c r="A458" s="12"/>
      <c r="B458" s="3"/>
      <c r="C458" s="12"/>
      <c r="D458" s="3"/>
      <c r="E458" s="3"/>
      <c r="F458" s="5"/>
      <c r="G458" s="3"/>
      <c r="H458" s="3"/>
      <c r="I458" s="3"/>
      <c r="J458" s="3"/>
      <c r="K458" s="3"/>
      <c r="L458" s="3"/>
      <c r="M458" s="3"/>
      <c r="N458" s="3"/>
      <c r="O458" s="3"/>
      <c r="P458" s="3"/>
      <c r="Q458" s="3"/>
      <c r="R458" s="5"/>
      <c r="S458" s="3"/>
      <c r="T458" s="3"/>
      <c r="U458" s="3"/>
      <c r="V458" s="3"/>
      <c r="W458" s="3"/>
      <c r="X458" s="3"/>
      <c r="Y458" s="3"/>
      <c r="Z458" s="3"/>
      <c r="AA458" s="3"/>
      <c r="AB458" s="34" t="s">
        <v>1438</v>
      </c>
      <c r="AC458" s="34" t="s">
        <v>36</v>
      </c>
      <c r="AD458" s="25" t="s">
        <v>1439</v>
      </c>
      <c r="AE458" s="3"/>
      <c r="AF458" s="3"/>
      <c r="AG458" s="3"/>
      <c r="AH458" s="3"/>
      <c r="AI458" s="3"/>
      <c r="AJ458" s="3"/>
      <c r="AK458" s="3"/>
      <c r="AL458" s="3"/>
      <c r="AM458" s="3"/>
      <c r="AN458" s="3"/>
      <c r="AO458" s="3"/>
    </row>
    <row r="459" spans="1:41" ht="15.75" customHeight="1">
      <c r="A459" s="12"/>
      <c r="B459" s="3"/>
      <c r="C459" s="12"/>
      <c r="D459" s="3"/>
      <c r="E459" s="3"/>
      <c r="F459" s="5"/>
      <c r="G459" s="3"/>
      <c r="H459" s="3"/>
      <c r="I459" s="3"/>
      <c r="J459" s="3"/>
      <c r="K459" s="3"/>
      <c r="L459" s="3"/>
      <c r="M459" s="3"/>
      <c r="N459" s="3"/>
      <c r="O459" s="3"/>
      <c r="P459" s="3"/>
      <c r="Q459" s="3"/>
      <c r="R459" s="5"/>
      <c r="S459" s="3"/>
      <c r="T459" s="3"/>
      <c r="U459" s="3"/>
      <c r="V459" s="3"/>
      <c r="W459" s="3"/>
      <c r="X459" s="3"/>
      <c r="Y459" s="3"/>
      <c r="Z459" s="3"/>
      <c r="AA459" s="3"/>
      <c r="AB459" s="34" t="s">
        <v>1440</v>
      </c>
      <c r="AC459" s="34" t="s">
        <v>36</v>
      </c>
      <c r="AD459" s="25" t="s">
        <v>1441</v>
      </c>
      <c r="AE459" s="3"/>
      <c r="AF459" s="3"/>
      <c r="AG459" s="3"/>
      <c r="AH459" s="3"/>
      <c r="AI459" s="3"/>
      <c r="AJ459" s="3"/>
      <c r="AK459" s="3"/>
      <c r="AL459" s="3"/>
      <c r="AM459" s="3"/>
      <c r="AN459" s="3"/>
      <c r="AO459" s="3"/>
    </row>
    <row r="460" spans="1:41" ht="15.75" customHeight="1">
      <c r="A460" s="12"/>
      <c r="B460" s="3"/>
      <c r="C460" s="12"/>
      <c r="D460" s="3"/>
      <c r="E460" s="3"/>
      <c r="F460" s="5"/>
      <c r="G460" s="3"/>
      <c r="H460" s="3"/>
      <c r="I460" s="3"/>
      <c r="J460" s="3"/>
      <c r="K460" s="3"/>
      <c r="L460" s="3"/>
      <c r="M460" s="3"/>
      <c r="N460" s="3"/>
      <c r="O460" s="3"/>
      <c r="P460" s="3"/>
      <c r="Q460" s="3"/>
      <c r="R460" s="5"/>
      <c r="S460" s="3"/>
      <c r="T460" s="3"/>
      <c r="U460" s="3"/>
      <c r="V460" s="3"/>
      <c r="W460" s="3"/>
      <c r="X460" s="3"/>
      <c r="Y460" s="3"/>
      <c r="Z460" s="3"/>
      <c r="AA460" s="3"/>
      <c r="AB460" s="34" t="s">
        <v>1442</v>
      </c>
      <c r="AC460" s="34" t="s">
        <v>36</v>
      </c>
      <c r="AD460" s="25" t="s">
        <v>1443</v>
      </c>
      <c r="AE460" s="3"/>
      <c r="AF460" s="3"/>
      <c r="AG460" s="3"/>
      <c r="AH460" s="3"/>
      <c r="AI460" s="3"/>
      <c r="AJ460" s="3"/>
      <c r="AK460" s="3"/>
      <c r="AL460" s="3"/>
      <c r="AM460" s="3"/>
      <c r="AN460" s="3"/>
      <c r="AO460" s="3"/>
    </row>
    <row r="461" spans="1:41" ht="15.75" customHeight="1">
      <c r="A461" s="12"/>
      <c r="B461" s="3"/>
      <c r="C461" s="12"/>
      <c r="D461" s="3"/>
      <c r="E461" s="3"/>
      <c r="F461" s="5"/>
      <c r="G461" s="3"/>
      <c r="H461" s="3"/>
      <c r="I461" s="3"/>
      <c r="J461" s="3"/>
      <c r="K461" s="3"/>
      <c r="L461" s="3"/>
      <c r="M461" s="3"/>
      <c r="N461" s="3"/>
      <c r="O461" s="3"/>
      <c r="P461" s="3"/>
      <c r="Q461" s="3"/>
      <c r="R461" s="5"/>
      <c r="S461" s="3"/>
      <c r="T461" s="3"/>
      <c r="U461" s="3"/>
      <c r="V461" s="3"/>
      <c r="W461" s="3"/>
      <c r="X461" s="3"/>
      <c r="Y461" s="3"/>
      <c r="Z461" s="3"/>
      <c r="AA461" s="3"/>
      <c r="AB461" s="34" t="s">
        <v>1444</v>
      </c>
      <c r="AC461" s="34" t="s">
        <v>36</v>
      </c>
      <c r="AD461" s="25" t="s">
        <v>1445</v>
      </c>
      <c r="AE461" s="3"/>
      <c r="AF461" s="3"/>
      <c r="AG461" s="3"/>
      <c r="AH461" s="3"/>
      <c r="AI461" s="3"/>
      <c r="AJ461" s="3"/>
      <c r="AK461" s="3"/>
      <c r="AL461" s="3"/>
      <c r="AM461" s="3"/>
      <c r="AN461" s="3"/>
      <c r="AO461" s="3"/>
    </row>
    <row r="462" spans="1:41" ht="15.75" customHeight="1">
      <c r="A462" s="12"/>
      <c r="B462" s="3"/>
      <c r="C462" s="12"/>
      <c r="D462" s="3"/>
      <c r="E462" s="3"/>
      <c r="F462" s="5"/>
      <c r="G462" s="3"/>
      <c r="H462" s="3"/>
      <c r="I462" s="3"/>
      <c r="J462" s="3"/>
      <c r="K462" s="3"/>
      <c r="L462" s="3"/>
      <c r="M462" s="3"/>
      <c r="N462" s="3"/>
      <c r="O462" s="3"/>
      <c r="P462" s="3"/>
      <c r="Q462" s="3"/>
      <c r="R462" s="5"/>
      <c r="S462" s="3"/>
      <c r="T462" s="3"/>
      <c r="U462" s="3"/>
      <c r="V462" s="3"/>
      <c r="W462" s="3"/>
      <c r="X462" s="3"/>
      <c r="Y462" s="3"/>
      <c r="Z462" s="3"/>
      <c r="AA462" s="3"/>
      <c r="AB462" s="34" t="s">
        <v>1446</v>
      </c>
      <c r="AC462" s="34" t="s">
        <v>140</v>
      </c>
      <c r="AD462" s="34" t="s">
        <v>1447</v>
      </c>
      <c r="AE462" s="3"/>
      <c r="AF462" s="3"/>
      <c r="AG462" s="3"/>
      <c r="AH462" s="3"/>
      <c r="AI462" s="3"/>
      <c r="AJ462" s="3"/>
      <c r="AK462" s="3"/>
      <c r="AL462" s="3"/>
      <c r="AM462" s="3"/>
      <c r="AN462" s="3"/>
      <c r="AO462" s="3"/>
    </row>
    <row r="463" spans="1:41" ht="15.75" customHeight="1">
      <c r="A463" s="12"/>
      <c r="B463" s="3"/>
      <c r="C463" s="12"/>
      <c r="D463" s="3"/>
      <c r="E463" s="3"/>
      <c r="F463" s="5"/>
      <c r="G463" s="3"/>
      <c r="H463" s="3"/>
      <c r="I463" s="3"/>
      <c r="J463" s="3"/>
      <c r="K463" s="3"/>
      <c r="L463" s="3"/>
      <c r="M463" s="3"/>
      <c r="N463" s="3"/>
      <c r="O463" s="3"/>
      <c r="P463" s="3"/>
      <c r="Q463" s="3"/>
      <c r="R463" s="5"/>
      <c r="S463" s="3"/>
      <c r="T463" s="3"/>
      <c r="U463" s="3"/>
      <c r="V463" s="3"/>
      <c r="W463" s="3"/>
      <c r="X463" s="3"/>
      <c r="Y463" s="3"/>
      <c r="Z463" s="3"/>
      <c r="AA463" s="3"/>
      <c r="AB463" s="34" t="s">
        <v>1448</v>
      </c>
      <c r="AC463" s="34" t="s">
        <v>36</v>
      </c>
      <c r="AD463" s="25" t="s">
        <v>1449</v>
      </c>
      <c r="AE463" s="3"/>
      <c r="AF463" s="3"/>
      <c r="AG463" s="3"/>
      <c r="AH463" s="3"/>
      <c r="AI463" s="3"/>
      <c r="AJ463" s="3"/>
      <c r="AK463" s="3"/>
      <c r="AL463" s="3"/>
      <c r="AM463" s="3"/>
      <c r="AN463" s="3"/>
      <c r="AO463" s="3"/>
    </row>
    <row r="464" spans="1:41" ht="15.75" customHeight="1">
      <c r="A464" s="12"/>
      <c r="B464" s="3"/>
      <c r="C464" s="12"/>
      <c r="D464" s="3"/>
      <c r="E464" s="3"/>
      <c r="F464" s="5"/>
      <c r="G464" s="3"/>
      <c r="H464" s="3"/>
      <c r="I464" s="3"/>
      <c r="J464" s="3"/>
      <c r="K464" s="3"/>
      <c r="L464" s="3"/>
      <c r="M464" s="3"/>
      <c r="N464" s="3"/>
      <c r="O464" s="3"/>
      <c r="P464" s="3"/>
      <c r="Q464" s="3"/>
      <c r="R464" s="5"/>
      <c r="S464" s="3"/>
      <c r="T464" s="3"/>
      <c r="U464" s="3"/>
      <c r="V464" s="3"/>
      <c r="W464" s="3"/>
      <c r="X464" s="3"/>
      <c r="Y464" s="3"/>
      <c r="Z464" s="3"/>
      <c r="AA464" s="3"/>
      <c r="AB464" s="34" t="s">
        <v>1450</v>
      </c>
      <c r="AC464" s="34" t="s">
        <v>140</v>
      </c>
      <c r="AD464" s="34"/>
      <c r="AE464" s="3"/>
      <c r="AF464" s="3"/>
      <c r="AG464" s="3"/>
      <c r="AH464" s="3"/>
      <c r="AI464" s="3"/>
      <c r="AJ464" s="3"/>
      <c r="AK464" s="3"/>
      <c r="AL464" s="3"/>
      <c r="AM464" s="3"/>
      <c r="AN464" s="3"/>
      <c r="AO464" s="3"/>
    </row>
    <row r="465" spans="1:41" ht="15.75" customHeight="1">
      <c r="A465" s="12"/>
      <c r="B465" s="3"/>
      <c r="C465" s="12"/>
      <c r="D465" s="3"/>
      <c r="E465" s="3"/>
      <c r="F465" s="5"/>
      <c r="G465" s="3"/>
      <c r="H465" s="3"/>
      <c r="I465" s="3"/>
      <c r="J465" s="3"/>
      <c r="K465" s="3"/>
      <c r="L465" s="3"/>
      <c r="M465" s="3"/>
      <c r="N465" s="3"/>
      <c r="O465" s="3"/>
      <c r="P465" s="3"/>
      <c r="Q465" s="3"/>
      <c r="R465" s="5"/>
      <c r="S465" s="3"/>
      <c r="T465" s="3"/>
      <c r="U465" s="3"/>
      <c r="V465" s="3"/>
      <c r="W465" s="3"/>
      <c r="X465" s="3"/>
      <c r="Y465" s="3"/>
      <c r="Z465" s="3"/>
      <c r="AA465" s="3"/>
      <c r="AB465" s="34" t="s">
        <v>1451</v>
      </c>
      <c r="AC465" s="34" t="s">
        <v>36</v>
      </c>
      <c r="AD465" s="180" t="s">
        <v>1259</v>
      </c>
      <c r="AE465" s="3"/>
      <c r="AF465" s="3"/>
      <c r="AG465" s="3"/>
      <c r="AH465" s="3"/>
      <c r="AI465" s="3"/>
      <c r="AJ465" s="3"/>
      <c r="AK465" s="3"/>
      <c r="AL465" s="3"/>
      <c r="AM465" s="3"/>
      <c r="AN465" s="3"/>
      <c r="AO465" s="3"/>
    </row>
    <row r="466" spans="1:41" ht="15.75" customHeight="1">
      <c r="A466" s="12"/>
      <c r="B466" s="3"/>
      <c r="C466" s="12"/>
      <c r="D466" s="3"/>
      <c r="E466" s="3"/>
      <c r="F466" s="5"/>
      <c r="G466" s="3"/>
      <c r="H466" s="3"/>
      <c r="I466" s="3"/>
      <c r="J466" s="3"/>
      <c r="K466" s="3"/>
      <c r="L466" s="3"/>
      <c r="M466" s="3"/>
      <c r="N466" s="3"/>
      <c r="O466" s="3"/>
      <c r="P466" s="3"/>
      <c r="Q466" s="3"/>
      <c r="R466" s="5"/>
      <c r="S466" s="3"/>
      <c r="T466" s="3"/>
      <c r="U466" s="3"/>
      <c r="V466" s="3"/>
      <c r="W466" s="3"/>
      <c r="X466" s="3"/>
      <c r="Y466" s="3"/>
      <c r="Z466" s="3"/>
      <c r="AA466" s="3"/>
      <c r="AB466" s="34" t="s">
        <v>226</v>
      </c>
      <c r="AC466" s="34" t="s">
        <v>36</v>
      </c>
      <c r="AD466" s="180" t="s">
        <v>227</v>
      </c>
      <c r="AE466" s="3"/>
      <c r="AF466" s="3"/>
      <c r="AG466" s="3"/>
      <c r="AH466" s="3"/>
      <c r="AI466" s="3"/>
      <c r="AJ466" s="3"/>
      <c r="AK466" s="3"/>
      <c r="AL466" s="3"/>
      <c r="AM466" s="3"/>
      <c r="AN466" s="3"/>
      <c r="AO466" s="3"/>
    </row>
    <row r="467" spans="1:41" ht="15.75" customHeight="1">
      <c r="A467" s="12"/>
      <c r="B467" s="3"/>
      <c r="C467" s="12"/>
      <c r="D467" s="3"/>
      <c r="E467" s="3"/>
      <c r="F467" s="5"/>
      <c r="G467" s="3"/>
      <c r="H467" s="3"/>
      <c r="I467" s="3"/>
      <c r="J467" s="3"/>
      <c r="K467" s="3"/>
      <c r="L467" s="3"/>
      <c r="M467" s="3"/>
      <c r="N467" s="3"/>
      <c r="O467" s="3"/>
      <c r="P467" s="3"/>
      <c r="Q467" s="3"/>
      <c r="R467" s="5"/>
      <c r="S467" s="3"/>
      <c r="T467" s="3"/>
      <c r="U467" s="3"/>
      <c r="V467" s="3"/>
      <c r="W467" s="3"/>
      <c r="X467" s="3"/>
      <c r="Y467" s="3"/>
      <c r="Z467" s="3"/>
      <c r="AA467" s="3"/>
      <c r="AB467" s="34" t="s">
        <v>1452</v>
      </c>
      <c r="AC467" s="34" t="s">
        <v>36</v>
      </c>
      <c r="AD467" s="180" t="s">
        <v>1453</v>
      </c>
      <c r="AE467" s="3"/>
      <c r="AF467" s="3"/>
      <c r="AG467" s="3"/>
      <c r="AH467" s="3"/>
      <c r="AI467" s="3"/>
      <c r="AJ467" s="3"/>
      <c r="AK467" s="3"/>
      <c r="AL467" s="3"/>
      <c r="AM467" s="3"/>
      <c r="AN467" s="3"/>
      <c r="AO467" s="3"/>
    </row>
    <row r="468" spans="1:41" ht="15.75" customHeight="1">
      <c r="A468" s="12"/>
      <c r="B468" s="3"/>
      <c r="C468" s="12"/>
      <c r="D468" s="3"/>
      <c r="E468" s="3"/>
      <c r="F468" s="5"/>
      <c r="G468" s="3"/>
      <c r="H468" s="3"/>
      <c r="I468" s="3"/>
      <c r="J468" s="3"/>
      <c r="K468" s="3"/>
      <c r="L468" s="3"/>
      <c r="M468" s="3"/>
      <c r="N468" s="3"/>
      <c r="O468" s="3"/>
      <c r="P468" s="3"/>
      <c r="Q468" s="3"/>
      <c r="R468" s="5"/>
      <c r="S468" s="3"/>
      <c r="T468" s="3"/>
      <c r="U468" s="3"/>
      <c r="V468" s="3"/>
      <c r="W468" s="3"/>
      <c r="X468" s="3"/>
      <c r="Y468" s="3"/>
      <c r="Z468" s="3"/>
      <c r="AA468" s="3"/>
      <c r="AB468" s="34" t="s">
        <v>1454</v>
      </c>
      <c r="AC468" s="34" t="s">
        <v>36</v>
      </c>
      <c r="AD468" s="180" t="s">
        <v>1455</v>
      </c>
      <c r="AE468" s="3"/>
      <c r="AF468" s="3"/>
      <c r="AG468" s="3"/>
      <c r="AH468" s="3"/>
      <c r="AI468" s="3"/>
      <c r="AJ468" s="3"/>
      <c r="AK468" s="3"/>
      <c r="AL468" s="3"/>
      <c r="AM468" s="3"/>
      <c r="AN468" s="3"/>
      <c r="AO468" s="3"/>
    </row>
    <row r="469" spans="1:41" ht="15.75" customHeight="1">
      <c r="A469" s="12"/>
      <c r="B469" s="3"/>
      <c r="C469" s="12"/>
      <c r="D469" s="3"/>
      <c r="E469" s="3"/>
      <c r="F469" s="5"/>
      <c r="G469" s="3"/>
      <c r="H469" s="3"/>
      <c r="I469" s="3"/>
      <c r="J469" s="3"/>
      <c r="K469" s="3"/>
      <c r="L469" s="3"/>
      <c r="M469" s="3"/>
      <c r="N469" s="3"/>
      <c r="O469" s="3"/>
      <c r="P469" s="3"/>
      <c r="Q469" s="3"/>
      <c r="R469" s="5"/>
      <c r="S469" s="3"/>
      <c r="T469" s="3"/>
      <c r="U469" s="3"/>
      <c r="V469" s="3"/>
      <c r="W469" s="3"/>
      <c r="X469" s="3"/>
      <c r="Y469" s="3"/>
      <c r="Z469" s="3"/>
      <c r="AA469" s="3"/>
      <c r="AB469" s="34" t="s">
        <v>571</v>
      </c>
      <c r="AC469" s="34" t="s">
        <v>36</v>
      </c>
      <c r="AD469" s="180" t="s">
        <v>572</v>
      </c>
      <c r="AE469" s="3"/>
      <c r="AF469" s="3"/>
      <c r="AG469" s="3"/>
      <c r="AH469" s="3"/>
      <c r="AI469" s="3"/>
      <c r="AJ469" s="3"/>
      <c r="AK469" s="3"/>
      <c r="AL469" s="3"/>
      <c r="AM469" s="3"/>
      <c r="AN469" s="3"/>
      <c r="AO469" s="3"/>
    </row>
    <row r="470" spans="1:41" ht="15.75" customHeight="1">
      <c r="A470" s="12"/>
      <c r="B470" s="3"/>
      <c r="C470" s="12"/>
      <c r="D470" s="3"/>
      <c r="E470" s="3"/>
      <c r="F470" s="5"/>
      <c r="G470" s="3"/>
      <c r="H470" s="3"/>
      <c r="I470" s="3"/>
      <c r="J470" s="3"/>
      <c r="K470" s="3"/>
      <c r="L470" s="3"/>
      <c r="M470" s="3"/>
      <c r="N470" s="3"/>
      <c r="O470" s="3"/>
      <c r="P470" s="3"/>
      <c r="Q470" s="3"/>
      <c r="R470" s="5"/>
      <c r="S470" s="3"/>
      <c r="T470" s="3"/>
      <c r="U470" s="3"/>
      <c r="V470" s="3"/>
      <c r="W470" s="3"/>
      <c r="X470" s="3"/>
      <c r="Y470" s="3"/>
      <c r="Z470" s="3"/>
      <c r="AA470" s="3"/>
      <c r="AB470" s="34" t="s">
        <v>581</v>
      </c>
      <c r="AC470" s="34" t="s">
        <v>36</v>
      </c>
      <c r="AD470" s="180" t="s">
        <v>582</v>
      </c>
      <c r="AE470" s="3"/>
      <c r="AF470" s="3"/>
      <c r="AG470" s="3"/>
      <c r="AH470" s="3"/>
      <c r="AI470" s="3"/>
      <c r="AJ470" s="3"/>
      <c r="AK470" s="3"/>
      <c r="AL470" s="3"/>
      <c r="AM470" s="3"/>
      <c r="AN470" s="3"/>
      <c r="AO470" s="3"/>
    </row>
    <row r="471" spans="1:41" ht="15.75" customHeight="1">
      <c r="A471" s="12"/>
      <c r="B471" s="3"/>
      <c r="C471" s="12"/>
      <c r="D471" s="3"/>
      <c r="E471" s="3"/>
      <c r="F471" s="5"/>
      <c r="G471" s="3"/>
      <c r="H471" s="3"/>
      <c r="I471" s="3"/>
      <c r="J471" s="3"/>
      <c r="K471" s="3"/>
      <c r="L471" s="3"/>
      <c r="M471" s="3"/>
      <c r="N471" s="3"/>
      <c r="O471" s="3"/>
      <c r="P471" s="3"/>
      <c r="Q471" s="3"/>
      <c r="R471" s="5"/>
      <c r="S471" s="3"/>
      <c r="T471" s="3"/>
      <c r="U471" s="3"/>
      <c r="V471" s="3"/>
      <c r="W471" s="3"/>
      <c r="X471" s="3"/>
      <c r="Y471" s="3"/>
      <c r="Z471" s="3"/>
      <c r="AA471" s="3"/>
      <c r="AB471" s="34" t="s">
        <v>1456</v>
      </c>
      <c r="AC471" s="34" t="s">
        <v>36</v>
      </c>
      <c r="AD471" s="25" t="s">
        <v>1457</v>
      </c>
      <c r="AE471" s="3"/>
      <c r="AF471" s="3"/>
      <c r="AG471" s="3"/>
      <c r="AH471" s="3"/>
      <c r="AI471" s="3"/>
      <c r="AJ471" s="3"/>
      <c r="AK471" s="3"/>
      <c r="AL471" s="3"/>
      <c r="AM471" s="3"/>
      <c r="AN471" s="3"/>
      <c r="AO471" s="3"/>
    </row>
    <row r="472" spans="1:41" ht="15.75" customHeight="1">
      <c r="A472" s="12"/>
      <c r="B472" s="3"/>
      <c r="C472" s="12"/>
      <c r="D472" s="3"/>
      <c r="E472" s="3"/>
      <c r="F472" s="5"/>
      <c r="G472" s="3"/>
      <c r="H472" s="3"/>
      <c r="I472" s="3"/>
      <c r="J472" s="3"/>
      <c r="K472" s="3"/>
      <c r="L472" s="3"/>
      <c r="M472" s="3"/>
      <c r="N472" s="3"/>
      <c r="O472" s="3"/>
      <c r="P472" s="3"/>
      <c r="Q472" s="3"/>
      <c r="R472" s="5"/>
      <c r="S472" s="3"/>
      <c r="T472" s="3"/>
      <c r="U472" s="3"/>
      <c r="V472" s="3"/>
      <c r="W472" s="3"/>
      <c r="X472" s="3"/>
      <c r="Y472" s="3"/>
      <c r="Z472" s="3"/>
      <c r="AA472" s="3"/>
      <c r="AB472" s="34" t="s">
        <v>1458</v>
      </c>
      <c r="AC472" s="34" t="s">
        <v>36</v>
      </c>
      <c r="AD472" s="25" t="s">
        <v>1459</v>
      </c>
      <c r="AE472" s="3"/>
      <c r="AF472" s="3"/>
      <c r="AG472" s="3"/>
      <c r="AH472" s="3"/>
      <c r="AI472" s="3"/>
      <c r="AJ472" s="3"/>
      <c r="AK472" s="3"/>
      <c r="AL472" s="3"/>
      <c r="AM472" s="3"/>
      <c r="AN472" s="3"/>
      <c r="AO472" s="3"/>
    </row>
    <row r="473" spans="1:41" ht="15.75" customHeight="1">
      <c r="A473" s="12"/>
      <c r="B473" s="3"/>
      <c r="C473" s="12"/>
      <c r="D473" s="3"/>
      <c r="E473" s="3"/>
      <c r="F473" s="5"/>
      <c r="G473" s="3"/>
      <c r="H473" s="3"/>
      <c r="I473" s="3"/>
      <c r="J473" s="3"/>
      <c r="K473" s="3"/>
      <c r="L473" s="3"/>
      <c r="M473" s="3"/>
      <c r="N473" s="3"/>
      <c r="O473" s="3"/>
      <c r="P473" s="3"/>
      <c r="Q473" s="3"/>
      <c r="R473" s="5"/>
      <c r="S473" s="3"/>
      <c r="T473" s="3"/>
      <c r="U473" s="3"/>
      <c r="V473" s="3"/>
      <c r="W473" s="3"/>
      <c r="X473" s="3"/>
      <c r="Y473" s="3"/>
      <c r="Z473" s="3"/>
      <c r="AA473" s="3"/>
      <c r="AB473" s="34" t="s">
        <v>1460</v>
      </c>
      <c r="AC473" s="34" t="s">
        <v>36</v>
      </c>
      <c r="AD473" s="25" t="s">
        <v>1461</v>
      </c>
      <c r="AE473" s="3"/>
      <c r="AF473" s="3"/>
      <c r="AG473" s="3"/>
      <c r="AH473" s="3"/>
      <c r="AI473" s="3"/>
      <c r="AJ473" s="3"/>
      <c r="AK473" s="3"/>
      <c r="AL473" s="3"/>
      <c r="AM473" s="3"/>
      <c r="AN473" s="3"/>
      <c r="AO473" s="3"/>
    </row>
    <row r="474" spans="1:41" ht="15.75" customHeight="1">
      <c r="A474" s="12"/>
      <c r="B474" s="3"/>
      <c r="C474" s="12"/>
      <c r="D474" s="3"/>
      <c r="E474" s="3"/>
      <c r="F474" s="5"/>
      <c r="G474" s="3"/>
      <c r="H474" s="3"/>
      <c r="I474" s="3"/>
      <c r="J474" s="3"/>
      <c r="K474" s="3"/>
      <c r="L474" s="3"/>
      <c r="M474" s="3"/>
      <c r="N474" s="3"/>
      <c r="O474" s="3"/>
      <c r="P474" s="3"/>
      <c r="Q474" s="3"/>
      <c r="R474" s="5"/>
      <c r="S474" s="3"/>
      <c r="T474" s="3"/>
      <c r="U474" s="3"/>
      <c r="V474" s="3"/>
      <c r="W474" s="3"/>
      <c r="X474" s="3"/>
      <c r="Y474" s="3"/>
      <c r="Z474" s="3"/>
      <c r="AA474" s="3"/>
      <c r="AB474" s="34" t="s">
        <v>1462</v>
      </c>
      <c r="AC474" s="34" t="s">
        <v>36</v>
      </c>
      <c r="AD474" s="25" t="s">
        <v>1463</v>
      </c>
      <c r="AE474" s="3"/>
      <c r="AF474" s="3"/>
      <c r="AG474" s="3"/>
      <c r="AH474" s="3"/>
      <c r="AI474" s="3"/>
      <c r="AJ474" s="3"/>
      <c r="AK474" s="3"/>
      <c r="AL474" s="3"/>
      <c r="AM474" s="3"/>
      <c r="AN474" s="3"/>
      <c r="AO474" s="3"/>
    </row>
    <row r="475" spans="1:41" ht="15.75" customHeight="1">
      <c r="A475" s="12"/>
      <c r="B475" s="3"/>
      <c r="C475" s="12"/>
      <c r="D475" s="3"/>
      <c r="E475" s="3"/>
      <c r="F475" s="5"/>
      <c r="G475" s="3"/>
      <c r="H475" s="3"/>
      <c r="I475" s="3"/>
      <c r="J475" s="3"/>
      <c r="K475" s="3"/>
      <c r="L475" s="3"/>
      <c r="M475" s="3"/>
      <c r="N475" s="3"/>
      <c r="O475" s="3"/>
      <c r="P475" s="3"/>
      <c r="Q475" s="3"/>
      <c r="R475" s="5"/>
      <c r="S475" s="3"/>
      <c r="T475" s="3"/>
      <c r="U475" s="3"/>
      <c r="V475" s="3"/>
      <c r="W475" s="3"/>
      <c r="X475" s="3"/>
      <c r="Y475" s="3"/>
      <c r="Z475" s="3"/>
      <c r="AA475" s="3"/>
      <c r="AB475" s="34" t="s">
        <v>1464</v>
      </c>
      <c r="AC475" s="34" t="s">
        <v>36</v>
      </c>
      <c r="AD475" s="25" t="s">
        <v>1465</v>
      </c>
      <c r="AE475" s="3"/>
      <c r="AF475" s="3"/>
      <c r="AG475" s="3"/>
      <c r="AH475" s="3"/>
      <c r="AI475" s="3"/>
      <c r="AJ475" s="3"/>
      <c r="AK475" s="3"/>
      <c r="AL475" s="3"/>
      <c r="AM475" s="3"/>
      <c r="AN475" s="3"/>
      <c r="AO475" s="3"/>
    </row>
    <row r="476" spans="1:41" ht="15.75" customHeight="1">
      <c r="A476" s="12"/>
      <c r="B476" s="3"/>
      <c r="C476" s="12"/>
      <c r="D476" s="3"/>
      <c r="E476" s="3"/>
      <c r="F476" s="5"/>
      <c r="G476" s="3"/>
      <c r="H476" s="3"/>
      <c r="I476" s="3"/>
      <c r="J476" s="3"/>
      <c r="K476" s="3"/>
      <c r="L476" s="3"/>
      <c r="M476" s="3"/>
      <c r="N476" s="3"/>
      <c r="O476" s="3"/>
      <c r="P476" s="3"/>
      <c r="Q476" s="3"/>
      <c r="R476" s="5"/>
      <c r="S476" s="3"/>
      <c r="T476" s="3"/>
      <c r="U476" s="3"/>
      <c r="V476" s="3"/>
      <c r="W476" s="3"/>
      <c r="X476" s="3"/>
      <c r="Y476" s="3"/>
      <c r="Z476" s="3"/>
      <c r="AA476" s="3"/>
      <c r="AB476" s="34" t="s">
        <v>1466</v>
      </c>
      <c r="AC476" s="34" t="s">
        <v>36</v>
      </c>
      <c r="AD476" s="25" t="s">
        <v>1467</v>
      </c>
      <c r="AE476" s="3"/>
      <c r="AF476" s="3"/>
      <c r="AG476" s="3"/>
      <c r="AH476" s="3"/>
      <c r="AI476" s="3"/>
      <c r="AJ476" s="3"/>
      <c r="AK476" s="3"/>
      <c r="AL476" s="3"/>
      <c r="AM476" s="3"/>
      <c r="AN476" s="3"/>
      <c r="AO476" s="3"/>
    </row>
    <row r="477" spans="1:41" ht="15.75" customHeight="1">
      <c r="A477" s="12"/>
      <c r="B477" s="3"/>
      <c r="C477" s="12"/>
      <c r="D477" s="3"/>
      <c r="E477" s="3"/>
      <c r="F477" s="5"/>
      <c r="G477" s="3"/>
      <c r="H477" s="3"/>
      <c r="I477" s="3"/>
      <c r="J477" s="3"/>
      <c r="K477" s="3"/>
      <c r="L477" s="3"/>
      <c r="M477" s="3"/>
      <c r="N477" s="3"/>
      <c r="O477" s="3"/>
      <c r="P477" s="3"/>
      <c r="Q477" s="3"/>
      <c r="R477" s="5"/>
      <c r="S477" s="3"/>
      <c r="T477" s="3"/>
      <c r="U477" s="3"/>
      <c r="V477" s="3"/>
      <c r="W477" s="3"/>
      <c r="X477" s="3"/>
      <c r="Y477" s="3"/>
      <c r="Z477" s="3"/>
      <c r="AA477" s="3"/>
      <c r="AB477" s="34" t="s">
        <v>1468</v>
      </c>
      <c r="AC477" s="34" t="s">
        <v>36</v>
      </c>
      <c r="AD477" s="25" t="s">
        <v>1469</v>
      </c>
      <c r="AE477" s="3"/>
      <c r="AF477" s="3"/>
      <c r="AG477" s="3"/>
      <c r="AH477" s="3"/>
      <c r="AI477" s="3"/>
      <c r="AJ477" s="3"/>
      <c r="AK477" s="3"/>
      <c r="AL477" s="3"/>
      <c r="AM477" s="3"/>
      <c r="AN477" s="3"/>
      <c r="AO477" s="3"/>
    </row>
    <row r="478" spans="1:41" ht="15.75" customHeight="1">
      <c r="A478" s="12"/>
      <c r="B478" s="3"/>
      <c r="C478" s="12"/>
      <c r="D478" s="3"/>
      <c r="E478" s="3"/>
      <c r="F478" s="5"/>
      <c r="G478" s="3"/>
      <c r="H478" s="3"/>
      <c r="I478" s="3"/>
      <c r="J478" s="3"/>
      <c r="K478" s="3"/>
      <c r="L478" s="3"/>
      <c r="M478" s="3"/>
      <c r="N478" s="3"/>
      <c r="O478" s="3"/>
      <c r="P478" s="3"/>
      <c r="Q478" s="3"/>
      <c r="R478" s="5"/>
      <c r="S478" s="3"/>
      <c r="T478" s="3"/>
      <c r="U478" s="3"/>
      <c r="V478" s="3"/>
      <c r="W478" s="3"/>
      <c r="X478" s="3"/>
      <c r="Y478" s="3"/>
      <c r="Z478" s="3"/>
      <c r="AA478" s="3"/>
      <c r="AB478" s="34" t="s">
        <v>1470</v>
      </c>
      <c r="AC478" s="34" t="s">
        <v>36</v>
      </c>
      <c r="AD478" s="25" t="s">
        <v>1471</v>
      </c>
      <c r="AE478" s="3"/>
      <c r="AF478" s="3"/>
      <c r="AG478" s="3"/>
      <c r="AH478" s="3"/>
      <c r="AI478" s="3"/>
      <c r="AJ478" s="3"/>
      <c r="AK478" s="3"/>
      <c r="AL478" s="3"/>
      <c r="AM478" s="3"/>
      <c r="AN478" s="3"/>
      <c r="AO478" s="3"/>
    </row>
    <row r="479" spans="1:41" ht="15.75" customHeight="1">
      <c r="A479" s="12"/>
      <c r="B479" s="3"/>
      <c r="C479" s="12"/>
      <c r="D479" s="3"/>
      <c r="E479" s="3"/>
      <c r="F479" s="5"/>
      <c r="G479" s="3"/>
      <c r="H479" s="3"/>
      <c r="I479" s="3"/>
      <c r="J479" s="3"/>
      <c r="K479" s="3"/>
      <c r="L479" s="3"/>
      <c r="M479" s="3"/>
      <c r="N479" s="3"/>
      <c r="O479" s="3"/>
      <c r="P479" s="3"/>
      <c r="Q479" s="3"/>
      <c r="R479" s="5"/>
      <c r="S479" s="3"/>
      <c r="T479" s="3"/>
      <c r="U479" s="3"/>
      <c r="V479" s="3"/>
      <c r="W479" s="3"/>
      <c r="X479" s="3"/>
      <c r="Y479" s="3"/>
      <c r="Z479" s="3"/>
      <c r="AA479" s="3"/>
      <c r="AB479" s="34" t="s">
        <v>1472</v>
      </c>
      <c r="AC479" s="34" t="s">
        <v>140</v>
      </c>
      <c r="AD479" s="34"/>
      <c r="AE479" s="3"/>
      <c r="AF479" s="3"/>
      <c r="AG479" s="3"/>
      <c r="AH479" s="3"/>
      <c r="AI479" s="3"/>
      <c r="AJ479" s="3"/>
      <c r="AK479" s="3"/>
      <c r="AL479" s="3"/>
      <c r="AM479" s="3"/>
      <c r="AN479" s="3"/>
      <c r="AO479" s="3"/>
    </row>
    <row r="480" spans="1:41" ht="15.75" customHeight="1">
      <c r="A480" s="12"/>
      <c r="B480" s="3"/>
      <c r="C480" s="12"/>
      <c r="D480" s="3"/>
      <c r="E480" s="3"/>
      <c r="F480" s="5"/>
      <c r="G480" s="3"/>
      <c r="H480" s="3"/>
      <c r="I480" s="3"/>
      <c r="J480" s="3"/>
      <c r="K480" s="3"/>
      <c r="L480" s="3"/>
      <c r="M480" s="3"/>
      <c r="N480" s="3"/>
      <c r="O480" s="3"/>
      <c r="P480" s="3"/>
      <c r="Q480" s="3"/>
      <c r="R480" s="5"/>
      <c r="S480" s="3"/>
      <c r="T480" s="3"/>
      <c r="U480" s="3"/>
      <c r="V480" s="3"/>
      <c r="W480" s="3"/>
      <c r="X480" s="3"/>
      <c r="Y480" s="3"/>
      <c r="Z480" s="3"/>
      <c r="AA480" s="3"/>
      <c r="AB480" s="34" t="s">
        <v>1473</v>
      </c>
      <c r="AC480" s="34" t="s">
        <v>36</v>
      </c>
      <c r="AD480" s="180" t="s">
        <v>318</v>
      </c>
      <c r="AE480" s="3"/>
      <c r="AF480" s="3"/>
      <c r="AG480" s="3"/>
      <c r="AH480" s="3"/>
      <c r="AI480" s="3"/>
      <c r="AJ480" s="3"/>
      <c r="AK480" s="3"/>
      <c r="AL480" s="3"/>
      <c r="AM480" s="3"/>
      <c r="AN480" s="3"/>
      <c r="AO480" s="3"/>
    </row>
    <row r="481" spans="1:41" ht="15.75" customHeight="1">
      <c r="A481" s="12"/>
      <c r="B481" s="3"/>
      <c r="C481" s="12"/>
      <c r="D481" s="3"/>
      <c r="E481" s="3"/>
      <c r="F481" s="5"/>
      <c r="G481" s="3"/>
      <c r="H481" s="3"/>
      <c r="I481" s="3"/>
      <c r="J481" s="3"/>
      <c r="K481" s="3"/>
      <c r="L481" s="3"/>
      <c r="M481" s="3"/>
      <c r="N481" s="3"/>
      <c r="O481" s="3"/>
      <c r="P481" s="3"/>
      <c r="Q481" s="3"/>
      <c r="R481" s="5"/>
      <c r="S481" s="3"/>
      <c r="T481" s="3"/>
      <c r="U481" s="3"/>
      <c r="V481" s="3"/>
      <c r="W481" s="3"/>
      <c r="X481" s="3"/>
      <c r="Y481" s="3"/>
      <c r="Z481" s="3"/>
      <c r="AA481" s="3"/>
      <c r="AB481" s="34" t="s">
        <v>1474</v>
      </c>
      <c r="AC481" s="34" t="s">
        <v>36</v>
      </c>
      <c r="AD481" s="180" t="s">
        <v>1475</v>
      </c>
      <c r="AE481" s="3"/>
      <c r="AF481" s="3"/>
      <c r="AG481" s="3"/>
      <c r="AH481" s="3"/>
      <c r="AI481" s="3"/>
      <c r="AJ481" s="3"/>
      <c r="AK481" s="3"/>
      <c r="AL481" s="3"/>
      <c r="AM481" s="3"/>
      <c r="AN481" s="3"/>
      <c r="AO481" s="3"/>
    </row>
    <row r="482" spans="1:41" ht="15.75" customHeight="1">
      <c r="A482" s="12"/>
      <c r="B482" s="3"/>
      <c r="C482" s="12"/>
      <c r="D482" s="3"/>
      <c r="E482" s="3"/>
      <c r="F482" s="5"/>
      <c r="G482" s="3"/>
      <c r="H482" s="3"/>
      <c r="I482" s="3"/>
      <c r="J482" s="3"/>
      <c r="K482" s="3"/>
      <c r="L482" s="3"/>
      <c r="M482" s="3"/>
      <c r="N482" s="3"/>
      <c r="O482" s="3"/>
      <c r="P482" s="3"/>
      <c r="Q482" s="3"/>
      <c r="R482" s="5"/>
      <c r="S482" s="3"/>
      <c r="T482" s="3"/>
      <c r="U482" s="3"/>
      <c r="V482" s="3"/>
      <c r="W482" s="3"/>
      <c r="X482" s="3"/>
      <c r="Y482" s="3"/>
      <c r="Z482" s="3"/>
      <c r="AA482" s="3"/>
      <c r="AB482" s="34" t="s">
        <v>1476</v>
      </c>
      <c r="AC482" s="34" t="s">
        <v>36</v>
      </c>
      <c r="AD482" s="180" t="s">
        <v>1477</v>
      </c>
      <c r="AE482" s="3"/>
      <c r="AF482" s="3"/>
      <c r="AG482" s="3"/>
      <c r="AH482" s="3"/>
      <c r="AI482" s="3"/>
      <c r="AJ482" s="3"/>
      <c r="AK482" s="3"/>
      <c r="AL482" s="3"/>
      <c r="AM482" s="3"/>
      <c r="AN482" s="3"/>
      <c r="AO482" s="3"/>
    </row>
    <row r="483" spans="1:41" ht="15.75" customHeight="1">
      <c r="A483" s="12"/>
      <c r="B483" s="3"/>
      <c r="C483" s="12"/>
      <c r="D483" s="3"/>
      <c r="E483" s="3"/>
      <c r="F483" s="5"/>
      <c r="G483" s="3"/>
      <c r="H483" s="3"/>
      <c r="I483" s="3"/>
      <c r="J483" s="3"/>
      <c r="K483" s="3"/>
      <c r="L483" s="3"/>
      <c r="M483" s="3"/>
      <c r="N483" s="3"/>
      <c r="O483" s="3"/>
      <c r="P483" s="3"/>
      <c r="Q483" s="3"/>
      <c r="R483" s="5"/>
      <c r="S483" s="3"/>
      <c r="T483" s="3"/>
      <c r="U483" s="3"/>
      <c r="V483" s="3"/>
      <c r="W483" s="3"/>
      <c r="X483" s="3"/>
      <c r="Y483" s="3"/>
      <c r="Z483" s="3"/>
      <c r="AA483" s="3"/>
      <c r="AB483" s="34" t="s">
        <v>1478</v>
      </c>
      <c r="AC483" s="34" t="s">
        <v>140</v>
      </c>
      <c r="AD483" s="34"/>
      <c r="AE483" s="3"/>
      <c r="AF483" s="3"/>
      <c r="AG483" s="3"/>
      <c r="AH483" s="3"/>
      <c r="AI483" s="3"/>
      <c r="AJ483" s="3"/>
      <c r="AK483" s="3"/>
      <c r="AL483" s="3"/>
      <c r="AM483" s="3"/>
      <c r="AN483" s="3"/>
      <c r="AO483" s="3"/>
    </row>
    <row r="484" spans="1:41" ht="15.75" customHeight="1">
      <c r="A484" s="12"/>
      <c r="B484" s="3"/>
      <c r="C484" s="12"/>
      <c r="D484" s="3"/>
      <c r="E484" s="3"/>
      <c r="F484" s="5"/>
      <c r="G484" s="3"/>
      <c r="H484" s="3"/>
      <c r="I484" s="3"/>
      <c r="J484" s="3"/>
      <c r="K484" s="3"/>
      <c r="L484" s="3"/>
      <c r="M484" s="3"/>
      <c r="N484" s="3"/>
      <c r="O484" s="3"/>
      <c r="P484" s="3"/>
      <c r="Q484" s="3"/>
      <c r="R484" s="5"/>
      <c r="S484" s="3"/>
      <c r="T484" s="3"/>
      <c r="U484" s="3"/>
      <c r="V484" s="3"/>
      <c r="W484" s="3"/>
      <c r="X484" s="3"/>
      <c r="Y484" s="3"/>
      <c r="Z484" s="3"/>
      <c r="AA484" s="3"/>
      <c r="AB484" s="34" t="s">
        <v>1479</v>
      </c>
      <c r="AC484" s="34" t="s">
        <v>140</v>
      </c>
      <c r="AD484" s="34"/>
      <c r="AE484" s="3"/>
      <c r="AF484" s="3"/>
      <c r="AG484" s="3"/>
      <c r="AH484" s="3"/>
      <c r="AI484" s="3"/>
      <c r="AJ484" s="3"/>
      <c r="AK484" s="3"/>
      <c r="AL484" s="3"/>
      <c r="AM484" s="3"/>
      <c r="AN484" s="3"/>
      <c r="AO484" s="3"/>
    </row>
    <row r="485" spans="1:41" ht="15.75" customHeight="1">
      <c r="A485" s="12"/>
      <c r="B485" s="3"/>
      <c r="C485" s="12"/>
      <c r="D485" s="3"/>
      <c r="E485" s="3"/>
      <c r="F485" s="5"/>
      <c r="G485" s="3"/>
      <c r="H485" s="3"/>
      <c r="I485" s="3"/>
      <c r="J485" s="3"/>
      <c r="K485" s="3"/>
      <c r="L485" s="3"/>
      <c r="M485" s="3"/>
      <c r="N485" s="3"/>
      <c r="O485" s="3"/>
      <c r="P485" s="3"/>
      <c r="Q485" s="3"/>
      <c r="R485" s="5"/>
      <c r="S485" s="3"/>
      <c r="T485" s="3"/>
      <c r="U485" s="3"/>
      <c r="V485" s="3"/>
      <c r="W485" s="3"/>
      <c r="X485" s="3"/>
      <c r="Y485" s="3"/>
      <c r="Z485" s="3"/>
      <c r="AA485" s="3"/>
      <c r="AB485" s="34" t="s">
        <v>1480</v>
      </c>
      <c r="AC485" s="34" t="s">
        <v>140</v>
      </c>
      <c r="AD485" s="34"/>
      <c r="AE485" s="3"/>
      <c r="AF485" s="3"/>
      <c r="AG485" s="3"/>
      <c r="AH485" s="3"/>
      <c r="AI485" s="3"/>
      <c r="AJ485" s="3"/>
      <c r="AK485" s="3"/>
      <c r="AL485" s="3"/>
      <c r="AM485" s="3"/>
      <c r="AN485" s="3"/>
      <c r="AO485" s="3"/>
    </row>
    <row r="486" spans="1:41" ht="15.75" customHeight="1">
      <c r="A486" s="12"/>
      <c r="B486" s="3"/>
      <c r="C486" s="12"/>
      <c r="D486" s="3"/>
      <c r="E486" s="3"/>
      <c r="F486" s="5"/>
      <c r="G486" s="3"/>
      <c r="H486" s="3"/>
      <c r="I486" s="3"/>
      <c r="J486" s="3"/>
      <c r="K486" s="3"/>
      <c r="L486" s="3"/>
      <c r="M486" s="3"/>
      <c r="N486" s="3"/>
      <c r="O486" s="3"/>
      <c r="P486" s="3"/>
      <c r="Q486" s="3"/>
      <c r="R486" s="5"/>
      <c r="S486" s="3"/>
      <c r="T486" s="3"/>
      <c r="U486" s="3"/>
      <c r="V486" s="3"/>
      <c r="W486" s="3"/>
      <c r="X486" s="3"/>
      <c r="Y486" s="3"/>
      <c r="Z486" s="3"/>
      <c r="AA486" s="3"/>
      <c r="AB486" s="34" t="s">
        <v>1481</v>
      </c>
      <c r="AC486" s="34" t="s">
        <v>36</v>
      </c>
      <c r="AD486" s="180" t="s">
        <v>1482</v>
      </c>
      <c r="AE486" s="3" t="s">
        <v>1483</v>
      </c>
      <c r="AF486" s="3"/>
      <c r="AG486" s="3"/>
      <c r="AH486" s="3"/>
      <c r="AI486" s="3"/>
      <c r="AJ486" s="3"/>
      <c r="AK486" s="3"/>
      <c r="AL486" s="3"/>
      <c r="AM486" s="3"/>
      <c r="AN486" s="3"/>
      <c r="AO486" s="3"/>
    </row>
    <row r="487" spans="1:41" ht="15.75" customHeight="1">
      <c r="A487" s="12"/>
      <c r="B487" s="3"/>
      <c r="C487" s="12"/>
      <c r="D487" s="3"/>
      <c r="E487" s="3"/>
      <c r="F487" s="5"/>
      <c r="G487" s="3"/>
      <c r="H487" s="3"/>
      <c r="I487" s="3"/>
      <c r="J487" s="3"/>
      <c r="K487" s="3"/>
      <c r="L487" s="3"/>
      <c r="M487" s="3"/>
      <c r="N487" s="3"/>
      <c r="O487" s="3"/>
      <c r="P487" s="3"/>
      <c r="Q487" s="3"/>
      <c r="R487" s="5"/>
      <c r="S487" s="3"/>
      <c r="T487" s="3"/>
      <c r="U487" s="3"/>
      <c r="V487" s="3"/>
      <c r="W487" s="3"/>
      <c r="X487" s="3"/>
      <c r="Y487" s="3"/>
      <c r="Z487" s="3"/>
      <c r="AA487" s="3"/>
      <c r="AB487" s="34" t="s">
        <v>1484</v>
      </c>
      <c r="AC487" s="34" t="s">
        <v>36</v>
      </c>
      <c r="AD487" s="34" t="s">
        <v>1485</v>
      </c>
      <c r="AE487" s="3"/>
      <c r="AF487" s="3"/>
      <c r="AG487" s="3"/>
      <c r="AH487" s="3"/>
      <c r="AI487" s="3"/>
      <c r="AJ487" s="3"/>
      <c r="AK487" s="3"/>
      <c r="AL487" s="3"/>
      <c r="AM487" s="3"/>
      <c r="AN487" s="3"/>
      <c r="AO487" s="3"/>
    </row>
    <row r="488" spans="1:41" ht="15.75" customHeight="1">
      <c r="A488" s="12"/>
      <c r="B488" s="3"/>
      <c r="C488" s="12"/>
      <c r="D488" s="3"/>
      <c r="E488" s="3"/>
      <c r="F488" s="5"/>
      <c r="G488" s="3"/>
      <c r="H488" s="3"/>
      <c r="I488" s="3"/>
      <c r="J488" s="3"/>
      <c r="K488" s="3"/>
      <c r="L488" s="3"/>
      <c r="M488" s="3"/>
      <c r="N488" s="3"/>
      <c r="O488" s="3"/>
      <c r="P488" s="3"/>
      <c r="Q488" s="3"/>
      <c r="R488" s="5"/>
      <c r="S488" s="3"/>
      <c r="T488" s="3"/>
      <c r="U488" s="3"/>
      <c r="V488" s="3"/>
      <c r="W488" s="3"/>
      <c r="X488" s="3"/>
      <c r="Y488" s="3"/>
      <c r="Z488" s="3"/>
      <c r="AA488" s="3"/>
      <c r="AB488" s="34" t="s">
        <v>1486</v>
      </c>
      <c r="AC488" s="34" t="s">
        <v>36</v>
      </c>
      <c r="AD488" s="25" t="s">
        <v>1487</v>
      </c>
      <c r="AE488" s="3"/>
      <c r="AF488" s="3"/>
      <c r="AG488" s="3"/>
      <c r="AH488" s="3"/>
      <c r="AI488" s="3"/>
      <c r="AJ488" s="3"/>
      <c r="AK488" s="3"/>
      <c r="AL488" s="3"/>
      <c r="AM488" s="3"/>
      <c r="AN488" s="3"/>
      <c r="AO488" s="3"/>
    </row>
    <row r="489" spans="1:41" ht="15.75" customHeight="1">
      <c r="A489" s="12"/>
      <c r="B489" s="3"/>
      <c r="C489" s="12"/>
      <c r="D489" s="3"/>
      <c r="E489" s="3"/>
      <c r="F489" s="5"/>
      <c r="G489" s="3"/>
      <c r="H489" s="3"/>
      <c r="I489" s="3"/>
      <c r="J489" s="3"/>
      <c r="K489" s="3"/>
      <c r="L489" s="3"/>
      <c r="M489" s="3"/>
      <c r="N489" s="3"/>
      <c r="O489" s="3"/>
      <c r="P489" s="3"/>
      <c r="Q489" s="3"/>
      <c r="R489" s="5"/>
      <c r="S489" s="3"/>
      <c r="T489" s="3"/>
      <c r="U489" s="3"/>
      <c r="V489" s="3"/>
      <c r="W489" s="3"/>
      <c r="X489" s="3"/>
      <c r="Y489" s="3"/>
      <c r="Z489" s="3"/>
      <c r="AA489" s="3"/>
      <c r="AB489" s="34" t="s">
        <v>1488</v>
      </c>
      <c r="AC489" s="34" t="s">
        <v>36</v>
      </c>
      <c r="AD489" s="25" t="s">
        <v>1489</v>
      </c>
      <c r="AE489" s="3"/>
      <c r="AF489" s="3"/>
      <c r="AG489" s="3"/>
      <c r="AH489" s="3"/>
      <c r="AI489" s="3"/>
      <c r="AJ489" s="3"/>
      <c r="AK489" s="3"/>
      <c r="AL489" s="3"/>
      <c r="AM489" s="3"/>
      <c r="AN489" s="3"/>
      <c r="AO489" s="3"/>
    </row>
    <row r="490" spans="1:41" ht="15.75" customHeight="1">
      <c r="A490" s="12"/>
      <c r="B490" s="3"/>
      <c r="C490" s="12"/>
      <c r="D490" s="3"/>
      <c r="E490" s="3"/>
      <c r="F490" s="5"/>
      <c r="G490" s="3"/>
      <c r="H490" s="3"/>
      <c r="I490" s="3"/>
      <c r="J490" s="3"/>
      <c r="K490" s="3"/>
      <c r="L490" s="3"/>
      <c r="M490" s="3"/>
      <c r="N490" s="3"/>
      <c r="O490" s="3"/>
      <c r="P490" s="3"/>
      <c r="Q490" s="3"/>
      <c r="R490" s="5"/>
      <c r="S490" s="3"/>
      <c r="T490" s="3"/>
      <c r="U490" s="3"/>
      <c r="V490" s="3"/>
      <c r="W490" s="3"/>
      <c r="X490" s="3"/>
      <c r="Y490" s="3"/>
      <c r="Z490" s="3"/>
      <c r="AA490" s="3"/>
      <c r="AB490" s="34" t="s">
        <v>1490</v>
      </c>
      <c r="AC490" s="34" t="s">
        <v>140</v>
      </c>
      <c r="AD490" s="34"/>
      <c r="AE490" s="3"/>
      <c r="AF490" s="3"/>
      <c r="AG490" s="3"/>
      <c r="AH490" s="3"/>
      <c r="AI490" s="3"/>
      <c r="AJ490" s="3"/>
      <c r="AK490" s="3"/>
      <c r="AL490" s="3"/>
      <c r="AM490" s="3"/>
      <c r="AN490" s="3"/>
      <c r="AO490" s="3"/>
    </row>
    <row r="491" spans="1:41" ht="15.75" customHeight="1">
      <c r="A491" s="12"/>
      <c r="B491" s="3"/>
      <c r="C491" s="12"/>
      <c r="D491" s="3"/>
      <c r="E491" s="3"/>
      <c r="F491" s="5"/>
      <c r="G491" s="3"/>
      <c r="H491" s="3"/>
      <c r="I491" s="3"/>
      <c r="J491" s="3"/>
      <c r="K491" s="3"/>
      <c r="L491" s="3"/>
      <c r="M491" s="3"/>
      <c r="N491" s="3"/>
      <c r="O491" s="3"/>
      <c r="P491" s="3"/>
      <c r="Q491" s="3"/>
      <c r="R491" s="5"/>
      <c r="S491" s="3"/>
      <c r="T491" s="3"/>
      <c r="U491" s="3"/>
      <c r="V491" s="3"/>
      <c r="W491" s="3"/>
      <c r="X491" s="3"/>
      <c r="Y491" s="3"/>
      <c r="Z491" s="3"/>
      <c r="AA491" s="3"/>
      <c r="AB491" s="34" t="s">
        <v>1491</v>
      </c>
      <c r="AC491" s="34" t="s">
        <v>140</v>
      </c>
      <c r="AD491" s="34"/>
      <c r="AE491" s="3"/>
      <c r="AF491" s="3"/>
      <c r="AG491" s="3"/>
      <c r="AH491" s="3"/>
      <c r="AI491" s="3"/>
      <c r="AJ491" s="3"/>
      <c r="AK491" s="3"/>
      <c r="AL491" s="3"/>
      <c r="AM491" s="3"/>
      <c r="AN491" s="3"/>
      <c r="AO491" s="3"/>
    </row>
    <row r="492" spans="1:41" ht="15.75" customHeight="1">
      <c r="A492" s="12"/>
      <c r="B492" s="3"/>
      <c r="C492" s="12"/>
      <c r="D492" s="3"/>
      <c r="E492" s="3"/>
      <c r="F492" s="5"/>
      <c r="G492" s="3"/>
      <c r="H492" s="3"/>
      <c r="I492" s="3"/>
      <c r="J492" s="3"/>
      <c r="K492" s="3"/>
      <c r="L492" s="3"/>
      <c r="M492" s="3"/>
      <c r="N492" s="3"/>
      <c r="O492" s="3"/>
      <c r="P492" s="3"/>
      <c r="Q492" s="3"/>
      <c r="R492" s="5"/>
      <c r="S492" s="3"/>
      <c r="T492" s="3"/>
      <c r="U492" s="3"/>
      <c r="V492" s="3"/>
      <c r="W492" s="3"/>
      <c r="X492" s="3"/>
      <c r="Y492" s="3"/>
      <c r="Z492" s="3"/>
      <c r="AA492" s="3"/>
      <c r="AB492" s="34" t="s">
        <v>1492</v>
      </c>
      <c r="AC492" s="34" t="s">
        <v>36</v>
      </c>
      <c r="AD492" s="34"/>
      <c r="AE492" s="3"/>
      <c r="AF492" s="3"/>
      <c r="AG492" s="3"/>
      <c r="AH492" s="3"/>
      <c r="AI492" s="3"/>
      <c r="AJ492" s="3"/>
      <c r="AK492" s="3"/>
      <c r="AL492" s="3"/>
      <c r="AM492" s="3"/>
      <c r="AN492" s="3"/>
      <c r="AO492" s="3"/>
    </row>
    <row r="493" spans="1:41" ht="15.75" customHeight="1">
      <c r="A493" s="12"/>
      <c r="B493" s="3"/>
      <c r="C493" s="12"/>
      <c r="D493" s="3"/>
      <c r="E493" s="3"/>
      <c r="F493" s="5"/>
      <c r="G493" s="3"/>
      <c r="H493" s="3"/>
      <c r="I493" s="3"/>
      <c r="J493" s="3"/>
      <c r="K493" s="3"/>
      <c r="L493" s="3"/>
      <c r="M493" s="3"/>
      <c r="N493" s="3"/>
      <c r="O493" s="3"/>
      <c r="P493" s="3"/>
      <c r="Q493" s="3"/>
      <c r="R493" s="5"/>
      <c r="S493" s="3"/>
      <c r="T493" s="3"/>
      <c r="U493" s="3"/>
      <c r="V493" s="3"/>
      <c r="W493" s="3"/>
      <c r="X493" s="3"/>
      <c r="Y493" s="3"/>
      <c r="Z493" s="3"/>
      <c r="AA493" s="3"/>
      <c r="AB493" s="34" t="s">
        <v>1493</v>
      </c>
      <c r="AC493" s="34" t="s">
        <v>140</v>
      </c>
      <c r="AD493" s="34"/>
      <c r="AE493" s="3"/>
      <c r="AF493" s="3"/>
      <c r="AG493" s="3"/>
      <c r="AH493" s="3"/>
      <c r="AI493" s="3"/>
      <c r="AJ493" s="3"/>
      <c r="AK493" s="3"/>
      <c r="AL493" s="3"/>
      <c r="AM493" s="3"/>
      <c r="AN493" s="3"/>
      <c r="AO493" s="3"/>
    </row>
    <row r="494" spans="1:41" ht="15.75" customHeight="1">
      <c r="A494" s="12"/>
      <c r="B494" s="3"/>
      <c r="C494" s="12"/>
      <c r="D494" s="3"/>
      <c r="E494" s="3"/>
      <c r="F494" s="5"/>
      <c r="G494" s="3"/>
      <c r="H494" s="3"/>
      <c r="I494" s="3"/>
      <c r="J494" s="3"/>
      <c r="K494" s="3"/>
      <c r="L494" s="3"/>
      <c r="M494" s="3"/>
      <c r="N494" s="3"/>
      <c r="O494" s="3"/>
      <c r="P494" s="3"/>
      <c r="Q494" s="3"/>
      <c r="R494" s="5"/>
      <c r="S494" s="3"/>
      <c r="T494" s="3"/>
      <c r="U494" s="3"/>
      <c r="V494" s="3"/>
      <c r="W494" s="3"/>
      <c r="X494" s="3"/>
      <c r="Y494" s="3"/>
      <c r="Z494" s="3"/>
      <c r="AA494" s="3"/>
      <c r="AB494" s="34" t="s">
        <v>1494</v>
      </c>
      <c r="AC494" s="34" t="s">
        <v>140</v>
      </c>
      <c r="AD494" s="34"/>
      <c r="AE494" s="3"/>
      <c r="AF494" s="3"/>
      <c r="AG494" s="3"/>
      <c r="AH494" s="3"/>
      <c r="AI494" s="3"/>
      <c r="AJ494" s="3"/>
      <c r="AK494" s="3"/>
      <c r="AL494" s="3"/>
      <c r="AM494" s="3"/>
      <c r="AN494" s="3"/>
      <c r="AO494" s="3"/>
    </row>
    <row r="495" spans="1:41" ht="15.75" customHeight="1">
      <c r="A495" s="12"/>
      <c r="B495" s="3"/>
      <c r="C495" s="12"/>
      <c r="D495" s="3"/>
      <c r="E495" s="3"/>
      <c r="F495" s="5"/>
      <c r="G495" s="3"/>
      <c r="H495" s="3"/>
      <c r="I495" s="3"/>
      <c r="J495" s="3"/>
      <c r="K495" s="3"/>
      <c r="L495" s="3"/>
      <c r="M495" s="3"/>
      <c r="N495" s="3"/>
      <c r="O495" s="3"/>
      <c r="P495" s="3"/>
      <c r="Q495" s="3"/>
      <c r="R495" s="5"/>
      <c r="S495" s="3"/>
      <c r="T495" s="3"/>
      <c r="U495" s="3"/>
      <c r="V495" s="3"/>
      <c r="W495" s="3"/>
      <c r="X495" s="3"/>
      <c r="Y495" s="3"/>
      <c r="Z495" s="3"/>
      <c r="AA495" s="3"/>
      <c r="AB495" s="34" t="s">
        <v>1495</v>
      </c>
      <c r="AC495" s="34" t="s">
        <v>140</v>
      </c>
      <c r="AD495" s="34"/>
      <c r="AE495" s="3"/>
      <c r="AF495" s="3"/>
      <c r="AG495" s="3"/>
      <c r="AH495" s="3"/>
      <c r="AI495" s="3"/>
      <c r="AJ495" s="3"/>
      <c r="AK495" s="3"/>
      <c r="AL495" s="3"/>
      <c r="AM495" s="3"/>
      <c r="AN495" s="3"/>
      <c r="AO495" s="3"/>
    </row>
    <row r="496" spans="1:41" ht="15.75" customHeight="1">
      <c r="A496" s="12"/>
      <c r="B496" s="3"/>
      <c r="C496" s="12"/>
      <c r="D496" s="3"/>
      <c r="E496" s="3"/>
      <c r="F496" s="5"/>
      <c r="G496" s="3"/>
      <c r="H496" s="3"/>
      <c r="I496" s="3"/>
      <c r="J496" s="3"/>
      <c r="K496" s="3"/>
      <c r="L496" s="3"/>
      <c r="M496" s="3"/>
      <c r="N496" s="3"/>
      <c r="O496" s="3"/>
      <c r="P496" s="3"/>
      <c r="Q496" s="3"/>
      <c r="R496" s="5"/>
      <c r="S496" s="3"/>
      <c r="T496" s="3"/>
      <c r="U496" s="3"/>
      <c r="V496" s="3"/>
      <c r="W496" s="3"/>
      <c r="X496" s="3"/>
      <c r="Y496" s="3"/>
      <c r="Z496" s="3"/>
      <c r="AA496" s="3"/>
      <c r="AB496" s="34" t="s">
        <v>1496</v>
      </c>
      <c r="AC496" s="34" t="s">
        <v>140</v>
      </c>
      <c r="AD496" s="34"/>
      <c r="AE496" s="3"/>
      <c r="AF496" s="3"/>
      <c r="AG496" s="3"/>
      <c r="AH496" s="3"/>
      <c r="AI496" s="3"/>
      <c r="AJ496" s="3"/>
      <c r="AK496" s="3"/>
      <c r="AL496" s="3"/>
      <c r="AM496" s="3"/>
      <c r="AN496" s="3"/>
      <c r="AO496" s="3"/>
    </row>
    <row r="497" spans="1:41" ht="15.75" customHeight="1">
      <c r="A497" s="12"/>
      <c r="B497" s="3"/>
      <c r="C497" s="12"/>
      <c r="D497" s="3"/>
      <c r="E497" s="3"/>
      <c r="F497" s="5"/>
      <c r="G497" s="3"/>
      <c r="H497" s="3"/>
      <c r="I497" s="3"/>
      <c r="J497" s="3"/>
      <c r="K497" s="3"/>
      <c r="L497" s="3"/>
      <c r="M497" s="3"/>
      <c r="N497" s="3"/>
      <c r="O497" s="3"/>
      <c r="P497" s="3"/>
      <c r="Q497" s="3"/>
      <c r="R497" s="5"/>
      <c r="S497" s="3"/>
      <c r="T497" s="3"/>
      <c r="U497" s="3"/>
      <c r="V497" s="3"/>
      <c r="W497" s="3"/>
      <c r="X497" s="3"/>
      <c r="Y497" s="3"/>
      <c r="Z497" s="3"/>
      <c r="AA497" s="3"/>
      <c r="AB497" s="34" t="s">
        <v>1497</v>
      </c>
      <c r="AC497" s="34" t="s">
        <v>36</v>
      </c>
      <c r="AD497" s="25" t="s">
        <v>1498</v>
      </c>
      <c r="AE497" s="3"/>
      <c r="AF497" s="3"/>
      <c r="AG497" s="3"/>
      <c r="AH497" s="3"/>
      <c r="AI497" s="3"/>
      <c r="AJ497" s="3"/>
      <c r="AK497" s="3"/>
      <c r="AL497" s="3"/>
      <c r="AM497" s="3"/>
      <c r="AN497" s="3"/>
      <c r="AO497" s="3"/>
    </row>
    <row r="498" spans="1:41" ht="15.75" customHeight="1">
      <c r="A498" s="12"/>
      <c r="B498" s="3"/>
      <c r="C498" s="12"/>
      <c r="D498" s="3"/>
      <c r="E498" s="3"/>
      <c r="F498" s="5"/>
      <c r="G498" s="3"/>
      <c r="H498" s="3"/>
      <c r="I498" s="3"/>
      <c r="J498" s="3"/>
      <c r="K498" s="3"/>
      <c r="L498" s="3"/>
      <c r="M498" s="3"/>
      <c r="N498" s="3"/>
      <c r="O498" s="3"/>
      <c r="P498" s="3"/>
      <c r="Q498" s="3"/>
      <c r="R498" s="5"/>
      <c r="S498" s="3"/>
      <c r="T498" s="3"/>
      <c r="U498" s="3"/>
      <c r="V498" s="3"/>
      <c r="W498" s="3"/>
      <c r="X498" s="3"/>
      <c r="Y498" s="3"/>
      <c r="Z498" s="3"/>
      <c r="AA498" s="3"/>
      <c r="AB498" s="34" t="s">
        <v>1499</v>
      </c>
      <c r="AC498" s="34" t="s">
        <v>140</v>
      </c>
      <c r="AD498" s="34"/>
      <c r="AE498" s="3"/>
      <c r="AF498" s="3"/>
      <c r="AG498" s="3"/>
      <c r="AH498" s="3"/>
      <c r="AI498" s="3"/>
      <c r="AJ498" s="3"/>
      <c r="AK498" s="3"/>
      <c r="AL498" s="3"/>
      <c r="AM498" s="3"/>
      <c r="AN498" s="3"/>
      <c r="AO498" s="3"/>
    </row>
    <row r="499" spans="1:41" ht="15.75" customHeight="1">
      <c r="A499" s="12"/>
      <c r="B499" s="3"/>
      <c r="C499" s="12"/>
      <c r="D499" s="3"/>
      <c r="E499" s="3"/>
      <c r="F499" s="5"/>
      <c r="G499" s="3"/>
      <c r="H499" s="3"/>
      <c r="I499" s="3"/>
      <c r="J499" s="3"/>
      <c r="K499" s="3"/>
      <c r="L499" s="3"/>
      <c r="M499" s="3"/>
      <c r="N499" s="3"/>
      <c r="O499" s="3"/>
      <c r="P499" s="3"/>
      <c r="Q499" s="3"/>
      <c r="R499" s="5"/>
      <c r="S499" s="3"/>
      <c r="T499" s="3"/>
      <c r="U499" s="3"/>
      <c r="V499" s="3"/>
      <c r="W499" s="3"/>
      <c r="X499" s="3"/>
      <c r="Y499" s="3"/>
      <c r="Z499" s="3"/>
      <c r="AA499" s="3"/>
      <c r="AB499" s="34" t="s">
        <v>1500</v>
      </c>
      <c r="AC499" s="34" t="s">
        <v>36</v>
      </c>
      <c r="AD499" s="25" t="s">
        <v>1501</v>
      </c>
      <c r="AE499" s="3" t="s">
        <v>1502</v>
      </c>
      <c r="AF499" s="3"/>
      <c r="AG499" s="3"/>
      <c r="AH499" s="3"/>
      <c r="AI499" s="3"/>
      <c r="AJ499" s="3"/>
      <c r="AK499" s="3"/>
      <c r="AL499" s="3"/>
      <c r="AM499" s="3"/>
      <c r="AN499" s="3"/>
      <c r="AO499" s="3"/>
    </row>
    <row r="500" spans="1:41" ht="15.75" customHeight="1">
      <c r="A500" s="12"/>
      <c r="B500" s="3"/>
      <c r="C500" s="12"/>
      <c r="D500" s="3"/>
      <c r="E500" s="3"/>
      <c r="F500" s="5"/>
      <c r="G500" s="3"/>
      <c r="H500" s="3"/>
      <c r="I500" s="3"/>
      <c r="J500" s="3"/>
      <c r="K500" s="3"/>
      <c r="L500" s="3"/>
      <c r="M500" s="3"/>
      <c r="N500" s="3"/>
      <c r="O500" s="3"/>
      <c r="P500" s="3"/>
      <c r="Q500" s="3"/>
      <c r="R500" s="5"/>
      <c r="S500" s="3"/>
      <c r="T500" s="3"/>
      <c r="U500" s="3"/>
      <c r="V500" s="3"/>
      <c r="W500" s="3"/>
      <c r="X500" s="3"/>
      <c r="Y500" s="3"/>
      <c r="Z500" s="3"/>
      <c r="AA500" s="3"/>
      <c r="AB500" s="34" t="s">
        <v>1503</v>
      </c>
      <c r="AC500" s="34" t="s">
        <v>36</v>
      </c>
      <c r="AD500" s="25" t="s">
        <v>1504</v>
      </c>
      <c r="AE500" s="3"/>
      <c r="AF500" s="3"/>
      <c r="AG500" s="3"/>
      <c r="AH500" s="3"/>
      <c r="AI500" s="3"/>
      <c r="AJ500" s="3"/>
      <c r="AK500" s="3"/>
      <c r="AL500" s="3"/>
      <c r="AM500" s="3"/>
      <c r="AN500" s="3"/>
      <c r="AO500" s="3"/>
    </row>
    <row r="501" spans="1:41" ht="15.75" customHeight="1">
      <c r="A501" s="12"/>
      <c r="B501" s="3"/>
      <c r="C501" s="12"/>
      <c r="D501" s="3"/>
      <c r="E501" s="3"/>
      <c r="F501" s="5"/>
      <c r="G501" s="3"/>
      <c r="H501" s="3"/>
      <c r="I501" s="3"/>
      <c r="J501" s="3"/>
      <c r="K501" s="3"/>
      <c r="L501" s="3"/>
      <c r="M501" s="3"/>
      <c r="N501" s="3"/>
      <c r="O501" s="3"/>
      <c r="P501" s="3"/>
      <c r="Q501" s="3"/>
      <c r="R501" s="5"/>
      <c r="S501" s="3"/>
      <c r="T501" s="3"/>
      <c r="U501" s="3"/>
      <c r="V501" s="3"/>
      <c r="W501" s="3"/>
      <c r="X501" s="3"/>
      <c r="Y501" s="3"/>
      <c r="Z501" s="3"/>
      <c r="AA501" s="3"/>
      <c r="AB501" s="34" t="s">
        <v>1505</v>
      </c>
      <c r="AC501" s="34" t="s">
        <v>36</v>
      </c>
      <c r="AD501" s="25" t="s">
        <v>1506</v>
      </c>
      <c r="AE501" s="3"/>
      <c r="AF501" s="3"/>
      <c r="AG501" s="3"/>
      <c r="AH501" s="3"/>
      <c r="AI501" s="3"/>
      <c r="AJ501" s="3"/>
      <c r="AK501" s="3"/>
      <c r="AL501" s="3"/>
      <c r="AM501" s="3"/>
      <c r="AN501" s="3"/>
      <c r="AO501" s="3"/>
    </row>
    <row r="502" spans="1:41" ht="15.75" customHeight="1">
      <c r="A502" s="12"/>
      <c r="B502" s="3"/>
      <c r="C502" s="12"/>
      <c r="D502" s="3"/>
      <c r="E502" s="3"/>
      <c r="F502" s="5"/>
      <c r="G502" s="3"/>
      <c r="H502" s="3"/>
      <c r="I502" s="3"/>
      <c r="J502" s="3"/>
      <c r="K502" s="3"/>
      <c r="L502" s="3"/>
      <c r="M502" s="3"/>
      <c r="N502" s="3"/>
      <c r="O502" s="3"/>
      <c r="P502" s="3"/>
      <c r="Q502" s="3"/>
      <c r="R502" s="5"/>
      <c r="S502" s="3"/>
      <c r="T502" s="3"/>
      <c r="U502" s="3"/>
      <c r="V502" s="3"/>
      <c r="W502" s="3"/>
      <c r="X502" s="3"/>
      <c r="Y502" s="3"/>
      <c r="Z502" s="3"/>
      <c r="AA502" s="3"/>
      <c r="AB502" s="34" t="s">
        <v>623</v>
      </c>
      <c r="AC502" s="34" t="s">
        <v>36</v>
      </c>
      <c r="AD502" s="25" t="s">
        <v>624</v>
      </c>
      <c r="AE502" s="3"/>
      <c r="AF502" s="3"/>
      <c r="AG502" s="3"/>
      <c r="AH502" s="3"/>
      <c r="AI502" s="3"/>
      <c r="AJ502" s="3"/>
      <c r="AK502" s="3"/>
      <c r="AL502" s="3"/>
      <c r="AM502" s="3"/>
      <c r="AN502" s="3"/>
      <c r="AO502" s="3"/>
    </row>
    <row r="503" spans="1:41" ht="15.75" customHeight="1">
      <c r="A503" s="12"/>
      <c r="B503" s="3"/>
      <c r="C503" s="12"/>
      <c r="D503" s="3"/>
      <c r="E503" s="3"/>
      <c r="F503" s="5"/>
      <c r="G503" s="3"/>
      <c r="H503" s="3"/>
      <c r="I503" s="3"/>
      <c r="J503" s="3"/>
      <c r="K503" s="3"/>
      <c r="L503" s="3"/>
      <c r="M503" s="3"/>
      <c r="N503" s="3"/>
      <c r="O503" s="3"/>
      <c r="P503" s="3"/>
      <c r="Q503" s="3"/>
      <c r="R503" s="5"/>
      <c r="S503" s="3"/>
      <c r="T503" s="3"/>
      <c r="U503" s="3"/>
      <c r="V503" s="3"/>
      <c r="W503" s="3"/>
      <c r="X503" s="3"/>
      <c r="Y503" s="3"/>
      <c r="Z503" s="3"/>
      <c r="AA503" s="3"/>
      <c r="AB503" s="34" t="s">
        <v>1507</v>
      </c>
      <c r="AC503" s="34" t="s">
        <v>36</v>
      </c>
      <c r="AD503" s="25" t="s">
        <v>1508</v>
      </c>
      <c r="AE503" s="3"/>
      <c r="AF503" s="3"/>
      <c r="AG503" s="3"/>
      <c r="AH503" s="3"/>
      <c r="AI503" s="3"/>
      <c r="AJ503" s="3"/>
      <c r="AK503" s="3"/>
      <c r="AL503" s="3"/>
      <c r="AM503" s="3"/>
      <c r="AN503" s="3"/>
      <c r="AO503" s="3"/>
    </row>
    <row r="504" spans="1:41" ht="15.75" customHeight="1">
      <c r="A504" s="12"/>
      <c r="B504" s="3"/>
      <c r="C504" s="12"/>
      <c r="D504" s="3"/>
      <c r="E504" s="3"/>
      <c r="F504" s="5"/>
      <c r="G504" s="3"/>
      <c r="H504" s="3"/>
      <c r="I504" s="3"/>
      <c r="J504" s="3"/>
      <c r="K504" s="3"/>
      <c r="L504" s="3"/>
      <c r="M504" s="3"/>
      <c r="N504" s="3"/>
      <c r="O504" s="3"/>
      <c r="P504" s="3"/>
      <c r="Q504" s="3"/>
      <c r="R504" s="5"/>
      <c r="S504" s="3"/>
      <c r="T504" s="3"/>
      <c r="U504" s="3"/>
      <c r="V504" s="3"/>
      <c r="W504" s="3"/>
      <c r="X504" s="3"/>
      <c r="Y504" s="3"/>
      <c r="Z504" s="3"/>
      <c r="AA504" s="3"/>
      <c r="AB504" s="34" t="s">
        <v>1509</v>
      </c>
      <c r="AC504" s="34" t="s">
        <v>36</v>
      </c>
      <c r="AD504" s="25" t="s">
        <v>1510</v>
      </c>
      <c r="AE504" s="3"/>
      <c r="AF504" s="3"/>
      <c r="AG504" s="3"/>
      <c r="AH504" s="3"/>
      <c r="AI504" s="3"/>
      <c r="AJ504" s="3"/>
      <c r="AK504" s="3"/>
      <c r="AL504" s="3"/>
      <c r="AM504" s="3"/>
      <c r="AN504" s="3"/>
      <c r="AO504" s="3"/>
    </row>
    <row r="505" spans="1:41" ht="15.75" customHeight="1">
      <c r="A505" s="12"/>
      <c r="B505" s="3"/>
      <c r="C505" s="12"/>
      <c r="D505" s="3"/>
      <c r="E505" s="3"/>
      <c r="F505" s="5"/>
      <c r="G505" s="3"/>
      <c r="H505" s="3"/>
      <c r="I505" s="3"/>
      <c r="J505" s="3"/>
      <c r="K505" s="3"/>
      <c r="L505" s="3"/>
      <c r="M505" s="3"/>
      <c r="N505" s="3"/>
      <c r="O505" s="3"/>
      <c r="P505" s="3"/>
      <c r="Q505" s="3"/>
      <c r="R505" s="5"/>
      <c r="S505" s="3"/>
      <c r="T505" s="3"/>
      <c r="U505" s="3"/>
      <c r="V505" s="3"/>
      <c r="W505" s="3"/>
      <c r="X505" s="3"/>
      <c r="Y505" s="3"/>
      <c r="Z505" s="3"/>
      <c r="AA505" s="3"/>
      <c r="AB505" s="34" t="s">
        <v>1511</v>
      </c>
      <c r="AC505" s="34" t="s">
        <v>36</v>
      </c>
      <c r="AD505" s="25" t="s">
        <v>1512</v>
      </c>
      <c r="AE505" s="3"/>
      <c r="AF505" s="3"/>
      <c r="AG505" s="3"/>
      <c r="AH505" s="3"/>
      <c r="AI505" s="3"/>
      <c r="AJ505" s="3"/>
      <c r="AK505" s="3"/>
      <c r="AL505" s="3"/>
      <c r="AM505" s="3"/>
      <c r="AN505" s="3"/>
      <c r="AO505" s="3"/>
    </row>
    <row r="506" spans="1:41" ht="15.75" customHeight="1">
      <c r="A506" s="12"/>
      <c r="B506" s="3"/>
      <c r="C506" s="12"/>
      <c r="D506" s="3"/>
      <c r="E506" s="3"/>
      <c r="F506" s="5"/>
      <c r="G506" s="3"/>
      <c r="H506" s="3"/>
      <c r="I506" s="3"/>
      <c r="J506" s="3"/>
      <c r="K506" s="3"/>
      <c r="L506" s="3"/>
      <c r="M506" s="3"/>
      <c r="N506" s="3"/>
      <c r="O506" s="3"/>
      <c r="P506" s="3"/>
      <c r="Q506" s="3"/>
      <c r="R506" s="5"/>
      <c r="S506" s="3"/>
      <c r="T506" s="3"/>
      <c r="U506" s="3"/>
      <c r="V506" s="3"/>
      <c r="W506" s="3"/>
      <c r="X506" s="3"/>
      <c r="Y506" s="3"/>
      <c r="Z506" s="3"/>
      <c r="AA506" s="3"/>
      <c r="AB506" s="34" t="s">
        <v>1513</v>
      </c>
      <c r="AC506" s="34" t="s">
        <v>36</v>
      </c>
      <c r="AD506" s="25" t="s">
        <v>1514</v>
      </c>
      <c r="AE506" s="3"/>
      <c r="AF506" s="3"/>
      <c r="AG506" s="3"/>
      <c r="AH506" s="3"/>
      <c r="AI506" s="3"/>
      <c r="AJ506" s="3"/>
      <c r="AK506" s="3"/>
      <c r="AL506" s="3"/>
      <c r="AM506" s="3"/>
      <c r="AN506" s="3"/>
      <c r="AO506" s="3"/>
    </row>
    <row r="507" spans="1:41" ht="15.75" customHeight="1">
      <c r="A507" s="12"/>
      <c r="B507" s="3"/>
      <c r="C507" s="12"/>
      <c r="D507" s="3"/>
      <c r="E507" s="3"/>
      <c r="F507" s="5"/>
      <c r="G507" s="3"/>
      <c r="H507" s="3"/>
      <c r="I507" s="3"/>
      <c r="J507" s="3"/>
      <c r="K507" s="3"/>
      <c r="L507" s="3"/>
      <c r="M507" s="3"/>
      <c r="N507" s="3"/>
      <c r="O507" s="3"/>
      <c r="P507" s="3"/>
      <c r="Q507" s="3"/>
      <c r="R507" s="5"/>
      <c r="S507" s="3"/>
      <c r="T507" s="3"/>
      <c r="U507" s="3"/>
      <c r="V507" s="3"/>
      <c r="W507" s="3"/>
      <c r="X507" s="3"/>
      <c r="Y507" s="3"/>
      <c r="Z507" s="3"/>
      <c r="AA507" s="3"/>
      <c r="AB507" s="34" t="s">
        <v>1515</v>
      </c>
      <c r="AC507" s="34" t="s">
        <v>36</v>
      </c>
      <c r="AD507" s="25" t="s">
        <v>1516</v>
      </c>
      <c r="AE507" s="3"/>
      <c r="AF507" s="3"/>
      <c r="AG507" s="3"/>
      <c r="AH507" s="3"/>
      <c r="AI507" s="3"/>
      <c r="AJ507" s="3"/>
      <c r="AK507" s="3"/>
      <c r="AL507" s="3"/>
      <c r="AM507" s="3"/>
      <c r="AN507" s="3"/>
      <c r="AO507" s="3"/>
    </row>
    <row r="508" spans="1:41" ht="15.75" customHeight="1">
      <c r="A508" s="12"/>
      <c r="B508" s="3"/>
      <c r="C508" s="12"/>
      <c r="D508" s="3"/>
      <c r="E508" s="3"/>
      <c r="F508" s="5"/>
      <c r="G508" s="3"/>
      <c r="H508" s="3"/>
      <c r="I508" s="3"/>
      <c r="J508" s="3"/>
      <c r="K508" s="3"/>
      <c r="L508" s="3"/>
      <c r="M508" s="3"/>
      <c r="N508" s="3"/>
      <c r="O508" s="3"/>
      <c r="P508" s="3"/>
      <c r="Q508" s="3"/>
      <c r="R508" s="5"/>
      <c r="S508" s="3"/>
      <c r="T508" s="3"/>
      <c r="U508" s="3"/>
      <c r="V508" s="3"/>
      <c r="W508" s="3"/>
      <c r="X508" s="3"/>
      <c r="Y508" s="3"/>
      <c r="Z508" s="3"/>
      <c r="AA508" s="3"/>
      <c r="AB508" s="34" t="s">
        <v>1517</v>
      </c>
      <c r="AC508" s="34" t="s">
        <v>36</v>
      </c>
      <c r="AD508" s="25" t="s">
        <v>1518</v>
      </c>
      <c r="AE508" s="3"/>
      <c r="AF508" s="3"/>
      <c r="AG508" s="3"/>
      <c r="AH508" s="3"/>
      <c r="AI508" s="3"/>
      <c r="AJ508" s="3"/>
      <c r="AK508" s="3"/>
      <c r="AL508" s="3"/>
      <c r="AM508" s="3"/>
      <c r="AN508" s="3"/>
      <c r="AO508" s="3"/>
    </row>
    <row r="509" spans="1:41" ht="15.75" customHeight="1">
      <c r="A509" s="12"/>
      <c r="B509" s="3"/>
      <c r="C509" s="12"/>
      <c r="D509" s="3"/>
      <c r="E509" s="3"/>
      <c r="F509" s="5"/>
      <c r="G509" s="3"/>
      <c r="H509" s="3"/>
      <c r="I509" s="3"/>
      <c r="J509" s="3"/>
      <c r="K509" s="3"/>
      <c r="L509" s="3"/>
      <c r="M509" s="3"/>
      <c r="N509" s="3"/>
      <c r="O509" s="3"/>
      <c r="P509" s="3"/>
      <c r="Q509" s="3"/>
      <c r="R509" s="5"/>
      <c r="S509" s="3"/>
      <c r="T509" s="3"/>
      <c r="U509" s="3"/>
      <c r="V509" s="3"/>
      <c r="W509" s="3"/>
      <c r="X509" s="3"/>
      <c r="Y509" s="3"/>
      <c r="Z509" s="3"/>
      <c r="AA509" s="3"/>
      <c r="AB509" s="34" t="s">
        <v>1519</v>
      </c>
      <c r="AC509" s="34" t="s">
        <v>36</v>
      </c>
      <c r="AD509" s="25" t="s">
        <v>1520</v>
      </c>
      <c r="AE509" s="3"/>
      <c r="AF509" s="3"/>
      <c r="AG509" s="3"/>
      <c r="AH509" s="3"/>
      <c r="AI509" s="3"/>
      <c r="AJ509" s="3"/>
      <c r="AK509" s="3"/>
      <c r="AL509" s="3"/>
      <c r="AM509" s="3"/>
      <c r="AN509" s="3"/>
      <c r="AO509" s="3"/>
    </row>
    <row r="510" spans="1:41" ht="15.75" customHeight="1">
      <c r="A510" s="12"/>
      <c r="B510" s="3"/>
      <c r="C510" s="12"/>
      <c r="D510" s="3"/>
      <c r="E510" s="3"/>
      <c r="F510" s="5"/>
      <c r="G510" s="3"/>
      <c r="H510" s="3"/>
      <c r="I510" s="3"/>
      <c r="J510" s="3"/>
      <c r="K510" s="3"/>
      <c r="L510" s="3"/>
      <c r="M510" s="3"/>
      <c r="N510" s="3"/>
      <c r="O510" s="3"/>
      <c r="P510" s="3"/>
      <c r="Q510" s="3"/>
      <c r="R510" s="5"/>
      <c r="S510" s="3"/>
      <c r="T510" s="3"/>
      <c r="U510" s="3"/>
      <c r="V510" s="3"/>
      <c r="W510" s="3"/>
      <c r="X510" s="3"/>
      <c r="Y510" s="3"/>
      <c r="Z510" s="3"/>
      <c r="AA510" s="3"/>
      <c r="AB510" s="34" t="s">
        <v>1521</v>
      </c>
      <c r="AC510" s="34" t="s">
        <v>36</v>
      </c>
      <c r="AD510" s="25" t="s">
        <v>1522</v>
      </c>
      <c r="AE510" s="3"/>
      <c r="AF510" s="3"/>
      <c r="AG510" s="3"/>
      <c r="AH510" s="3"/>
      <c r="AI510" s="3"/>
      <c r="AJ510" s="3"/>
      <c r="AK510" s="3"/>
      <c r="AL510" s="3"/>
      <c r="AM510" s="3"/>
      <c r="AN510" s="3"/>
      <c r="AO510" s="3"/>
    </row>
    <row r="511" spans="1:41" ht="15.75" customHeight="1">
      <c r="A511" s="12"/>
      <c r="B511" s="3"/>
      <c r="C511" s="12"/>
      <c r="D511" s="3"/>
      <c r="E511" s="3"/>
      <c r="F511" s="5"/>
      <c r="G511" s="3"/>
      <c r="H511" s="3"/>
      <c r="I511" s="3"/>
      <c r="J511" s="3"/>
      <c r="K511" s="3"/>
      <c r="L511" s="3"/>
      <c r="M511" s="3"/>
      <c r="N511" s="3"/>
      <c r="O511" s="3"/>
      <c r="P511" s="3"/>
      <c r="Q511" s="3"/>
      <c r="R511" s="5"/>
      <c r="S511" s="3"/>
      <c r="T511" s="3"/>
      <c r="U511" s="3"/>
      <c r="V511" s="3"/>
      <c r="W511" s="3"/>
      <c r="X511" s="3"/>
      <c r="Y511" s="3"/>
      <c r="Z511" s="3"/>
      <c r="AA511" s="3"/>
      <c r="AB511" s="34" t="s">
        <v>1523</v>
      </c>
      <c r="AC511" s="34" t="s">
        <v>36</v>
      </c>
      <c r="AD511" s="25" t="s">
        <v>1524</v>
      </c>
      <c r="AE511" s="3"/>
      <c r="AF511" s="3"/>
      <c r="AG511" s="3"/>
      <c r="AH511" s="3"/>
      <c r="AI511" s="3"/>
      <c r="AJ511" s="3"/>
      <c r="AK511" s="3"/>
      <c r="AL511" s="3"/>
      <c r="AM511" s="3"/>
      <c r="AN511" s="3"/>
      <c r="AO511" s="3"/>
    </row>
    <row r="512" spans="1:41" ht="15.75" customHeight="1">
      <c r="A512" s="12"/>
      <c r="B512" s="3"/>
      <c r="C512" s="12"/>
      <c r="D512" s="3"/>
      <c r="E512" s="3"/>
      <c r="F512" s="5"/>
      <c r="G512" s="3"/>
      <c r="H512" s="3"/>
      <c r="I512" s="3"/>
      <c r="J512" s="3"/>
      <c r="K512" s="3"/>
      <c r="L512" s="3"/>
      <c r="M512" s="3"/>
      <c r="N512" s="3"/>
      <c r="O512" s="3"/>
      <c r="P512" s="3"/>
      <c r="Q512" s="3"/>
      <c r="R512" s="5"/>
      <c r="S512" s="3"/>
      <c r="T512" s="3"/>
      <c r="U512" s="3"/>
      <c r="V512" s="3"/>
      <c r="W512" s="3"/>
      <c r="X512" s="3"/>
      <c r="Y512" s="3"/>
      <c r="Z512" s="3"/>
      <c r="AA512" s="3"/>
      <c r="AB512" s="34" t="s">
        <v>1525</v>
      </c>
      <c r="AC512" s="34" t="s">
        <v>36</v>
      </c>
      <c r="AD512" s="25" t="s">
        <v>1526</v>
      </c>
      <c r="AE512" s="3"/>
      <c r="AF512" s="3"/>
      <c r="AG512" s="3"/>
      <c r="AH512" s="3"/>
      <c r="AI512" s="3"/>
      <c r="AJ512" s="3"/>
      <c r="AK512" s="3"/>
      <c r="AL512" s="3"/>
      <c r="AM512" s="3"/>
      <c r="AN512" s="3"/>
      <c r="AO512" s="3"/>
    </row>
    <row r="513" spans="1:41" ht="15.75" customHeight="1">
      <c r="A513" s="12"/>
      <c r="B513" s="3"/>
      <c r="C513" s="12"/>
      <c r="D513" s="3"/>
      <c r="E513" s="3"/>
      <c r="F513" s="5"/>
      <c r="G513" s="3"/>
      <c r="H513" s="3"/>
      <c r="I513" s="3"/>
      <c r="J513" s="3"/>
      <c r="K513" s="3"/>
      <c r="L513" s="3"/>
      <c r="M513" s="3"/>
      <c r="N513" s="3"/>
      <c r="O513" s="3"/>
      <c r="P513" s="3"/>
      <c r="Q513" s="3"/>
      <c r="R513" s="5"/>
      <c r="S513" s="3"/>
      <c r="T513" s="3"/>
      <c r="U513" s="3"/>
      <c r="V513" s="3"/>
      <c r="W513" s="3"/>
      <c r="X513" s="3"/>
      <c r="Y513" s="3"/>
      <c r="Z513" s="3"/>
      <c r="AA513" s="3"/>
      <c r="AB513" s="34" t="s">
        <v>1527</v>
      </c>
      <c r="AC513" s="34" t="s">
        <v>36</v>
      </c>
      <c r="AD513" s="25" t="s">
        <v>1528</v>
      </c>
      <c r="AE513" s="3"/>
      <c r="AF513" s="3"/>
      <c r="AG513" s="3"/>
      <c r="AH513" s="3"/>
      <c r="AI513" s="3"/>
      <c r="AJ513" s="3"/>
      <c r="AK513" s="3"/>
      <c r="AL513" s="3"/>
      <c r="AM513" s="3"/>
      <c r="AN513" s="3"/>
      <c r="AO513" s="3"/>
    </row>
    <row r="514" spans="1:41" ht="15.75" customHeight="1">
      <c r="A514" s="12"/>
      <c r="B514" s="3"/>
      <c r="C514" s="12"/>
      <c r="D514" s="3"/>
      <c r="E514" s="3"/>
      <c r="F514" s="5"/>
      <c r="G514" s="3"/>
      <c r="H514" s="3"/>
      <c r="I514" s="3"/>
      <c r="J514" s="3"/>
      <c r="K514" s="3"/>
      <c r="L514" s="3"/>
      <c r="M514" s="3"/>
      <c r="N514" s="3"/>
      <c r="O514" s="3"/>
      <c r="P514" s="3"/>
      <c r="Q514" s="3"/>
      <c r="R514" s="5"/>
      <c r="S514" s="3"/>
      <c r="T514" s="3"/>
      <c r="U514" s="3"/>
      <c r="V514" s="3"/>
      <c r="W514" s="3"/>
      <c r="X514" s="3"/>
      <c r="Y514" s="3"/>
      <c r="Z514" s="3"/>
      <c r="AA514" s="3"/>
      <c r="AB514" s="34" t="s">
        <v>1529</v>
      </c>
      <c r="AC514" s="34" t="s">
        <v>36</v>
      </c>
      <c r="AD514" s="25" t="s">
        <v>736</v>
      </c>
      <c r="AE514" s="3"/>
      <c r="AF514" s="3"/>
      <c r="AG514" s="3"/>
      <c r="AH514" s="3"/>
      <c r="AI514" s="3"/>
      <c r="AJ514" s="3"/>
      <c r="AK514" s="3"/>
      <c r="AL514" s="3"/>
      <c r="AM514" s="3"/>
      <c r="AN514" s="3"/>
      <c r="AO514" s="3"/>
    </row>
    <row r="515" spans="1:41" ht="15.75" customHeight="1">
      <c r="A515" s="12"/>
      <c r="B515" s="3"/>
      <c r="C515" s="12"/>
      <c r="D515" s="3"/>
      <c r="E515" s="3"/>
      <c r="F515" s="5"/>
      <c r="G515" s="3"/>
      <c r="H515" s="3"/>
      <c r="I515" s="3"/>
      <c r="J515" s="3"/>
      <c r="K515" s="3"/>
      <c r="L515" s="3"/>
      <c r="M515" s="3"/>
      <c r="N515" s="3"/>
      <c r="O515" s="3"/>
      <c r="P515" s="3"/>
      <c r="Q515" s="3"/>
      <c r="R515" s="5"/>
      <c r="S515" s="3"/>
      <c r="T515" s="3"/>
      <c r="U515" s="3"/>
      <c r="V515" s="3"/>
      <c r="W515" s="3"/>
      <c r="X515" s="3"/>
      <c r="Y515" s="3"/>
      <c r="Z515" s="3"/>
      <c r="AA515" s="3"/>
      <c r="AB515" s="34" t="s">
        <v>1530</v>
      </c>
      <c r="AC515" s="34" t="s">
        <v>36</v>
      </c>
      <c r="AD515" s="25" t="s">
        <v>1531</v>
      </c>
      <c r="AE515" s="3"/>
      <c r="AF515" s="3"/>
      <c r="AG515" s="3"/>
      <c r="AH515" s="3"/>
      <c r="AI515" s="3"/>
      <c r="AJ515" s="3"/>
      <c r="AK515" s="3"/>
      <c r="AL515" s="3"/>
      <c r="AM515" s="3"/>
      <c r="AN515" s="3"/>
      <c r="AO515" s="3"/>
    </row>
    <row r="516" spans="1:41" ht="15.75" customHeight="1">
      <c r="A516" s="12"/>
      <c r="B516" s="3"/>
      <c r="C516" s="12"/>
      <c r="D516" s="3"/>
      <c r="E516" s="3"/>
      <c r="F516" s="5"/>
      <c r="G516" s="3"/>
      <c r="H516" s="3"/>
      <c r="I516" s="3"/>
      <c r="J516" s="3"/>
      <c r="K516" s="3"/>
      <c r="L516" s="3"/>
      <c r="M516" s="3"/>
      <c r="N516" s="3"/>
      <c r="O516" s="3"/>
      <c r="P516" s="3"/>
      <c r="Q516" s="3"/>
      <c r="R516" s="5"/>
      <c r="S516" s="3"/>
      <c r="T516" s="3"/>
      <c r="U516" s="3"/>
      <c r="V516" s="3"/>
      <c r="W516" s="3"/>
      <c r="X516" s="3"/>
      <c r="Y516" s="3"/>
      <c r="Z516" s="3"/>
      <c r="AA516" s="3"/>
      <c r="AB516" s="34" t="s">
        <v>1532</v>
      </c>
      <c r="AC516" s="34" t="s">
        <v>36</v>
      </c>
      <c r="AD516" s="25" t="s">
        <v>1533</v>
      </c>
      <c r="AE516" s="3"/>
      <c r="AF516" s="3"/>
      <c r="AG516" s="3"/>
      <c r="AH516" s="3"/>
      <c r="AI516" s="3"/>
      <c r="AJ516" s="3"/>
      <c r="AK516" s="3"/>
      <c r="AL516" s="3"/>
      <c r="AM516" s="3"/>
      <c r="AN516" s="3"/>
      <c r="AO516" s="3"/>
    </row>
    <row r="517" spans="1:41" ht="15.75" customHeight="1">
      <c r="A517" s="12"/>
      <c r="B517" s="3"/>
      <c r="C517" s="12"/>
      <c r="D517" s="3"/>
      <c r="E517" s="3"/>
      <c r="F517" s="5"/>
      <c r="G517" s="3"/>
      <c r="H517" s="3"/>
      <c r="I517" s="3"/>
      <c r="J517" s="3"/>
      <c r="K517" s="3"/>
      <c r="L517" s="3"/>
      <c r="M517" s="3"/>
      <c r="N517" s="3"/>
      <c r="O517" s="3"/>
      <c r="P517" s="3"/>
      <c r="Q517" s="3"/>
      <c r="R517" s="5"/>
      <c r="S517" s="3"/>
      <c r="T517" s="3"/>
      <c r="U517" s="3"/>
      <c r="V517" s="3"/>
      <c r="W517" s="3"/>
      <c r="X517" s="3"/>
      <c r="Y517" s="3"/>
      <c r="Z517" s="3"/>
      <c r="AA517" s="3"/>
      <c r="AB517" s="34" t="s">
        <v>1534</v>
      </c>
      <c r="AC517" s="34" t="s">
        <v>36</v>
      </c>
      <c r="AD517" s="34" t="s">
        <v>1535</v>
      </c>
      <c r="AE517" s="3"/>
      <c r="AF517" s="3"/>
      <c r="AG517" s="3"/>
      <c r="AH517" s="3"/>
      <c r="AI517" s="3"/>
      <c r="AJ517" s="3"/>
      <c r="AK517" s="3"/>
      <c r="AL517" s="3"/>
      <c r="AM517" s="3"/>
      <c r="AN517" s="3"/>
      <c r="AO517" s="3"/>
    </row>
    <row r="518" spans="1:41" ht="15.75" customHeight="1">
      <c r="A518" s="12"/>
      <c r="B518" s="3"/>
      <c r="C518" s="12"/>
      <c r="D518" s="3"/>
      <c r="E518" s="3"/>
      <c r="F518" s="5"/>
      <c r="G518" s="3"/>
      <c r="H518" s="3"/>
      <c r="I518" s="3"/>
      <c r="J518" s="3"/>
      <c r="K518" s="3"/>
      <c r="L518" s="3"/>
      <c r="M518" s="3"/>
      <c r="N518" s="3"/>
      <c r="O518" s="3"/>
      <c r="P518" s="3"/>
      <c r="Q518" s="3"/>
      <c r="R518" s="5"/>
      <c r="S518" s="3"/>
      <c r="T518" s="3"/>
      <c r="U518" s="3"/>
      <c r="V518" s="3"/>
      <c r="W518" s="3"/>
      <c r="X518" s="3"/>
      <c r="Y518" s="3"/>
      <c r="Z518" s="3"/>
      <c r="AA518" s="3"/>
      <c r="AB518" s="34" t="s">
        <v>1536</v>
      </c>
      <c r="AC518" s="34" t="s">
        <v>36</v>
      </c>
      <c r="AD518" s="25" t="s">
        <v>1537</v>
      </c>
      <c r="AE518" s="3"/>
      <c r="AF518" s="3"/>
      <c r="AG518" s="3"/>
      <c r="AH518" s="3"/>
      <c r="AI518" s="3"/>
      <c r="AJ518" s="3"/>
      <c r="AK518" s="3"/>
      <c r="AL518" s="3"/>
      <c r="AM518" s="3"/>
      <c r="AN518" s="3"/>
      <c r="AO518" s="3"/>
    </row>
    <row r="519" spans="1:41" ht="15.75" customHeight="1">
      <c r="A519" s="12"/>
      <c r="B519" s="3"/>
      <c r="C519" s="12"/>
      <c r="D519" s="3"/>
      <c r="E519" s="3"/>
      <c r="F519" s="5"/>
      <c r="G519" s="3"/>
      <c r="H519" s="3"/>
      <c r="I519" s="3"/>
      <c r="J519" s="3"/>
      <c r="K519" s="3"/>
      <c r="L519" s="3"/>
      <c r="M519" s="3"/>
      <c r="N519" s="3"/>
      <c r="O519" s="3"/>
      <c r="P519" s="3"/>
      <c r="Q519" s="3"/>
      <c r="R519" s="5"/>
      <c r="S519" s="3"/>
      <c r="T519" s="3"/>
      <c r="U519" s="3"/>
      <c r="V519" s="3"/>
      <c r="W519" s="3"/>
      <c r="X519" s="3"/>
      <c r="Y519" s="3"/>
      <c r="Z519" s="3"/>
      <c r="AA519" s="3"/>
      <c r="AB519" s="34" t="s">
        <v>1538</v>
      </c>
      <c r="AC519" s="34" t="s">
        <v>36</v>
      </c>
      <c r="AD519" s="25" t="s">
        <v>1539</v>
      </c>
      <c r="AE519" s="3"/>
      <c r="AF519" s="3"/>
      <c r="AG519" s="3"/>
      <c r="AH519" s="3"/>
      <c r="AI519" s="3"/>
      <c r="AJ519" s="3"/>
      <c r="AK519" s="3"/>
      <c r="AL519" s="3"/>
      <c r="AM519" s="3"/>
      <c r="AN519" s="3"/>
      <c r="AO519" s="3"/>
    </row>
    <row r="520" spans="1:41" ht="15.75" customHeight="1">
      <c r="A520" s="12"/>
      <c r="B520" s="3"/>
      <c r="C520" s="12"/>
      <c r="D520" s="3"/>
      <c r="E520" s="3"/>
      <c r="F520" s="5"/>
      <c r="G520" s="3"/>
      <c r="H520" s="3"/>
      <c r="I520" s="3"/>
      <c r="J520" s="3"/>
      <c r="K520" s="3"/>
      <c r="L520" s="3"/>
      <c r="M520" s="3"/>
      <c r="N520" s="3"/>
      <c r="O520" s="3"/>
      <c r="P520" s="3"/>
      <c r="Q520" s="3"/>
      <c r="R520" s="5"/>
      <c r="S520" s="3"/>
      <c r="T520" s="3"/>
      <c r="U520" s="3"/>
      <c r="V520" s="3"/>
      <c r="W520" s="3"/>
      <c r="X520" s="3"/>
      <c r="Y520" s="3"/>
      <c r="Z520" s="3"/>
      <c r="AA520" s="3"/>
      <c r="AB520" s="34" t="s">
        <v>1540</v>
      </c>
      <c r="AC520" s="34" t="s">
        <v>36</v>
      </c>
      <c r="AD520" s="25" t="s">
        <v>1541</v>
      </c>
      <c r="AE520" s="3"/>
      <c r="AF520" s="3"/>
      <c r="AG520" s="3"/>
      <c r="AH520" s="3"/>
      <c r="AI520" s="3"/>
      <c r="AJ520" s="3"/>
      <c r="AK520" s="3"/>
      <c r="AL520" s="3"/>
      <c r="AM520" s="3"/>
      <c r="AN520" s="3"/>
      <c r="AO520" s="3"/>
    </row>
    <row r="521" spans="1:41" ht="15.75" customHeight="1">
      <c r="A521" s="12"/>
      <c r="B521" s="3"/>
      <c r="C521" s="12"/>
      <c r="D521" s="3"/>
      <c r="E521" s="3"/>
      <c r="F521" s="5"/>
      <c r="G521" s="3"/>
      <c r="H521" s="3"/>
      <c r="I521" s="3"/>
      <c r="J521" s="3"/>
      <c r="K521" s="3"/>
      <c r="L521" s="3"/>
      <c r="M521" s="3"/>
      <c r="N521" s="3"/>
      <c r="O521" s="3"/>
      <c r="P521" s="3"/>
      <c r="Q521" s="3"/>
      <c r="R521" s="5"/>
      <c r="S521" s="3"/>
      <c r="T521" s="3"/>
      <c r="U521" s="3"/>
      <c r="V521" s="3"/>
      <c r="W521" s="3"/>
      <c r="X521" s="3"/>
      <c r="Y521" s="3"/>
      <c r="Z521" s="3"/>
      <c r="AA521" s="3"/>
      <c r="AB521" s="34" t="s">
        <v>1542</v>
      </c>
      <c r="AC521" s="34" t="s">
        <v>36</v>
      </c>
      <c r="AD521" s="25" t="s">
        <v>1543</v>
      </c>
      <c r="AE521" s="3"/>
      <c r="AF521" s="3"/>
      <c r="AG521" s="3"/>
      <c r="AH521" s="3"/>
      <c r="AI521" s="3"/>
      <c r="AJ521" s="3"/>
      <c r="AK521" s="3"/>
      <c r="AL521" s="3"/>
      <c r="AM521" s="3"/>
      <c r="AN521" s="3"/>
      <c r="AO521" s="3"/>
    </row>
    <row r="522" spans="1:41" ht="15.75" customHeight="1">
      <c r="A522" s="12"/>
      <c r="B522" s="3"/>
      <c r="C522" s="12"/>
      <c r="D522" s="3"/>
      <c r="E522" s="3"/>
      <c r="F522" s="5"/>
      <c r="G522" s="3"/>
      <c r="H522" s="3"/>
      <c r="I522" s="3"/>
      <c r="J522" s="3"/>
      <c r="K522" s="3"/>
      <c r="L522" s="3"/>
      <c r="M522" s="3"/>
      <c r="N522" s="3"/>
      <c r="O522" s="3"/>
      <c r="P522" s="3"/>
      <c r="Q522" s="3"/>
      <c r="R522" s="5"/>
      <c r="S522" s="3"/>
      <c r="T522" s="3"/>
      <c r="U522" s="3"/>
      <c r="V522" s="3"/>
      <c r="W522" s="3"/>
      <c r="X522" s="3"/>
      <c r="Y522" s="3"/>
      <c r="Z522" s="3"/>
      <c r="AA522" s="3"/>
      <c r="AB522" s="34" t="s">
        <v>1544</v>
      </c>
      <c r="AC522" s="34" t="s">
        <v>36</v>
      </c>
      <c r="AD522" s="25" t="s">
        <v>1545</v>
      </c>
      <c r="AE522" s="3"/>
      <c r="AF522" s="3"/>
      <c r="AG522" s="3"/>
      <c r="AH522" s="3"/>
      <c r="AI522" s="3"/>
      <c r="AJ522" s="3"/>
      <c r="AK522" s="3"/>
      <c r="AL522" s="3"/>
      <c r="AM522" s="3"/>
      <c r="AN522" s="3"/>
      <c r="AO522" s="3"/>
    </row>
    <row r="523" spans="1:41" ht="15.75" customHeight="1">
      <c r="A523" s="12"/>
      <c r="B523" s="3"/>
      <c r="C523" s="12"/>
      <c r="D523" s="3"/>
      <c r="E523" s="3"/>
      <c r="F523" s="5"/>
      <c r="G523" s="3"/>
      <c r="H523" s="3"/>
      <c r="I523" s="3"/>
      <c r="J523" s="3"/>
      <c r="K523" s="3"/>
      <c r="L523" s="3"/>
      <c r="M523" s="3"/>
      <c r="N523" s="3"/>
      <c r="O523" s="3"/>
      <c r="P523" s="3"/>
      <c r="Q523" s="3"/>
      <c r="R523" s="5"/>
      <c r="S523" s="3"/>
      <c r="T523" s="3"/>
      <c r="U523" s="3"/>
      <c r="V523" s="3"/>
      <c r="W523" s="3"/>
      <c r="X523" s="3"/>
      <c r="Y523" s="3"/>
      <c r="Z523" s="3"/>
      <c r="AA523" s="3"/>
      <c r="AB523" s="34" t="s">
        <v>1546</v>
      </c>
      <c r="AC523" s="34" t="s">
        <v>36</v>
      </c>
      <c r="AD523" s="25" t="s">
        <v>1547</v>
      </c>
      <c r="AE523" s="3"/>
      <c r="AF523" s="3"/>
      <c r="AG523" s="3"/>
      <c r="AH523" s="3"/>
      <c r="AI523" s="3"/>
      <c r="AJ523" s="3"/>
      <c r="AK523" s="3"/>
      <c r="AL523" s="3"/>
      <c r="AM523" s="3"/>
      <c r="AN523" s="3"/>
      <c r="AO523" s="3"/>
    </row>
    <row r="524" spans="1:41" ht="15.75" customHeight="1">
      <c r="A524" s="12"/>
      <c r="B524" s="3"/>
      <c r="C524" s="12"/>
      <c r="D524" s="3"/>
      <c r="E524" s="3"/>
      <c r="F524" s="5"/>
      <c r="G524" s="3"/>
      <c r="H524" s="3"/>
      <c r="I524" s="3"/>
      <c r="J524" s="3"/>
      <c r="K524" s="3"/>
      <c r="L524" s="3"/>
      <c r="M524" s="3"/>
      <c r="N524" s="3"/>
      <c r="O524" s="3"/>
      <c r="P524" s="3"/>
      <c r="Q524" s="3"/>
      <c r="R524" s="5"/>
      <c r="S524" s="3"/>
      <c r="T524" s="3"/>
      <c r="U524" s="3"/>
      <c r="V524" s="3"/>
      <c r="W524" s="3"/>
      <c r="X524" s="3"/>
      <c r="Y524" s="3"/>
      <c r="Z524" s="3"/>
      <c r="AA524" s="3"/>
      <c r="AB524" s="34" t="s">
        <v>1548</v>
      </c>
      <c r="AC524" s="34" t="s">
        <v>36</v>
      </c>
      <c r="AD524" s="25" t="s">
        <v>1549</v>
      </c>
      <c r="AE524" s="3"/>
      <c r="AF524" s="3"/>
      <c r="AG524" s="3"/>
      <c r="AH524" s="3"/>
      <c r="AI524" s="3"/>
      <c r="AJ524" s="3"/>
      <c r="AK524" s="3"/>
      <c r="AL524" s="3"/>
      <c r="AM524" s="3"/>
      <c r="AN524" s="3"/>
      <c r="AO524" s="3"/>
    </row>
    <row r="525" spans="1:41" ht="15.75" customHeight="1">
      <c r="A525" s="12"/>
      <c r="B525" s="3"/>
      <c r="C525" s="12"/>
      <c r="D525" s="3"/>
      <c r="E525" s="3"/>
      <c r="F525" s="5"/>
      <c r="G525" s="3"/>
      <c r="H525" s="3"/>
      <c r="I525" s="3"/>
      <c r="J525" s="3"/>
      <c r="K525" s="3"/>
      <c r="L525" s="3"/>
      <c r="M525" s="3"/>
      <c r="N525" s="3"/>
      <c r="O525" s="3"/>
      <c r="P525" s="3"/>
      <c r="Q525" s="3"/>
      <c r="R525" s="5"/>
      <c r="S525" s="3"/>
      <c r="T525" s="3"/>
      <c r="U525" s="3"/>
      <c r="V525" s="3"/>
      <c r="W525" s="3"/>
      <c r="X525" s="3"/>
      <c r="Y525" s="3"/>
      <c r="Z525" s="3"/>
      <c r="AA525" s="3"/>
      <c r="AB525" s="34" t="s">
        <v>1550</v>
      </c>
      <c r="AC525" s="34" t="s">
        <v>36</v>
      </c>
      <c r="AD525" s="34"/>
      <c r="AE525" s="3"/>
      <c r="AF525" s="3"/>
      <c r="AG525" s="3"/>
      <c r="AH525" s="3"/>
      <c r="AI525" s="3"/>
      <c r="AJ525" s="3"/>
      <c r="AK525" s="3"/>
      <c r="AL525" s="3"/>
      <c r="AM525" s="3"/>
      <c r="AN525" s="3"/>
      <c r="AO525" s="3"/>
    </row>
    <row r="526" spans="1:41" ht="15.75" customHeight="1">
      <c r="A526" s="12"/>
      <c r="B526" s="3"/>
      <c r="C526" s="12"/>
      <c r="D526" s="3"/>
      <c r="E526" s="3"/>
      <c r="F526" s="5"/>
      <c r="G526" s="3"/>
      <c r="H526" s="3"/>
      <c r="I526" s="3"/>
      <c r="J526" s="3"/>
      <c r="K526" s="3"/>
      <c r="L526" s="3"/>
      <c r="M526" s="3"/>
      <c r="N526" s="3"/>
      <c r="O526" s="3"/>
      <c r="P526" s="3"/>
      <c r="Q526" s="3"/>
      <c r="R526" s="5"/>
      <c r="S526" s="3"/>
      <c r="T526" s="3"/>
      <c r="U526" s="3"/>
      <c r="V526" s="3"/>
      <c r="W526" s="3"/>
      <c r="X526" s="3"/>
      <c r="Y526" s="3"/>
      <c r="Z526" s="3"/>
      <c r="AA526" s="3"/>
      <c r="AB526" s="34" t="s">
        <v>1551</v>
      </c>
      <c r="AC526" s="34" t="s">
        <v>36</v>
      </c>
      <c r="AD526" s="25" t="s">
        <v>1552</v>
      </c>
      <c r="AE526" s="3"/>
      <c r="AF526" s="3"/>
      <c r="AG526" s="3"/>
      <c r="AH526" s="3"/>
      <c r="AI526" s="3"/>
      <c r="AJ526" s="3"/>
      <c r="AK526" s="3"/>
      <c r="AL526" s="3"/>
      <c r="AM526" s="3"/>
      <c r="AN526" s="3"/>
      <c r="AO526" s="3"/>
    </row>
    <row r="527" spans="1:41" ht="15.75" customHeight="1">
      <c r="A527" s="12"/>
      <c r="B527" s="3"/>
      <c r="C527" s="12"/>
      <c r="D527" s="3"/>
      <c r="E527" s="3"/>
      <c r="F527" s="5"/>
      <c r="G527" s="3"/>
      <c r="H527" s="3"/>
      <c r="I527" s="3"/>
      <c r="J527" s="3"/>
      <c r="K527" s="3"/>
      <c r="L527" s="3"/>
      <c r="M527" s="3"/>
      <c r="N527" s="3"/>
      <c r="O527" s="3"/>
      <c r="P527" s="3"/>
      <c r="Q527" s="3"/>
      <c r="R527" s="5"/>
      <c r="S527" s="3"/>
      <c r="T527" s="3"/>
      <c r="U527" s="3"/>
      <c r="V527" s="3"/>
      <c r="W527" s="3"/>
      <c r="X527" s="3"/>
      <c r="Y527" s="3"/>
      <c r="Z527" s="3"/>
      <c r="AA527" s="3"/>
      <c r="AB527" s="34" t="s">
        <v>1553</v>
      </c>
      <c r="AC527" s="34" t="s">
        <v>36</v>
      </c>
      <c r="AD527" s="25" t="s">
        <v>1554</v>
      </c>
      <c r="AE527" s="3"/>
      <c r="AF527" s="3"/>
      <c r="AG527" s="3"/>
      <c r="AH527" s="3"/>
      <c r="AI527" s="3"/>
      <c r="AJ527" s="3"/>
      <c r="AK527" s="3"/>
      <c r="AL527" s="3"/>
      <c r="AM527" s="3"/>
      <c r="AN527" s="3"/>
      <c r="AO527" s="3"/>
    </row>
    <row r="528" spans="1:41" ht="15.75" customHeight="1">
      <c r="A528" s="12"/>
      <c r="B528" s="3"/>
      <c r="C528" s="12"/>
      <c r="D528" s="3"/>
      <c r="E528" s="3"/>
      <c r="F528" s="5"/>
      <c r="G528" s="3"/>
      <c r="H528" s="3"/>
      <c r="I528" s="3"/>
      <c r="J528" s="3"/>
      <c r="K528" s="3"/>
      <c r="L528" s="3"/>
      <c r="M528" s="3"/>
      <c r="N528" s="3"/>
      <c r="O528" s="3"/>
      <c r="P528" s="3"/>
      <c r="Q528" s="3"/>
      <c r="R528" s="5"/>
      <c r="S528" s="3"/>
      <c r="T528" s="3"/>
      <c r="U528" s="3"/>
      <c r="V528" s="3"/>
      <c r="W528" s="3"/>
      <c r="X528" s="3"/>
      <c r="Y528" s="3"/>
      <c r="Z528" s="3"/>
      <c r="AA528" s="3"/>
      <c r="AB528" s="34" t="s">
        <v>1555</v>
      </c>
      <c r="AC528" s="34" t="s">
        <v>36</v>
      </c>
      <c r="AD528" s="25" t="s">
        <v>1556</v>
      </c>
      <c r="AE528" s="3"/>
      <c r="AF528" s="3"/>
      <c r="AG528" s="3"/>
      <c r="AH528" s="3"/>
      <c r="AI528" s="3"/>
      <c r="AJ528" s="3"/>
      <c r="AK528" s="3"/>
      <c r="AL528" s="3"/>
      <c r="AM528" s="3"/>
      <c r="AN528" s="3"/>
      <c r="AO528" s="3"/>
    </row>
    <row r="529" spans="1:41" ht="15.75" customHeight="1">
      <c r="A529" s="12"/>
      <c r="B529" s="3"/>
      <c r="C529" s="12"/>
      <c r="D529" s="3"/>
      <c r="E529" s="3"/>
      <c r="F529" s="5"/>
      <c r="G529" s="3"/>
      <c r="H529" s="3"/>
      <c r="I529" s="3"/>
      <c r="J529" s="3"/>
      <c r="K529" s="3"/>
      <c r="L529" s="3"/>
      <c r="M529" s="3"/>
      <c r="N529" s="3"/>
      <c r="O529" s="3"/>
      <c r="P529" s="3"/>
      <c r="Q529" s="3"/>
      <c r="R529" s="5"/>
      <c r="S529" s="3"/>
      <c r="T529" s="3"/>
      <c r="U529" s="3"/>
      <c r="V529" s="3"/>
      <c r="W529" s="3"/>
      <c r="X529" s="3"/>
      <c r="Y529" s="3"/>
      <c r="Z529" s="3"/>
      <c r="AA529" s="3"/>
      <c r="AB529" s="34" t="s">
        <v>1557</v>
      </c>
      <c r="AC529" s="34" t="s">
        <v>36</v>
      </c>
      <c r="AD529" s="25" t="s">
        <v>1558</v>
      </c>
      <c r="AE529" s="3"/>
      <c r="AF529" s="3"/>
      <c r="AG529" s="3"/>
      <c r="AH529" s="3"/>
      <c r="AI529" s="3"/>
      <c r="AJ529" s="3"/>
      <c r="AK529" s="3"/>
      <c r="AL529" s="3"/>
      <c r="AM529" s="3"/>
      <c r="AN529" s="3"/>
      <c r="AO529" s="3"/>
    </row>
    <row r="530" spans="1:41" ht="15.75" customHeight="1">
      <c r="A530" s="12"/>
      <c r="B530" s="3"/>
      <c r="C530" s="12"/>
      <c r="D530" s="3"/>
      <c r="E530" s="3"/>
      <c r="F530" s="5"/>
      <c r="G530" s="3"/>
      <c r="H530" s="3"/>
      <c r="I530" s="3"/>
      <c r="J530" s="3"/>
      <c r="K530" s="3"/>
      <c r="L530" s="3"/>
      <c r="M530" s="3"/>
      <c r="N530" s="3"/>
      <c r="O530" s="3"/>
      <c r="P530" s="3"/>
      <c r="Q530" s="3"/>
      <c r="R530" s="5"/>
      <c r="S530" s="3"/>
      <c r="T530" s="3"/>
      <c r="U530" s="3"/>
      <c r="V530" s="3"/>
      <c r="W530" s="3"/>
      <c r="X530" s="3"/>
      <c r="Y530" s="3"/>
      <c r="Z530" s="3"/>
      <c r="AA530" s="3"/>
      <c r="AB530" s="34" t="s">
        <v>1559</v>
      </c>
      <c r="AC530" s="34" t="s">
        <v>36</v>
      </c>
      <c r="AD530" s="25" t="s">
        <v>1403</v>
      </c>
      <c r="AE530" s="3"/>
      <c r="AF530" s="3"/>
      <c r="AG530" s="3"/>
      <c r="AH530" s="3"/>
      <c r="AI530" s="3"/>
      <c r="AJ530" s="3"/>
      <c r="AK530" s="3"/>
      <c r="AL530" s="3"/>
      <c r="AM530" s="3"/>
      <c r="AN530" s="3"/>
      <c r="AO530" s="3"/>
    </row>
    <row r="531" spans="1:41" ht="15.75" customHeight="1">
      <c r="A531" s="12"/>
      <c r="B531" s="3"/>
      <c r="C531" s="12"/>
      <c r="D531" s="3"/>
      <c r="E531" s="3"/>
      <c r="F531" s="5"/>
      <c r="G531" s="3"/>
      <c r="H531" s="3"/>
      <c r="I531" s="3"/>
      <c r="J531" s="3"/>
      <c r="K531" s="3"/>
      <c r="L531" s="3"/>
      <c r="M531" s="3"/>
      <c r="N531" s="3"/>
      <c r="O531" s="3"/>
      <c r="P531" s="3"/>
      <c r="Q531" s="3"/>
      <c r="R531" s="5"/>
      <c r="S531" s="3"/>
      <c r="T531" s="3"/>
      <c r="U531" s="3"/>
      <c r="V531" s="3"/>
      <c r="W531" s="3"/>
      <c r="X531" s="3"/>
      <c r="Y531" s="3"/>
      <c r="Z531" s="3"/>
      <c r="AA531" s="3"/>
      <c r="AB531" s="34" t="s">
        <v>1560</v>
      </c>
      <c r="AC531" s="34" t="s">
        <v>36</v>
      </c>
      <c r="AD531" s="25" t="s">
        <v>1561</v>
      </c>
      <c r="AE531" s="3"/>
      <c r="AF531" s="3"/>
      <c r="AG531" s="3"/>
      <c r="AH531" s="3"/>
      <c r="AI531" s="3"/>
      <c r="AJ531" s="3"/>
      <c r="AK531" s="3"/>
      <c r="AL531" s="3"/>
      <c r="AM531" s="3"/>
      <c r="AN531" s="3"/>
      <c r="AO531" s="3"/>
    </row>
    <row r="532" spans="1:41" ht="15.75" customHeight="1">
      <c r="A532" s="12"/>
      <c r="B532" s="3"/>
      <c r="C532" s="12"/>
      <c r="D532" s="3"/>
      <c r="E532" s="3"/>
      <c r="F532" s="5"/>
      <c r="G532" s="3"/>
      <c r="H532" s="3"/>
      <c r="I532" s="3"/>
      <c r="J532" s="3"/>
      <c r="K532" s="3"/>
      <c r="L532" s="3"/>
      <c r="M532" s="3"/>
      <c r="N532" s="3"/>
      <c r="O532" s="3"/>
      <c r="P532" s="3"/>
      <c r="Q532" s="3"/>
      <c r="R532" s="5"/>
      <c r="S532" s="3"/>
      <c r="T532" s="3"/>
      <c r="U532" s="3"/>
      <c r="V532" s="3"/>
      <c r="W532" s="3"/>
      <c r="X532" s="3"/>
      <c r="Y532" s="3"/>
      <c r="Z532" s="3"/>
      <c r="AA532" s="3"/>
      <c r="AB532" s="34" t="s">
        <v>1562</v>
      </c>
      <c r="AC532" s="34" t="s">
        <v>36</v>
      </c>
      <c r="AD532" s="25" t="s">
        <v>1563</v>
      </c>
      <c r="AE532" s="3"/>
      <c r="AF532" s="3"/>
      <c r="AG532" s="3"/>
      <c r="AH532" s="3"/>
      <c r="AI532" s="3"/>
      <c r="AJ532" s="3"/>
      <c r="AK532" s="3"/>
      <c r="AL532" s="3"/>
      <c r="AM532" s="3"/>
      <c r="AN532" s="3"/>
      <c r="AO532" s="3"/>
    </row>
    <row r="533" spans="1:41" ht="15.75" customHeight="1">
      <c r="A533" s="12"/>
      <c r="B533" s="3"/>
      <c r="C533" s="12"/>
      <c r="D533" s="3"/>
      <c r="E533" s="3"/>
      <c r="F533" s="5"/>
      <c r="G533" s="3"/>
      <c r="H533" s="3"/>
      <c r="I533" s="3"/>
      <c r="J533" s="3"/>
      <c r="K533" s="3"/>
      <c r="L533" s="3"/>
      <c r="M533" s="3"/>
      <c r="N533" s="3"/>
      <c r="O533" s="3"/>
      <c r="P533" s="3"/>
      <c r="Q533" s="3"/>
      <c r="R533" s="5"/>
      <c r="S533" s="3"/>
      <c r="T533" s="3"/>
      <c r="U533" s="3"/>
      <c r="V533" s="3"/>
      <c r="W533" s="3"/>
      <c r="X533" s="3"/>
      <c r="Y533" s="3"/>
      <c r="Z533" s="3"/>
      <c r="AA533" s="3"/>
      <c r="AB533" s="34" t="s">
        <v>1564</v>
      </c>
      <c r="AC533" s="34" t="s">
        <v>36</v>
      </c>
      <c r="AD533" s="25" t="s">
        <v>1565</v>
      </c>
      <c r="AE533" s="3"/>
      <c r="AF533" s="3"/>
      <c r="AG533" s="3"/>
      <c r="AH533" s="3"/>
      <c r="AI533" s="3"/>
      <c r="AJ533" s="3"/>
      <c r="AK533" s="3"/>
      <c r="AL533" s="3"/>
      <c r="AM533" s="3"/>
      <c r="AN533" s="3"/>
      <c r="AO533" s="3"/>
    </row>
    <row r="534" spans="1:41" ht="15.75" customHeight="1">
      <c r="A534" s="12"/>
      <c r="B534" s="3"/>
      <c r="C534" s="12"/>
      <c r="D534" s="3"/>
      <c r="E534" s="3"/>
      <c r="F534" s="5"/>
      <c r="G534" s="3"/>
      <c r="H534" s="3"/>
      <c r="I534" s="3"/>
      <c r="J534" s="3"/>
      <c r="K534" s="3"/>
      <c r="L534" s="3"/>
      <c r="M534" s="3"/>
      <c r="N534" s="3"/>
      <c r="O534" s="3"/>
      <c r="P534" s="3"/>
      <c r="Q534" s="3"/>
      <c r="R534" s="5"/>
      <c r="S534" s="3"/>
      <c r="T534" s="3"/>
      <c r="U534" s="3"/>
      <c r="V534" s="3"/>
      <c r="W534" s="3"/>
      <c r="X534" s="3"/>
      <c r="Y534" s="3"/>
      <c r="Z534" s="3"/>
      <c r="AA534" s="3"/>
      <c r="AB534" s="34" t="s">
        <v>1566</v>
      </c>
      <c r="AC534" s="34" t="s">
        <v>36</v>
      </c>
      <c r="AD534" s="25" t="s">
        <v>1567</v>
      </c>
      <c r="AE534" s="3"/>
      <c r="AF534" s="3"/>
      <c r="AG534" s="3"/>
      <c r="AH534" s="3"/>
      <c r="AI534" s="3"/>
      <c r="AJ534" s="3"/>
      <c r="AK534" s="3"/>
      <c r="AL534" s="3"/>
      <c r="AM534" s="3"/>
      <c r="AN534" s="3"/>
      <c r="AO534" s="3"/>
    </row>
    <row r="535" spans="1:41" ht="15.75" customHeight="1">
      <c r="A535" s="12"/>
      <c r="B535" s="3"/>
      <c r="C535" s="12"/>
      <c r="D535" s="3"/>
      <c r="E535" s="3"/>
      <c r="F535" s="5"/>
      <c r="G535" s="3"/>
      <c r="H535" s="3"/>
      <c r="I535" s="3"/>
      <c r="J535" s="3"/>
      <c r="K535" s="3"/>
      <c r="L535" s="3"/>
      <c r="M535" s="3"/>
      <c r="N535" s="3"/>
      <c r="O535" s="3"/>
      <c r="P535" s="3"/>
      <c r="Q535" s="3"/>
      <c r="R535" s="5"/>
      <c r="S535" s="3"/>
      <c r="T535" s="3"/>
      <c r="U535" s="3"/>
      <c r="V535" s="3"/>
      <c r="W535" s="3"/>
      <c r="X535" s="3"/>
      <c r="Y535" s="3"/>
      <c r="Z535" s="3"/>
      <c r="AA535" s="3"/>
      <c r="AB535" s="34" t="s">
        <v>1568</v>
      </c>
      <c r="AC535" s="34" t="s">
        <v>36</v>
      </c>
      <c r="AD535" s="25" t="s">
        <v>1569</v>
      </c>
      <c r="AE535" s="3"/>
      <c r="AF535" s="3"/>
      <c r="AG535" s="3"/>
      <c r="AH535" s="3"/>
      <c r="AI535" s="3"/>
      <c r="AJ535" s="3"/>
      <c r="AK535" s="3"/>
      <c r="AL535" s="3"/>
      <c r="AM535" s="3"/>
      <c r="AN535" s="3"/>
      <c r="AO535" s="3"/>
    </row>
    <row r="536" spans="1:41" ht="15.75" customHeight="1">
      <c r="A536" s="12"/>
      <c r="B536" s="3"/>
      <c r="C536" s="12"/>
      <c r="D536" s="3"/>
      <c r="E536" s="3"/>
      <c r="F536" s="5"/>
      <c r="G536" s="3"/>
      <c r="H536" s="3"/>
      <c r="I536" s="3"/>
      <c r="J536" s="3"/>
      <c r="K536" s="3"/>
      <c r="L536" s="3"/>
      <c r="M536" s="3"/>
      <c r="N536" s="3"/>
      <c r="O536" s="3"/>
      <c r="P536" s="3"/>
      <c r="Q536" s="3"/>
      <c r="R536" s="5"/>
      <c r="S536" s="3"/>
      <c r="T536" s="3"/>
      <c r="U536" s="3"/>
      <c r="V536" s="3"/>
      <c r="W536" s="3"/>
      <c r="X536" s="3"/>
      <c r="Y536" s="3"/>
      <c r="Z536" s="3"/>
      <c r="AA536" s="3"/>
      <c r="AB536" s="34" t="s">
        <v>1570</v>
      </c>
      <c r="AC536" s="34" t="s">
        <v>36</v>
      </c>
      <c r="AD536" s="25" t="s">
        <v>1571</v>
      </c>
      <c r="AE536" s="3"/>
      <c r="AF536" s="3"/>
      <c r="AG536" s="3"/>
      <c r="AH536" s="3"/>
      <c r="AI536" s="3"/>
      <c r="AJ536" s="3"/>
      <c r="AK536" s="3"/>
      <c r="AL536" s="3"/>
      <c r="AM536" s="3"/>
      <c r="AN536" s="3"/>
      <c r="AO536" s="3"/>
    </row>
    <row r="537" spans="1:41" ht="15.75" customHeight="1">
      <c r="A537" s="12"/>
      <c r="B537" s="3"/>
      <c r="C537" s="12"/>
      <c r="D537" s="3"/>
      <c r="E537" s="3"/>
      <c r="F537" s="5"/>
      <c r="G537" s="3"/>
      <c r="H537" s="3"/>
      <c r="I537" s="3"/>
      <c r="J537" s="3"/>
      <c r="K537" s="3"/>
      <c r="L537" s="3"/>
      <c r="M537" s="3"/>
      <c r="N537" s="3"/>
      <c r="O537" s="3"/>
      <c r="P537" s="3"/>
      <c r="Q537" s="3"/>
      <c r="R537" s="5"/>
      <c r="S537" s="3"/>
      <c r="T537" s="3"/>
      <c r="U537" s="3"/>
      <c r="V537" s="3"/>
      <c r="W537" s="3"/>
      <c r="X537" s="3"/>
      <c r="Y537" s="3"/>
      <c r="Z537" s="3"/>
      <c r="AA537" s="3"/>
      <c r="AB537" s="34" t="s">
        <v>1572</v>
      </c>
      <c r="AC537" s="34" t="s">
        <v>36</v>
      </c>
      <c r="AD537" s="25" t="s">
        <v>1573</v>
      </c>
      <c r="AE537" s="3"/>
      <c r="AF537" s="3"/>
      <c r="AG537" s="3"/>
      <c r="AH537" s="3"/>
      <c r="AI537" s="3"/>
      <c r="AJ537" s="3"/>
      <c r="AK537" s="3"/>
      <c r="AL537" s="3"/>
      <c r="AM537" s="3"/>
      <c r="AN537" s="3"/>
      <c r="AO537" s="3"/>
    </row>
    <row r="538" spans="1:41" ht="15.75" customHeight="1">
      <c r="A538" s="12"/>
      <c r="B538" s="3"/>
      <c r="C538" s="12"/>
      <c r="D538" s="3"/>
      <c r="E538" s="3"/>
      <c r="F538" s="5"/>
      <c r="G538" s="3"/>
      <c r="H538" s="3"/>
      <c r="I538" s="3"/>
      <c r="J538" s="3"/>
      <c r="K538" s="3"/>
      <c r="L538" s="3"/>
      <c r="M538" s="3"/>
      <c r="N538" s="3"/>
      <c r="O538" s="3"/>
      <c r="P538" s="3"/>
      <c r="Q538" s="3"/>
      <c r="R538" s="5"/>
      <c r="S538" s="3"/>
      <c r="T538" s="3"/>
      <c r="U538" s="3"/>
      <c r="V538" s="3"/>
      <c r="W538" s="3"/>
      <c r="X538" s="3"/>
      <c r="Y538" s="3"/>
      <c r="Z538" s="3"/>
      <c r="AA538" s="3"/>
      <c r="AB538" s="34" t="s">
        <v>1574</v>
      </c>
      <c r="AC538" s="34" t="s">
        <v>36</v>
      </c>
      <c r="AD538" s="25" t="s">
        <v>1575</v>
      </c>
      <c r="AE538" s="3"/>
      <c r="AF538" s="3"/>
      <c r="AG538" s="3"/>
      <c r="AH538" s="3"/>
      <c r="AI538" s="3"/>
      <c r="AJ538" s="3"/>
      <c r="AK538" s="3"/>
      <c r="AL538" s="3"/>
      <c r="AM538" s="3"/>
      <c r="AN538" s="3"/>
      <c r="AO538" s="3"/>
    </row>
    <row r="539" spans="1:41" ht="15.75" customHeight="1">
      <c r="A539" s="12"/>
      <c r="B539" s="3"/>
      <c r="C539" s="12"/>
      <c r="D539" s="3"/>
      <c r="E539" s="3"/>
      <c r="F539" s="5"/>
      <c r="G539" s="3"/>
      <c r="H539" s="3"/>
      <c r="I539" s="3"/>
      <c r="J539" s="3"/>
      <c r="K539" s="3"/>
      <c r="L539" s="3"/>
      <c r="M539" s="3"/>
      <c r="N539" s="3"/>
      <c r="O539" s="3"/>
      <c r="P539" s="3"/>
      <c r="Q539" s="3"/>
      <c r="R539" s="5"/>
      <c r="S539" s="3"/>
      <c r="T539" s="3"/>
      <c r="U539" s="3"/>
      <c r="V539" s="3"/>
      <c r="W539" s="3"/>
      <c r="X539" s="3"/>
      <c r="Y539" s="3"/>
      <c r="Z539" s="3"/>
      <c r="AA539" s="3"/>
      <c r="AB539" s="34" t="s">
        <v>1576</v>
      </c>
      <c r="AC539" s="34" t="s">
        <v>36</v>
      </c>
      <c r="AD539" s="25" t="s">
        <v>1577</v>
      </c>
      <c r="AE539" s="3"/>
      <c r="AF539" s="3"/>
      <c r="AG539" s="3"/>
      <c r="AH539" s="3"/>
      <c r="AI539" s="3"/>
      <c r="AJ539" s="3"/>
      <c r="AK539" s="3"/>
      <c r="AL539" s="3"/>
      <c r="AM539" s="3"/>
      <c r="AN539" s="3"/>
      <c r="AO539" s="3"/>
    </row>
    <row r="540" spans="1:41" ht="15.75" customHeight="1">
      <c r="A540" s="12"/>
      <c r="B540" s="3"/>
      <c r="C540" s="12"/>
      <c r="D540" s="3"/>
      <c r="E540" s="3"/>
      <c r="F540" s="5"/>
      <c r="G540" s="3"/>
      <c r="H540" s="3"/>
      <c r="I540" s="3"/>
      <c r="J540" s="3"/>
      <c r="K540" s="3"/>
      <c r="L540" s="3"/>
      <c r="M540" s="3"/>
      <c r="N540" s="3"/>
      <c r="O540" s="3"/>
      <c r="P540" s="3"/>
      <c r="Q540" s="3"/>
      <c r="R540" s="5"/>
      <c r="S540" s="3"/>
      <c r="T540" s="3"/>
      <c r="U540" s="3"/>
      <c r="V540" s="3"/>
      <c r="W540" s="3"/>
      <c r="X540" s="3"/>
      <c r="Y540" s="3"/>
      <c r="Z540" s="3"/>
      <c r="AA540" s="3"/>
      <c r="AB540" s="34" t="s">
        <v>1578</v>
      </c>
      <c r="AC540" s="34" t="s">
        <v>36</v>
      </c>
      <c r="AD540" s="25" t="s">
        <v>1579</v>
      </c>
      <c r="AE540" s="3"/>
      <c r="AF540" s="3"/>
      <c r="AG540" s="3"/>
      <c r="AH540" s="3"/>
      <c r="AI540" s="3"/>
      <c r="AJ540" s="3"/>
      <c r="AK540" s="3"/>
      <c r="AL540" s="3"/>
      <c r="AM540" s="3"/>
      <c r="AN540" s="3"/>
      <c r="AO540" s="3"/>
    </row>
    <row r="541" spans="1:41" ht="15.75" customHeight="1">
      <c r="A541" s="12"/>
      <c r="B541" s="3"/>
      <c r="C541" s="12"/>
      <c r="D541" s="3"/>
      <c r="E541" s="3"/>
      <c r="F541" s="5"/>
      <c r="G541" s="3"/>
      <c r="H541" s="3"/>
      <c r="I541" s="3"/>
      <c r="J541" s="3"/>
      <c r="K541" s="3"/>
      <c r="L541" s="3"/>
      <c r="M541" s="3"/>
      <c r="N541" s="3"/>
      <c r="O541" s="3"/>
      <c r="P541" s="3"/>
      <c r="Q541" s="3"/>
      <c r="R541" s="5"/>
      <c r="S541" s="3"/>
      <c r="T541" s="3"/>
      <c r="U541" s="3"/>
      <c r="V541" s="3"/>
      <c r="W541" s="3"/>
      <c r="X541" s="3"/>
      <c r="Y541" s="3"/>
      <c r="Z541" s="3"/>
      <c r="AA541" s="3"/>
      <c r="AB541" s="34" t="s">
        <v>1580</v>
      </c>
      <c r="AC541" s="34" t="s">
        <v>36</v>
      </c>
      <c r="AD541" s="25" t="s">
        <v>1581</v>
      </c>
      <c r="AE541" s="3"/>
      <c r="AF541" s="3"/>
      <c r="AG541" s="3"/>
      <c r="AH541" s="3"/>
      <c r="AI541" s="3"/>
      <c r="AJ541" s="3"/>
      <c r="AK541" s="3"/>
      <c r="AL541" s="3"/>
      <c r="AM541" s="3"/>
      <c r="AN541" s="3"/>
      <c r="AO541" s="3"/>
    </row>
    <row r="542" spans="1:41" ht="15.75" customHeight="1">
      <c r="A542" s="12"/>
      <c r="B542" s="3"/>
      <c r="C542" s="12"/>
      <c r="D542" s="3"/>
      <c r="E542" s="3"/>
      <c r="F542" s="5"/>
      <c r="G542" s="3"/>
      <c r="H542" s="3"/>
      <c r="I542" s="3"/>
      <c r="J542" s="3"/>
      <c r="K542" s="3"/>
      <c r="L542" s="3"/>
      <c r="M542" s="3"/>
      <c r="N542" s="3"/>
      <c r="O542" s="3"/>
      <c r="P542" s="3"/>
      <c r="Q542" s="3"/>
      <c r="R542" s="5"/>
      <c r="S542" s="3"/>
      <c r="T542" s="3"/>
      <c r="U542" s="3"/>
      <c r="V542" s="3"/>
      <c r="W542" s="3"/>
      <c r="X542" s="3"/>
      <c r="Y542" s="3"/>
      <c r="Z542" s="3"/>
      <c r="AA542" s="3"/>
      <c r="AB542" s="34" t="s">
        <v>1582</v>
      </c>
      <c r="AC542" s="34" t="s">
        <v>36</v>
      </c>
      <c r="AD542" s="25" t="s">
        <v>1583</v>
      </c>
      <c r="AE542" s="3"/>
      <c r="AF542" s="3"/>
      <c r="AG542" s="3"/>
      <c r="AH542" s="3"/>
      <c r="AI542" s="3"/>
      <c r="AJ542" s="3"/>
      <c r="AK542" s="3"/>
      <c r="AL542" s="3"/>
      <c r="AM542" s="3"/>
      <c r="AN542" s="3"/>
      <c r="AO542" s="3"/>
    </row>
    <row r="543" spans="1:41" ht="15.75" customHeight="1">
      <c r="A543" s="12"/>
      <c r="B543" s="3"/>
      <c r="C543" s="12"/>
      <c r="D543" s="3"/>
      <c r="E543" s="3"/>
      <c r="F543" s="5"/>
      <c r="G543" s="3"/>
      <c r="H543" s="3"/>
      <c r="I543" s="3"/>
      <c r="J543" s="3"/>
      <c r="K543" s="3"/>
      <c r="L543" s="3"/>
      <c r="M543" s="3"/>
      <c r="N543" s="3"/>
      <c r="O543" s="3"/>
      <c r="P543" s="3"/>
      <c r="Q543" s="3"/>
      <c r="R543" s="5"/>
      <c r="S543" s="3"/>
      <c r="T543" s="3"/>
      <c r="U543" s="3"/>
      <c r="V543" s="3"/>
      <c r="W543" s="3"/>
      <c r="X543" s="3"/>
      <c r="Y543" s="3"/>
      <c r="Z543" s="3"/>
      <c r="AA543" s="3"/>
      <c r="AB543" s="34" t="s">
        <v>1584</v>
      </c>
      <c r="AC543" s="34"/>
      <c r="AD543" s="25" t="s">
        <v>1585</v>
      </c>
      <c r="AE543" s="3"/>
      <c r="AF543" s="3"/>
      <c r="AG543" s="3"/>
      <c r="AH543" s="3"/>
      <c r="AI543" s="3"/>
      <c r="AJ543" s="3"/>
      <c r="AK543" s="3"/>
      <c r="AL543" s="3"/>
      <c r="AM543" s="3"/>
      <c r="AN543" s="3"/>
      <c r="AO543" s="3"/>
    </row>
    <row r="544" spans="1:41" ht="15.75" customHeight="1">
      <c r="A544" s="12"/>
      <c r="B544" s="3"/>
      <c r="C544" s="12"/>
      <c r="D544" s="3"/>
      <c r="E544" s="3"/>
      <c r="F544" s="5"/>
      <c r="G544" s="3"/>
      <c r="H544" s="3"/>
      <c r="I544" s="3"/>
      <c r="J544" s="3"/>
      <c r="K544" s="3"/>
      <c r="L544" s="3"/>
      <c r="M544" s="3"/>
      <c r="N544" s="3"/>
      <c r="O544" s="3"/>
      <c r="P544" s="3"/>
      <c r="Q544" s="3"/>
      <c r="R544" s="5"/>
      <c r="S544" s="3"/>
      <c r="T544" s="3"/>
      <c r="U544" s="3"/>
      <c r="V544" s="3"/>
      <c r="W544" s="3"/>
      <c r="X544" s="3"/>
      <c r="Y544" s="3"/>
      <c r="Z544" s="3"/>
      <c r="AA544" s="3"/>
      <c r="AB544" s="34" t="s">
        <v>1586</v>
      </c>
      <c r="AC544" s="34" t="s">
        <v>36</v>
      </c>
      <c r="AD544" s="25" t="s">
        <v>1587</v>
      </c>
      <c r="AE544" s="3"/>
      <c r="AF544" s="3"/>
      <c r="AG544" s="3"/>
      <c r="AH544" s="3"/>
      <c r="AI544" s="3"/>
      <c r="AJ544" s="3"/>
      <c r="AK544" s="3"/>
      <c r="AL544" s="3"/>
      <c r="AM544" s="3"/>
      <c r="AN544" s="3"/>
      <c r="AO544" s="3"/>
    </row>
    <row r="545" spans="1:41" ht="15.75" customHeight="1">
      <c r="A545" s="12"/>
      <c r="B545" s="3"/>
      <c r="C545" s="12"/>
      <c r="D545" s="3"/>
      <c r="E545" s="3"/>
      <c r="F545" s="5"/>
      <c r="G545" s="3"/>
      <c r="H545" s="3"/>
      <c r="I545" s="3"/>
      <c r="J545" s="3"/>
      <c r="K545" s="3"/>
      <c r="L545" s="3"/>
      <c r="M545" s="3"/>
      <c r="N545" s="3"/>
      <c r="O545" s="3"/>
      <c r="P545" s="3"/>
      <c r="Q545" s="3"/>
      <c r="R545" s="5"/>
      <c r="S545" s="3"/>
      <c r="T545" s="3"/>
      <c r="U545" s="3"/>
      <c r="V545" s="3"/>
      <c r="W545" s="3"/>
      <c r="X545" s="3"/>
      <c r="Y545" s="3"/>
      <c r="Z545" s="3"/>
      <c r="AA545" s="3"/>
      <c r="AB545" s="34" t="s">
        <v>1588</v>
      </c>
      <c r="AC545" s="34" t="s">
        <v>36</v>
      </c>
      <c r="AD545" s="25" t="s">
        <v>1589</v>
      </c>
      <c r="AE545" s="3"/>
      <c r="AF545" s="3"/>
      <c r="AG545" s="3"/>
      <c r="AH545" s="3"/>
      <c r="AI545" s="3"/>
      <c r="AJ545" s="3"/>
      <c r="AK545" s="3"/>
      <c r="AL545" s="3"/>
      <c r="AM545" s="3"/>
      <c r="AN545" s="3"/>
      <c r="AO545" s="3"/>
    </row>
    <row r="546" spans="1:41" ht="15.75" customHeight="1">
      <c r="A546" s="12"/>
      <c r="B546" s="3"/>
      <c r="C546" s="12"/>
      <c r="D546" s="3"/>
      <c r="E546" s="3"/>
      <c r="F546" s="5"/>
      <c r="G546" s="3"/>
      <c r="H546" s="3"/>
      <c r="I546" s="3"/>
      <c r="J546" s="3"/>
      <c r="K546" s="3"/>
      <c r="L546" s="3"/>
      <c r="M546" s="3"/>
      <c r="N546" s="3"/>
      <c r="O546" s="3"/>
      <c r="P546" s="3"/>
      <c r="Q546" s="3"/>
      <c r="R546" s="5"/>
      <c r="S546" s="3"/>
      <c r="T546" s="3"/>
      <c r="U546" s="3"/>
      <c r="V546" s="3"/>
      <c r="W546" s="3"/>
      <c r="X546" s="3"/>
      <c r="Y546" s="3"/>
      <c r="Z546" s="3"/>
      <c r="AA546" s="3"/>
      <c r="AB546" s="34" t="s">
        <v>1590</v>
      </c>
      <c r="AC546" s="34" t="s">
        <v>36</v>
      </c>
      <c r="AD546" s="25" t="s">
        <v>1591</v>
      </c>
      <c r="AE546" s="3"/>
      <c r="AF546" s="3"/>
      <c r="AG546" s="3"/>
      <c r="AH546" s="3"/>
      <c r="AI546" s="3"/>
      <c r="AJ546" s="3"/>
      <c r="AK546" s="3"/>
      <c r="AL546" s="3"/>
      <c r="AM546" s="3"/>
      <c r="AN546" s="3"/>
      <c r="AO546" s="3"/>
    </row>
    <row r="547" spans="1:41" ht="15.75" customHeight="1">
      <c r="A547" s="12"/>
      <c r="B547" s="3"/>
      <c r="C547" s="12"/>
      <c r="D547" s="3"/>
      <c r="E547" s="3"/>
      <c r="F547" s="5"/>
      <c r="G547" s="3"/>
      <c r="H547" s="3"/>
      <c r="I547" s="3"/>
      <c r="J547" s="3"/>
      <c r="K547" s="3"/>
      <c r="L547" s="3"/>
      <c r="M547" s="3"/>
      <c r="N547" s="3"/>
      <c r="O547" s="3"/>
      <c r="P547" s="3"/>
      <c r="Q547" s="3"/>
      <c r="R547" s="5"/>
      <c r="S547" s="3"/>
      <c r="T547" s="3"/>
      <c r="U547" s="3"/>
      <c r="V547" s="3"/>
      <c r="W547" s="3"/>
      <c r="X547" s="3"/>
      <c r="Y547" s="3"/>
      <c r="Z547" s="3"/>
      <c r="AA547" s="3"/>
      <c r="AB547" s="34" t="s">
        <v>1592</v>
      </c>
      <c r="AC547" s="34" t="s">
        <v>36</v>
      </c>
      <c r="AD547" s="25" t="s">
        <v>1593</v>
      </c>
      <c r="AE547" s="3"/>
      <c r="AF547" s="3"/>
      <c r="AG547" s="3"/>
      <c r="AH547" s="3"/>
      <c r="AI547" s="3"/>
      <c r="AJ547" s="3"/>
      <c r="AK547" s="3"/>
      <c r="AL547" s="3"/>
      <c r="AM547" s="3"/>
      <c r="AN547" s="3"/>
      <c r="AO547" s="3"/>
    </row>
    <row r="548" spans="1:41" ht="15.75" customHeight="1">
      <c r="A548" s="12"/>
      <c r="B548" s="3"/>
      <c r="C548" s="12"/>
      <c r="D548" s="3"/>
      <c r="E548" s="3"/>
      <c r="F548" s="5"/>
      <c r="G548" s="3"/>
      <c r="H548" s="3"/>
      <c r="I548" s="3"/>
      <c r="J548" s="3"/>
      <c r="K548" s="3"/>
      <c r="L548" s="3"/>
      <c r="M548" s="3"/>
      <c r="N548" s="3"/>
      <c r="O548" s="3"/>
      <c r="P548" s="3"/>
      <c r="Q548" s="3"/>
      <c r="R548" s="5"/>
      <c r="S548" s="3"/>
      <c r="T548" s="3"/>
      <c r="U548" s="3"/>
      <c r="V548" s="3"/>
      <c r="W548" s="3"/>
      <c r="X548" s="3"/>
      <c r="Y548" s="3"/>
      <c r="Z548" s="3"/>
      <c r="AA548" s="3"/>
      <c r="AB548" s="34" t="s">
        <v>1594</v>
      </c>
      <c r="AC548" s="34" t="s">
        <v>36</v>
      </c>
      <c r="AD548" s="25" t="s">
        <v>1595</v>
      </c>
      <c r="AE548" s="3"/>
      <c r="AF548" s="3"/>
      <c r="AG548" s="3"/>
      <c r="AH548" s="3"/>
      <c r="AI548" s="3"/>
      <c r="AJ548" s="3"/>
      <c r="AK548" s="3"/>
      <c r="AL548" s="3"/>
      <c r="AM548" s="3"/>
      <c r="AN548" s="3"/>
      <c r="AO548" s="3"/>
    </row>
    <row r="549" spans="1:41" ht="15.75" customHeight="1">
      <c r="A549" s="12"/>
      <c r="B549" s="3"/>
      <c r="C549" s="12"/>
      <c r="D549" s="3"/>
      <c r="E549" s="3"/>
      <c r="F549" s="5"/>
      <c r="G549" s="3"/>
      <c r="H549" s="3"/>
      <c r="I549" s="3"/>
      <c r="J549" s="3"/>
      <c r="K549" s="3"/>
      <c r="L549" s="3"/>
      <c r="M549" s="3"/>
      <c r="N549" s="3"/>
      <c r="O549" s="3"/>
      <c r="P549" s="3"/>
      <c r="Q549" s="3"/>
      <c r="R549" s="5"/>
      <c r="S549" s="3"/>
      <c r="T549" s="3"/>
      <c r="U549" s="3"/>
      <c r="V549" s="3"/>
      <c r="W549" s="3"/>
      <c r="X549" s="3"/>
      <c r="Y549" s="3"/>
      <c r="Z549" s="3"/>
      <c r="AA549" s="3"/>
      <c r="AB549" s="34" t="s">
        <v>1596</v>
      </c>
      <c r="AC549" s="34" t="s">
        <v>36</v>
      </c>
      <c r="AD549" s="25" t="s">
        <v>1597</v>
      </c>
      <c r="AE549" s="3"/>
      <c r="AF549" s="3"/>
      <c r="AG549" s="3"/>
      <c r="AH549" s="3"/>
      <c r="AI549" s="3"/>
      <c r="AJ549" s="3"/>
      <c r="AK549" s="3"/>
      <c r="AL549" s="3"/>
      <c r="AM549" s="3"/>
      <c r="AN549" s="3"/>
      <c r="AO549" s="3"/>
    </row>
    <row r="550" spans="1:41" ht="15.75" customHeight="1">
      <c r="A550" s="12"/>
      <c r="B550" s="3"/>
      <c r="C550" s="12"/>
      <c r="D550" s="3"/>
      <c r="E550" s="3"/>
      <c r="F550" s="5"/>
      <c r="G550" s="3"/>
      <c r="H550" s="3"/>
      <c r="I550" s="3"/>
      <c r="J550" s="3"/>
      <c r="K550" s="3"/>
      <c r="L550" s="3"/>
      <c r="M550" s="3"/>
      <c r="N550" s="3"/>
      <c r="O550" s="3"/>
      <c r="P550" s="3"/>
      <c r="Q550" s="3"/>
      <c r="R550" s="5"/>
      <c r="S550" s="3"/>
      <c r="T550" s="3"/>
      <c r="U550" s="3"/>
      <c r="V550" s="3"/>
      <c r="W550" s="3"/>
      <c r="X550" s="3"/>
      <c r="Y550" s="3"/>
      <c r="Z550" s="3"/>
      <c r="AA550" s="3"/>
      <c r="AB550" s="34" t="s">
        <v>1598</v>
      </c>
      <c r="AC550" s="34" t="s">
        <v>36</v>
      </c>
      <c r="AD550" s="25" t="s">
        <v>1599</v>
      </c>
      <c r="AE550" s="3"/>
      <c r="AF550" s="3"/>
      <c r="AG550" s="3"/>
      <c r="AH550" s="3"/>
      <c r="AI550" s="3"/>
      <c r="AJ550" s="3"/>
      <c r="AK550" s="3"/>
      <c r="AL550" s="3"/>
      <c r="AM550" s="3"/>
      <c r="AN550" s="3"/>
      <c r="AO550" s="3"/>
    </row>
    <row r="551" spans="1:41" ht="15.75" customHeight="1">
      <c r="A551" s="12"/>
      <c r="B551" s="3"/>
      <c r="C551" s="12"/>
      <c r="D551" s="3"/>
      <c r="E551" s="3"/>
      <c r="F551" s="5"/>
      <c r="G551" s="3"/>
      <c r="H551" s="3"/>
      <c r="I551" s="3"/>
      <c r="J551" s="3"/>
      <c r="K551" s="3"/>
      <c r="L551" s="3"/>
      <c r="M551" s="3"/>
      <c r="N551" s="3"/>
      <c r="O551" s="3"/>
      <c r="P551" s="3"/>
      <c r="Q551" s="3"/>
      <c r="R551" s="5"/>
      <c r="S551" s="3"/>
      <c r="T551" s="3"/>
      <c r="U551" s="3"/>
      <c r="V551" s="3"/>
      <c r="W551" s="3"/>
      <c r="X551" s="3"/>
      <c r="Y551" s="3"/>
      <c r="Z551" s="3"/>
      <c r="AA551" s="3"/>
      <c r="AB551" s="34" t="s">
        <v>1600</v>
      </c>
      <c r="AC551" s="34" t="s">
        <v>36</v>
      </c>
      <c r="AD551" s="25" t="s">
        <v>1601</v>
      </c>
      <c r="AE551" s="3"/>
      <c r="AF551" s="3"/>
      <c r="AG551" s="3"/>
      <c r="AH551" s="3"/>
      <c r="AI551" s="3"/>
      <c r="AJ551" s="3"/>
      <c r="AK551" s="3"/>
      <c r="AL551" s="3"/>
      <c r="AM551" s="3"/>
      <c r="AN551" s="3"/>
      <c r="AO551" s="3"/>
    </row>
    <row r="552" spans="1:41" ht="15.75" customHeight="1">
      <c r="A552" s="12"/>
      <c r="B552" s="3"/>
      <c r="C552" s="12"/>
      <c r="D552" s="3"/>
      <c r="E552" s="3"/>
      <c r="F552" s="5"/>
      <c r="G552" s="3"/>
      <c r="H552" s="3"/>
      <c r="I552" s="3"/>
      <c r="J552" s="3"/>
      <c r="K552" s="3"/>
      <c r="L552" s="3"/>
      <c r="M552" s="3"/>
      <c r="N552" s="3"/>
      <c r="O552" s="3"/>
      <c r="P552" s="3"/>
      <c r="Q552" s="3"/>
      <c r="R552" s="5"/>
      <c r="S552" s="3"/>
      <c r="T552" s="3"/>
      <c r="U552" s="3"/>
      <c r="V552" s="3"/>
      <c r="W552" s="3"/>
      <c r="X552" s="3"/>
      <c r="Y552" s="3"/>
      <c r="Z552" s="3"/>
      <c r="AA552" s="3"/>
      <c r="AB552" s="34" t="s">
        <v>1602</v>
      </c>
      <c r="AC552" s="34" t="s">
        <v>36</v>
      </c>
      <c r="AD552" s="25" t="s">
        <v>1603</v>
      </c>
      <c r="AE552" s="3"/>
      <c r="AF552" s="3"/>
      <c r="AG552" s="3"/>
      <c r="AH552" s="3"/>
      <c r="AI552" s="3"/>
      <c r="AJ552" s="3"/>
      <c r="AK552" s="3"/>
      <c r="AL552" s="3"/>
      <c r="AM552" s="3"/>
      <c r="AN552" s="3"/>
      <c r="AO552" s="3"/>
    </row>
    <row r="553" spans="1:41" ht="15.75" customHeight="1">
      <c r="A553" s="12"/>
      <c r="B553" s="3"/>
      <c r="C553" s="12"/>
      <c r="D553" s="3"/>
      <c r="E553" s="3"/>
      <c r="F553" s="5"/>
      <c r="G553" s="3"/>
      <c r="H553" s="3"/>
      <c r="I553" s="3"/>
      <c r="J553" s="3"/>
      <c r="K553" s="3"/>
      <c r="L553" s="3"/>
      <c r="M553" s="3"/>
      <c r="N553" s="3"/>
      <c r="O553" s="3"/>
      <c r="P553" s="3"/>
      <c r="Q553" s="3"/>
      <c r="R553" s="5"/>
      <c r="S553" s="3"/>
      <c r="T553" s="3"/>
      <c r="U553" s="3"/>
      <c r="V553" s="3"/>
      <c r="W553" s="3"/>
      <c r="X553" s="3"/>
      <c r="Y553" s="3"/>
      <c r="Z553" s="3"/>
      <c r="AA553" s="3"/>
      <c r="AB553" s="34" t="s">
        <v>1604</v>
      </c>
      <c r="AC553" s="34" t="s">
        <v>36</v>
      </c>
      <c r="AD553" s="25" t="s">
        <v>1605</v>
      </c>
      <c r="AE553" s="3"/>
      <c r="AF553" s="3"/>
      <c r="AG553" s="3"/>
      <c r="AH553" s="3"/>
      <c r="AI553" s="3"/>
      <c r="AJ553" s="3"/>
      <c r="AK553" s="3"/>
      <c r="AL553" s="3"/>
      <c r="AM553" s="3"/>
      <c r="AN553" s="3"/>
      <c r="AO553" s="3"/>
    </row>
    <row r="554" spans="1:41" ht="15.75" customHeight="1">
      <c r="A554" s="12"/>
      <c r="B554" s="3"/>
      <c r="C554" s="12"/>
      <c r="D554" s="3"/>
      <c r="E554" s="3"/>
      <c r="F554" s="5"/>
      <c r="G554" s="3"/>
      <c r="H554" s="3"/>
      <c r="I554" s="3"/>
      <c r="J554" s="3"/>
      <c r="K554" s="3"/>
      <c r="L554" s="3"/>
      <c r="M554" s="3"/>
      <c r="N554" s="3"/>
      <c r="O554" s="3"/>
      <c r="P554" s="3"/>
      <c r="Q554" s="3"/>
      <c r="R554" s="5"/>
      <c r="S554" s="3"/>
      <c r="T554" s="3"/>
      <c r="U554" s="3"/>
      <c r="V554" s="3"/>
      <c r="W554" s="3"/>
      <c r="X554" s="3"/>
      <c r="Y554" s="3"/>
      <c r="Z554" s="3"/>
      <c r="AA554" s="3"/>
      <c r="AB554" s="34" t="s">
        <v>1606</v>
      </c>
      <c r="AC554" s="34" t="s">
        <v>36</v>
      </c>
      <c r="AD554" s="25" t="s">
        <v>1607</v>
      </c>
      <c r="AE554" s="3"/>
      <c r="AF554" s="3"/>
      <c r="AG554" s="3"/>
      <c r="AH554" s="3"/>
      <c r="AI554" s="3"/>
      <c r="AJ554" s="3"/>
      <c r="AK554" s="3"/>
      <c r="AL554" s="3"/>
      <c r="AM554" s="3"/>
      <c r="AN554" s="3"/>
      <c r="AO554" s="3"/>
    </row>
    <row r="555" spans="1:41" ht="15.75" customHeight="1">
      <c r="A555" s="12"/>
      <c r="B555" s="3"/>
      <c r="C555" s="12"/>
      <c r="D555" s="3"/>
      <c r="E555" s="3"/>
      <c r="F555" s="5"/>
      <c r="G555" s="3"/>
      <c r="H555" s="3"/>
      <c r="I555" s="3"/>
      <c r="J555" s="3"/>
      <c r="K555" s="3"/>
      <c r="L555" s="3"/>
      <c r="M555" s="3"/>
      <c r="N555" s="3"/>
      <c r="O555" s="3"/>
      <c r="P555" s="3"/>
      <c r="Q555" s="3"/>
      <c r="R555" s="5"/>
      <c r="S555" s="3"/>
      <c r="T555" s="3"/>
      <c r="U555" s="3"/>
      <c r="V555" s="3"/>
      <c r="W555" s="3"/>
      <c r="X555" s="3"/>
      <c r="Y555" s="3"/>
      <c r="Z555" s="3"/>
      <c r="AA555" s="3"/>
      <c r="AB555" s="34" t="s">
        <v>1608</v>
      </c>
      <c r="AC555" s="34" t="s">
        <v>36</v>
      </c>
      <c r="AD555" s="25" t="s">
        <v>1609</v>
      </c>
      <c r="AE555" s="3"/>
      <c r="AF555" s="3"/>
      <c r="AG555" s="3"/>
      <c r="AH555" s="3"/>
      <c r="AI555" s="3"/>
      <c r="AJ555" s="3"/>
      <c r="AK555" s="3"/>
      <c r="AL555" s="3"/>
      <c r="AM555" s="3"/>
      <c r="AN555" s="3"/>
      <c r="AO555" s="3"/>
    </row>
    <row r="556" spans="1:41" ht="15.75" customHeight="1">
      <c r="A556" s="12"/>
      <c r="B556" s="3"/>
      <c r="C556" s="12"/>
      <c r="D556" s="3"/>
      <c r="E556" s="3"/>
      <c r="F556" s="5"/>
      <c r="G556" s="3"/>
      <c r="H556" s="3"/>
      <c r="I556" s="3"/>
      <c r="J556" s="3"/>
      <c r="K556" s="3"/>
      <c r="L556" s="3"/>
      <c r="M556" s="3"/>
      <c r="N556" s="3"/>
      <c r="O556" s="3"/>
      <c r="P556" s="3"/>
      <c r="Q556" s="3"/>
      <c r="R556" s="5"/>
      <c r="S556" s="3"/>
      <c r="T556" s="3"/>
      <c r="U556" s="3"/>
      <c r="V556" s="3"/>
      <c r="W556" s="3"/>
      <c r="X556" s="3"/>
      <c r="Y556" s="3"/>
      <c r="Z556" s="3"/>
      <c r="AA556" s="3"/>
      <c r="AB556" s="34" t="s">
        <v>1610</v>
      </c>
      <c r="AC556" s="34" t="s">
        <v>36</v>
      </c>
      <c r="AD556" s="25" t="s">
        <v>1611</v>
      </c>
      <c r="AE556" s="3"/>
      <c r="AF556" s="3"/>
      <c r="AG556" s="3"/>
      <c r="AH556" s="3"/>
      <c r="AI556" s="3"/>
      <c r="AJ556" s="3"/>
      <c r="AK556" s="3"/>
      <c r="AL556" s="3"/>
      <c r="AM556" s="3"/>
      <c r="AN556" s="3"/>
      <c r="AO556" s="3"/>
    </row>
    <row r="557" spans="1:41" ht="15.75" customHeight="1">
      <c r="A557" s="12"/>
      <c r="B557" s="3"/>
      <c r="C557" s="12"/>
      <c r="D557" s="3"/>
      <c r="E557" s="3"/>
      <c r="F557" s="5"/>
      <c r="G557" s="3"/>
      <c r="H557" s="3"/>
      <c r="I557" s="3"/>
      <c r="J557" s="3"/>
      <c r="K557" s="3"/>
      <c r="L557" s="3"/>
      <c r="M557" s="3"/>
      <c r="N557" s="3"/>
      <c r="O557" s="3"/>
      <c r="P557" s="3"/>
      <c r="Q557" s="3"/>
      <c r="R557" s="5"/>
      <c r="S557" s="3"/>
      <c r="T557" s="3"/>
      <c r="U557" s="3"/>
      <c r="V557" s="3"/>
      <c r="W557" s="3"/>
      <c r="X557" s="3"/>
      <c r="Y557" s="3"/>
      <c r="Z557" s="3"/>
      <c r="AA557" s="3"/>
      <c r="AB557" s="34" t="s">
        <v>1612</v>
      </c>
      <c r="AC557" s="34" t="s">
        <v>36</v>
      </c>
      <c r="AD557" s="25" t="s">
        <v>1613</v>
      </c>
      <c r="AE557" s="3"/>
      <c r="AF557" s="3"/>
      <c r="AG557" s="3"/>
      <c r="AH557" s="3"/>
      <c r="AI557" s="3"/>
      <c r="AJ557" s="3"/>
      <c r="AK557" s="3"/>
      <c r="AL557" s="3"/>
      <c r="AM557" s="3"/>
      <c r="AN557" s="3"/>
      <c r="AO557" s="3"/>
    </row>
    <row r="558" spans="1:41" ht="15.75" customHeight="1">
      <c r="A558" s="12"/>
      <c r="B558" s="3"/>
      <c r="C558" s="12"/>
      <c r="D558" s="3"/>
      <c r="E558" s="3"/>
      <c r="F558" s="5"/>
      <c r="G558" s="3"/>
      <c r="H558" s="3"/>
      <c r="I558" s="3"/>
      <c r="J558" s="3"/>
      <c r="K558" s="3"/>
      <c r="L558" s="3"/>
      <c r="M558" s="3"/>
      <c r="N558" s="3"/>
      <c r="O558" s="3"/>
      <c r="P558" s="3"/>
      <c r="Q558" s="3"/>
      <c r="R558" s="5"/>
      <c r="S558" s="3"/>
      <c r="T558" s="3"/>
      <c r="U558" s="3"/>
      <c r="V558" s="3"/>
      <c r="W558" s="3"/>
      <c r="X558" s="3"/>
      <c r="Y558" s="3"/>
      <c r="Z558" s="3"/>
      <c r="AA558" s="3"/>
      <c r="AB558" s="34" t="s">
        <v>1614</v>
      </c>
      <c r="AC558" s="34" t="s">
        <v>36</v>
      </c>
      <c r="AD558" s="25" t="s">
        <v>1615</v>
      </c>
      <c r="AE558" s="3"/>
      <c r="AF558" s="3"/>
      <c r="AG558" s="3"/>
      <c r="AH558" s="3"/>
      <c r="AI558" s="3"/>
      <c r="AJ558" s="3"/>
      <c r="AK558" s="3"/>
      <c r="AL558" s="3"/>
      <c r="AM558" s="3"/>
      <c r="AN558" s="3"/>
      <c r="AO558" s="3"/>
    </row>
    <row r="559" spans="1:41" ht="15.75" customHeight="1">
      <c r="A559" s="12"/>
      <c r="B559" s="3"/>
      <c r="C559" s="12"/>
      <c r="D559" s="3"/>
      <c r="E559" s="3"/>
      <c r="F559" s="5"/>
      <c r="G559" s="3"/>
      <c r="H559" s="3"/>
      <c r="I559" s="3"/>
      <c r="J559" s="3"/>
      <c r="K559" s="3"/>
      <c r="L559" s="3"/>
      <c r="M559" s="3"/>
      <c r="N559" s="3"/>
      <c r="O559" s="3"/>
      <c r="P559" s="3"/>
      <c r="Q559" s="3"/>
      <c r="R559" s="5"/>
      <c r="S559" s="3"/>
      <c r="T559" s="3"/>
      <c r="U559" s="3"/>
      <c r="V559" s="3"/>
      <c r="W559" s="3"/>
      <c r="X559" s="3"/>
      <c r="Y559" s="3"/>
      <c r="Z559" s="3"/>
      <c r="AA559" s="3"/>
      <c r="AB559" s="34" t="s">
        <v>1616</v>
      </c>
      <c r="AC559" s="34" t="s">
        <v>36</v>
      </c>
      <c r="AD559" s="25" t="s">
        <v>1617</v>
      </c>
      <c r="AE559" s="3"/>
      <c r="AF559" s="3"/>
      <c r="AG559" s="3"/>
      <c r="AH559" s="3"/>
      <c r="AI559" s="3"/>
      <c r="AJ559" s="3"/>
      <c r="AK559" s="3"/>
      <c r="AL559" s="3"/>
      <c r="AM559" s="3"/>
      <c r="AN559" s="3"/>
      <c r="AO559" s="3"/>
    </row>
    <row r="560" spans="1:41" ht="15.75" customHeight="1">
      <c r="A560" s="12"/>
      <c r="B560" s="3"/>
      <c r="C560" s="12"/>
      <c r="D560" s="3"/>
      <c r="E560" s="3"/>
      <c r="F560" s="5"/>
      <c r="G560" s="3"/>
      <c r="H560" s="3"/>
      <c r="I560" s="3"/>
      <c r="J560" s="3"/>
      <c r="K560" s="3"/>
      <c r="L560" s="3"/>
      <c r="M560" s="3"/>
      <c r="N560" s="3"/>
      <c r="O560" s="3"/>
      <c r="P560" s="3"/>
      <c r="Q560" s="3"/>
      <c r="R560" s="5"/>
      <c r="S560" s="3"/>
      <c r="T560" s="3"/>
      <c r="U560" s="3"/>
      <c r="V560" s="3"/>
      <c r="W560" s="3"/>
      <c r="X560" s="3"/>
      <c r="Y560" s="3"/>
      <c r="Z560" s="3"/>
      <c r="AA560" s="3"/>
      <c r="AB560" s="34" t="s">
        <v>1618</v>
      </c>
      <c r="AC560" s="34" t="s">
        <v>36</v>
      </c>
      <c r="AD560" s="25" t="s">
        <v>1619</v>
      </c>
      <c r="AE560" s="3"/>
      <c r="AF560" s="3"/>
      <c r="AG560" s="3"/>
      <c r="AH560" s="3"/>
      <c r="AI560" s="3"/>
      <c r="AJ560" s="3"/>
      <c r="AK560" s="3"/>
      <c r="AL560" s="3"/>
      <c r="AM560" s="3"/>
      <c r="AN560" s="3"/>
      <c r="AO560" s="3"/>
    </row>
    <row r="561" spans="1:41" ht="15.75" customHeight="1">
      <c r="A561" s="12"/>
      <c r="B561" s="3"/>
      <c r="C561" s="12"/>
      <c r="D561" s="3"/>
      <c r="E561" s="3"/>
      <c r="F561" s="5"/>
      <c r="G561" s="3"/>
      <c r="H561" s="3"/>
      <c r="I561" s="3"/>
      <c r="J561" s="3"/>
      <c r="K561" s="3"/>
      <c r="L561" s="3"/>
      <c r="M561" s="3"/>
      <c r="N561" s="3"/>
      <c r="O561" s="3"/>
      <c r="P561" s="3"/>
      <c r="Q561" s="3"/>
      <c r="R561" s="5"/>
      <c r="S561" s="3"/>
      <c r="T561" s="3"/>
      <c r="U561" s="3"/>
      <c r="V561" s="3"/>
      <c r="W561" s="3"/>
      <c r="X561" s="3"/>
      <c r="Y561" s="3"/>
      <c r="Z561" s="3"/>
      <c r="AA561" s="3"/>
      <c r="AB561" s="34" t="s">
        <v>1620</v>
      </c>
      <c r="AC561" s="34" t="s">
        <v>36</v>
      </c>
      <c r="AD561" s="25" t="s">
        <v>1621</v>
      </c>
      <c r="AE561" s="3"/>
      <c r="AF561" s="3"/>
      <c r="AG561" s="3"/>
      <c r="AH561" s="3"/>
      <c r="AI561" s="3"/>
      <c r="AJ561" s="3"/>
      <c r="AK561" s="3"/>
      <c r="AL561" s="3"/>
      <c r="AM561" s="3"/>
      <c r="AN561" s="3"/>
      <c r="AO561" s="3"/>
    </row>
    <row r="562" spans="1:41" ht="15.75" customHeight="1">
      <c r="A562" s="12"/>
      <c r="B562" s="3"/>
      <c r="C562" s="12"/>
      <c r="D562" s="3"/>
      <c r="E562" s="3"/>
      <c r="F562" s="5"/>
      <c r="G562" s="3"/>
      <c r="H562" s="3"/>
      <c r="I562" s="3"/>
      <c r="J562" s="3"/>
      <c r="K562" s="3"/>
      <c r="L562" s="3"/>
      <c r="M562" s="3"/>
      <c r="N562" s="3"/>
      <c r="O562" s="3"/>
      <c r="P562" s="3"/>
      <c r="Q562" s="3"/>
      <c r="R562" s="5"/>
      <c r="S562" s="3"/>
      <c r="T562" s="3"/>
      <c r="U562" s="3"/>
      <c r="V562" s="3"/>
      <c r="W562" s="3"/>
      <c r="X562" s="3"/>
      <c r="Y562" s="3"/>
      <c r="Z562" s="3"/>
      <c r="AA562" s="3"/>
      <c r="AB562" s="34" t="s">
        <v>1622</v>
      </c>
      <c r="AC562" s="34" t="s">
        <v>36</v>
      </c>
      <c r="AD562" s="25" t="s">
        <v>1623</v>
      </c>
      <c r="AE562" s="3"/>
      <c r="AF562" s="3"/>
      <c r="AG562" s="3"/>
      <c r="AH562" s="3"/>
      <c r="AI562" s="3"/>
      <c r="AJ562" s="3"/>
      <c r="AK562" s="3"/>
      <c r="AL562" s="3"/>
      <c r="AM562" s="3"/>
      <c r="AN562" s="3"/>
      <c r="AO562" s="3"/>
    </row>
    <row r="563" spans="1:41" ht="15.75" customHeight="1">
      <c r="A563" s="12"/>
      <c r="B563" s="3"/>
      <c r="C563" s="12"/>
      <c r="D563" s="3"/>
      <c r="E563" s="3"/>
      <c r="F563" s="5"/>
      <c r="G563" s="3"/>
      <c r="H563" s="3"/>
      <c r="I563" s="3"/>
      <c r="J563" s="3"/>
      <c r="K563" s="3"/>
      <c r="L563" s="3"/>
      <c r="M563" s="3"/>
      <c r="N563" s="3"/>
      <c r="O563" s="3"/>
      <c r="P563" s="3"/>
      <c r="Q563" s="3"/>
      <c r="R563" s="5"/>
      <c r="S563" s="3"/>
      <c r="T563" s="3"/>
      <c r="U563" s="3"/>
      <c r="V563" s="3"/>
      <c r="W563" s="3"/>
      <c r="X563" s="3"/>
      <c r="Y563" s="3"/>
      <c r="Z563" s="3"/>
      <c r="AA563" s="3"/>
      <c r="AB563" s="34" t="s">
        <v>1624</v>
      </c>
      <c r="AC563" s="34" t="s">
        <v>36</v>
      </c>
      <c r="AD563" s="25" t="s">
        <v>1625</v>
      </c>
      <c r="AE563" s="3"/>
      <c r="AF563" s="3"/>
      <c r="AG563" s="3"/>
      <c r="AH563" s="3"/>
      <c r="AI563" s="3"/>
      <c r="AJ563" s="3"/>
      <c r="AK563" s="3"/>
      <c r="AL563" s="3"/>
      <c r="AM563" s="3"/>
      <c r="AN563" s="3"/>
      <c r="AO563" s="3"/>
    </row>
    <row r="564" spans="1:41" ht="15.75" customHeight="1">
      <c r="A564" s="12"/>
      <c r="B564" s="3"/>
      <c r="C564" s="12"/>
      <c r="D564" s="3"/>
      <c r="E564" s="3"/>
      <c r="F564" s="5"/>
      <c r="G564" s="3"/>
      <c r="H564" s="3"/>
      <c r="I564" s="3"/>
      <c r="J564" s="3"/>
      <c r="K564" s="3"/>
      <c r="L564" s="3"/>
      <c r="M564" s="3"/>
      <c r="N564" s="3"/>
      <c r="O564" s="3"/>
      <c r="P564" s="3"/>
      <c r="Q564" s="3"/>
      <c r="R564" s="5"/>
      <c r="S564" s="3"/>
      <c r="T564" s="3"/>
      <c r="U564" s="3"/>
      <c r="V564" s="3"/>
      <c r="W564" s="3"/>
      <c r="X564" s="3"/>
      <c r="Y564" s="3"/>
      <c r="Z564" s="3"/>
      <c r="AA564" s="3"/>
      <c r="AB564" s="34" t="s">
        <v>1626</v>
      </c>
      <c r="AC564" s="34" t="s">
        <v>36</v>
      </c>
      <c r="AD564" s="25" t="s">
        <v>1627</v>
      </c>
      <c r="AE564" s="3"/>
      <c r="AF564" s="3"/>
      <c r="AG564" s="3"/>
      <c r="AH564" s="3"/>
      <c r="AI564" s="3"/>
      <c r="AJ564" s="3"/>
      <c r="AK564" s="3"/>
      <c r="AL564" s="3"/>
      <c r="AM564" s="3"/>
      <c r="AN564" s="3"/>
      <c r="AO564" s="3"/>
    </row>
    <row r="565" spans="1:41" ht="15.75" customHeight="1">
      <c r="A565" s="12"/>
      <c r="B565" s="3"/>
      <c r="C565" s="12"/>
      <c r="D565" s="3"/>
      <c r="E565" s="3"/>
      <c r="F565" s="5"/>
      <c r="G565" s="3"/>
      <c r="H565" s="3"/>
      <c r="I565" s="3"/>
      <c r="J565" s="3"/>
      <c r="K565" s="3"/>
      <c r="L565" s="3"/>
      <c r="M565" s="3"/>
      <c r="N565" s="3"/>
      <c r="O565" s="3"/>
      <c r="P565" s="3"/>
      <c r="Q565" s="3"/>
      <c r="R565" s="5"/>
      <c r="S565" s="3"/>
      <c r="T565" s="3"/>
      <c r="U565" s="3"/>
      <c r="V565" s="3"/>
      <c r="W565" s="3"/>
      <c r="X565" s="3"/>
      <c r="Y565" s="3"/>
      <c r="Z565" s="3"/>
      <c r="AA565" s="3"/>
      <c r="AB565" s="34" t="s">
        <v>1628</v>
      </c>
      <c r="AC565" s="34" t="s">
        <v>36</v>
      </c>
      <c r="AD565" s="25" t="s">
        <v>1629</v>
      </c>
      <c r="AE565" s="3"/>
      <c r="AF565" s="3"/>
      <c r="AG565" s="3"/>
      <c r="AH565" s="3"/>
      <c r="AI565" s="3"/>
      <c r="AJ565" s="3"/>
      <c r="AK565" s="3"/>
      <c r="AL565" s="3"/>
      <c r="AM565" s="3"/>
      <c r="AN565" s="3"/>
      <c r="AO565" s="3"/>
    </row>
    <row r="566" spans="1:41" ht="15.75" customHeight="1">
      <c r="A566" s="12"/>
      <c r="B566" s="3"/>
      <c r="C566" s="12"/>
      <c r="D566" s="3"/>
      <c r="E566" s="3"/>
      <c r="F566" s="5"/>
      <c r="G566" s="3"/>
      <c r="H566" s="3"/>
      <c r="I566" s="3"/>
      <c r="J566" s="3"/>
      <c r="K566" s="3"/>
      <c r="L566" s="3"/>
      <c r="M566" s="3"/>
      <c r="N566" s="3"/>
      <c r="O566" s="3"/>
      <c r="P566" s="3"/>
      <c r="Q566" s="3"/>
      <c r="R566" s="5"/>
      <c r="S566" s="3"/>
      <c r="T566" s="3"/>
      <c r="U566" s="3"/>
      <c r="V566" s="3"/>
      <c r="W566" s="3"/>
      <c r="X566" s="3"/>
      <c r="Y566" s="3"/>
      <c r="Z566" s="3"/>
      <c r="AA566" s="3"/>
      <c r="AB566" s="34" t="s">
        <v>1630</v>
      </c>
      <c r="AC566" s="34" t="s">
        <v>36</v>
      </c>
      <c r="AD566" s="25" t="s">
        <v>1631</v>
      </c>
      <c r="AE566" s="3"/>
      <c r="AF566" s="3"/>
      <c r="AG566" s="3"/>
      <c r="AH566" s="3"/>
      <c r="AI566" s="3"/>
      <c r="AJ566" s="3"/>
      <c r="AK566" s="3"/>
      <c r="AL566" s="3"/>
      <c r="AM566" s="3"/>
      <c r="AN566" s="3"/>
      <c r="AO566" s="3"/>
    </row>
    <row r="567" spans="1:41" ht="15.75" customHeight="1">
      <c r="A567" s="12"/>
      <c r="B567" s="3"/>
      <c r="C567" s="12"/>
      <c r="D567" s="3"/>
      <c r="E567" s="3"/>
      <c r="F567" s="5"/>
      <c r="G567" s="3"/>
      <c r="H567" s="3"/>
      <c r="I567" s="3"/>
      <c r="J567" s="3"/>
      <c r="K567" s="3"/>
      <c r="L567" s="3"/>
      <c r="M567" s="3"/>
      <c r="N567" s="3"/>
      <c r="O567" s="3"/>
      <c r="P567" s="3"/>
      <c r="Q567" s="3"/>
      <c r="R567" s="5"/>
      <c r="S567" s="3"/>
      <c r="T567" s="3"/>
      <c r="U567" s="3"/>
      <c r="V567" s="3"/>
      <c r="W567" s="3"/>
      <c r="X567" s="3"/>
      <c r="Y567" s="3"/>
      <c r="Z567" s="3"/>
      <c r="AA567" s="3"/>
      <c r="AB567" s="34" t="s">
        <v>1632</v>
      </c>
      <c r="AC567" s="34" t="s">
        <v>36</v>
      </c>
      <c r="AD567" s="25" t="s">
        <v>1633</v>
      </c>
      <c r="AE567" s="3"/>
      <c r="AF567" s="3"/>
      <c r="AG567" s="3"/>
      <c r="AH567" s="3"/>
      <c r="AI567" s="3"/>
      <c r="AJ567" s="3"/>
      <c r="AK567" s="3"/>
      <c r="AL567" s="3"/>
      <c r="AM567" s="3"/>
      <c r="AN567" s="3"/>
      <c r="AO567" s="3"/>
    </row>
    <row r="568" spans="1:41" ht="15.75" customHeight="1">
      <c r="A568" s="12"/>
      <c r="B568" s="3"/>
      <c r="C568" s="12"/>
      <c r="D568" s="3"/>
      <c r="E568" s="3"/>
      <c r="F568" s="5"/>
      <c r="G568" s="3"/>
      <c r="H568" s="3"/>
      <c r="I568" s="3"/>
      <c r="J568" s="3"/>
      <c r="K568" s="3"/>
      <c r="L568" s="3"/>
      <c r="M568" s="3"/>
      <c r="N568" s="3"/>
      <c r="O568" s="3"/>
      <c r="P568" s="3"/>
      <c r="Q568" s="3"/>
      <c r="R568" s="5"/>
      <c r="S568" s="3"/>
      <c r="T568" s="3"/>
      <c r="U568" s="3"/>
      <c r="V568" s="3"/>
      <c r="W568" s="3"/>
      <c r="X568" s="3"/>
      <c r="Y568" s="3"/>
      <c r="Z568" s="3"/>
      <c r="AA568" s="3"/>
      <c r="AB568" s="34" t="s">
        <v>1634</v>
      </c>
      <c r="AC568" s="34" t="s">
        <v>36</v>
      </c>
      <c r="AD568" s="25" t="s">
        <v>1635</v>
      </c>
      <c r="AE568" s="3"/>
      <c r="AF568" s="3"/>
      <c r="AG568" s="3"/>
      <c r="AH568" s="3"/>
      <c r="AI568" s="3"/>
      <c r="AJ568" s="3"/>
      <c r="AK568" s="3"/>
      <c r="AL568" s="3"/>
      <c r="AM568" s="3"/>
      <c r="AN568" s="3"/>
      <c r="AO568" s="3"/>
    </row>
    <row r="569" spans="1:41" ht="15.75" customHeight="1">
      <c r="A569" s="12"/>
      <c r="B569" s="3"/>
      <c r="C569" s="12"/>
      <c r="D569" s="3"/>
      <c r="E569" s="3"/>
      <c r="F569" s="5"/>
      <c r="G569" s="3"/>
      <c r="H569" s="3"/>
      <c r="I569" s="3"/>
      <c r="J569" s="3"/>
      <c r="K569" s="3"/>
      <c r="L569" s="3"/>
      <c r="M569" s="3"/>
      <c r="N569" s="3"/>
      <c r="O569" s="3"/>
      <c r="P569" s="3"/>
      <c r="Q569" s="3"/>
      <c r="R569" s="5"/>
      <c r="S569" s="3"/>
      <c r="T569" s="3"/>
      <c r="U569" s="3"/>
      <c r="V569" s="3"/>
      <c r="W569" s="3"/>
      <c r="X569" s="3"/>
      <c r="Y569" s="3"/>
      <c r="Z569" s="3"/>
      <c r="AA569" s="3"/>
      <c r="AB569" s="34" t="s">
        <v>1636</v>
      </c>
      <c r="AC569" s="34" t="s">
        <v>36</v>
      </c>
      <c r="AD569" s="25" t="s">
        <v>1637</v>
      </c>
      <c r="AE569" s="3"/>
      <c r="AF569" s="3"/>
      <c r="AG569" s="3"/>
      <c r="AH569" s="3"/>
      <c r="AI569" s="3"/>
      <c r="AJ569" s="3"/>
      <c r="AK569" s="3"/>
      <c r="AL569" s="3"/>
      <c r="AM569" s="3"/>
      <c r="AN569" s="3"/>
      <c r="AO569" s="3"/>
    </row>
    <row r="570" spans="1:41" ht="15.75" customHeight="1">
      <c r="A570" s="12"/>
      <c r="B570" s="3"/>
      <c r="C570" s="12"/>
      <c r="D570" s="3"/>
      <c r="E570" s="3"/>
      <c r="F570" s="5"/>
      <c r="G570" s="3"/>
      <c r="H570" s="3"/>
      <c r="I570" s="3"/>
      <c r="J570" s="3"/>
      <c r="K570" s="3"/>
      <c r="L570" s="3"/>
      <c r="M570" s="3"/>
      <c r="N570" s="3"/>
      <c r="O570" s="3"/>
      <c r="P570" s="3"/>
      <c r="Q570" s="3"/>
      <c r="R570" s="5"/>
      <c r="S570" s="3"/>
      <c r="T570" s="3"/>
      <c r="U570" s="3"/>
      <c r="V570" s="3"/>
      <c r="W570" s="3"/>
      <c r="X570" s="3"/>
      <c r="Y570" s="3"/>
      <c r="Z570" s="3"/>
      <c r="AA570" s="3"/>
      <c r="AB570" s="34" t="s">
        <v>1638</v>
      </c>
      <c r="AC570" s="34" t="s">
        <v>36</v>
      </c>
      <c r="AD570" s="25" t="s">
        <v>1639</v>
      </c>
      <c r="AE570" s="3"/>
      <c r="AF570" s="3"/>
      <c r="AG570" s="3"/>
      <c r="AH570" s="3"/>
      <c r="AI570" s="3"/>
      <c r="AJ570" s="3"/>
      <c r="AK570" s="3"/>
      <c r="AL570" s="3"/>
      <c r="AM570" s="3"/>
      <c r="AN570" s="3"/>
      <c r="AO570" s="3"/>
    </row>
    <row r="571" spans="1:41" ht="15.75" customHeight="1">
      <c r="A571" s="12"/>
      <c r="B571" s="3"/>
      <c r="C571" s="12"/>
      <c r="D571" s="3"/>
      <c r="E571" s="3"/>
      <c r="F571" s="5"/>
      <c r="G571" s="3"/>
      <c r="H571" s="3"/>
      <c r="I571" s="3"/>
      <c r="J571" s="3"/>
      <c r="K571" s="3"/>
      <c r="L571" s="3"/>
      <c r="M571" s="3"/>
      <c r="N571" s="3"/>
      <c r="O571" s="3"/>
      <c r="P571" s="3"/>
      <c r="Q571" s="3"/>
      <c r="R571" s="5"/>
      <c r="S571" s="3"/>
      <c r="T571" s="3"/>
      <c r="U571" s="3"/>
      <c r="V571" s="3"/>
      <c r="W571" s="3"/>
      <c r="X571" s="3"/>
      <c r="Y571" s="3"/>
      <c r="Z571" s="3"/>
      <c r="AA571" s="3"/>
      <c r="AB571" s="34" t="s">
        <v>1640</v>
      </c>
      <c r="AC571" s="34" t="s">
        <v>36</v>
      </c>
      <c r="AD571" s="25" t="s">
        <v>1641</v>
      </c>
      <c r="AE571" s="3"/>
      <c r="AF571" s="3"/>
      <c r="AG571" s="3"/>
      <c r="AH571" s="3"/>
      <c r="AI571" s="3"/>
      <c r="AJ571" s="3"/>
      <c r="AK571" s="3"/>
      <c r="AL571" s="3"/>
      <c r="AM571" s="3"/>
      <c r="AN571" s="3"/>
      <c r="AO571" s="3"/>
    </row>
    <row r="572" spans="1:41" ht="15.75" customHeight="1">
      <c r="A572" s="12"/>
      <c r="B572" s="3"/>
      <c r="C572" s="12"/>
      <c r="D572" s="3"/>
      <c r="E572" s="3"/>
      <c r="F572" s="5"/>
      <c r="G572" s="3"/>
      <c r="H572" s="3"/>
      <c r="I572" s="3"/>
      <c r="J572" s="3"/>
      <c r="K572" s="3"/>
      <c r="L572" s="3"/>
      <c r="M572" s="3"/>
      <c r="N572" s="3"/>
      <c r="O572" s="3"/>
      <c r="P572" s="3"/>
      <c r="Q572" s="3"/>
      <c r="R572" s="5"/>
      <c r="S572" s="3"/>
      <c r="T572" s="3"/>
      <c r="U572" s="3"/>
      <c r="V572" s="3"/>
      <c r="W572" s="3"/>
      <c r="X572" s="3"/>
      <c r="Y572" s="3"/>
      <c r="Z572" s="3"/>
      <c r="AA572" s="3"/>
      <c r="AB572" s="34" t="s">
        <v>1642</v>
      </c>
      <c r="AC572" s="34" t="s">
        <v>36</v>
      </c>
      <c r="AD572" s="25" t="s">
        <v>1643</v>
      </c>
      <c r="AE572" s="3"/>
      <c r="AF572" s="3"/>
      <c r="AG572" s="3"/>
      <c r="AH572" s="3"/>
      <c r="AI572" s="3"/>
      <c r="AJ572" s="3"/>
      <c r="AK572" s="3"/>
      <c r="AL572" s="3"/>
      <c r="AM572" s="3"/>
      <c r="AN572" s="3"/>
      <c r="AO572" s="3"/>
    </row>
    <row r="573" spans="1:41" ht="15.75" customHeight="1">
      <c r="A573" s="12"/>
      <c r="B573" s="3"/>
      <c r="C573" s="12"/>
      <c r="D573" s="3"/>
      <c r="E573" s="3"/>
      <c r="F573" s="5"/>
      <c r="G573" s="3"/>
      <c r="H573" s="3"/>
      <c r="I573" s="3"/>
      <c r="J573" s="3"/>
      <c r="K573" s="3"/>
      <c r="L573" s="3"/>
      <c r="M573" s="3"/>
      <c r="N573" s="3"/>
      <c r="O573" s="3"/>
      <c r="P573" s="3"/>
      <c r="Q573" s="3"/>
      <c r="R573" s="5"/>
      <c r="S573" s="3"/>
      <c r="T573" s="3"/>
      <c r="U573" s="3"/>
      <c r="V573" s="3"/>
      <c r="W573" s="3"/>
      <c r="X573" s="3"/>
      <c r="Y573" s="3"/>
      <c r="Z573" s="3"/>
      <c r="AA573" s="3"/>
      <c r="AB573" s="34" t="s">
        <v>1644</v>
      </c>
      <c r="AC573" s="34" t="s">
        <v>36</v>
      </c>
      <c r="AD573" s="25" t="s">
        <v>1645</v>
      </c>
      <c r="AE573" s="3"/>
      <c r="AF573" s="3"/>
      <c r="AG573" s="3"/>
      <c r="AH573" s="3"/>
      <c r="AI573" s="3"/>
      <c r="AJ573" s="3"/>
      <c r="AK573" s="3"/>
      <c r="AL573" s="3"/>
      <c r="AM573" s="3"/>
      <c r="AN573" s="3"/>
      <c r="AO573" s="3"/>
    </row>
    <row r="574" spans="1:41" ht="15.75" customHeight="1">
      <c r="A574" s="12"/>
      <c r="B574" s="3"/>
      <c r="C574" s="12"/>
      <c r="D574" s="3"/>
      <c r="E574" s="3"/>
      <c r="F574" s="5"/>
      <c r="G574" s="3"/>
      <c r="H574" s="3"/>
      <c r="I574" s="3"/>
      <c r="J574" s="3"/>
      <c r="K574" s="3"/>
      <c r="L574" s="3"/>
      <c r="M574" s="3"/>
      <c r="N574" s="3"/>
      <c r="O574" s="3"/>
      <c r="P574" s="3"/>
      <c r="Q574" s="3"/>
      <c r="R574" s="5"/>
      <c r="S574" s="3"/>
      <c r="T574" s="3"/>
      <c r="U574" s="3"/>
      <c r="V574" s="3"/>
      <c r="W574" s="3"/>
      <c r="X574" s="3"/>
      <c r="Y574" s="3"/>
      <c r="Z574" s="3"/>
      <c r="AA574" s="3"/>
      <c r="AB574" s="34" t="s">
        <v>1646</v>
      </c>
      <c r="AC574" s="34" t="s">
        <v>36</v>
      </c>
      <c r="AD574" s="25" t="s">
        <v>1647</v>
      </c>
      <c r="AE574" s="3"/>
      <c r="AF574" s="3"/>
      <c r="AG574" s="3"/>
      <c r="AH574" s="3"/>
      <c r="AI574" s="3"/>
      <c r="AJ574" s="3"/>
      <c r="AK574" s="3"/>
      <c r="AL574" s="3"/>
      <c r="AM574" s="3"/>
      <c r="AN574" s="3"/>
      <c r="AO574" s="3"/>
    </row>
    <row r="575" spans="1:41" ht="15.75" customHeight="1">
      <c r="A575" s="12"/>
      <c r="B575" s="3"/>
      <c r="C575" s="12"/>
      <c r="D575" s="3"/>
      <c r="E575" s="3"/>
      <c r="F575" s="5"/>
      <c r="G575" s="3"/>
      <c r="H575" s="3"/>
      <c r="I575" s="3"/>
      <c r="J575" s="3"/>
      <c r="K575" s="3"/>
      <c r="L575" s="3"/>
      <c r="M575" s="3"/>
      <c r="N575" s="3"/>
      <c r="O575" s="3"/>
      <c r="P575" s="3"/>
      <c r="Q575" s="3"/>
      <c r="R575" s="5"/>
      <c r="S575" s="3"/>
      <c r="T575" s="3"/>
      <c r="U575" s="3"/>
      <c r="V575" s="3"/>
      <c r="W575" s="3"/>
      <c r="X575" s="3"/>
      <c r="Y575" s="3"/>
      <c r="Z575" s="3"/>
      <c r="AA575" s="3"/>
      <c r="AB575" s="34" t="s">
        <v>1648</v>
      </c>
      <c r="AC575" s="34" t="s">
        <v>36</v>
      </c>
      <c r="AD575" s="25" t="s">
        <v>1649</v>
      </c>
      <c r="AE575" s="3"/>
      <c r="AF575" s="3"/>
      <c r="AG575" s="3"/>
      <c r="AH575" s="3"/>
      <c r="AI575" s="3"/>
      <c r="AJ575" s="3"/>
      <c r="AK575" s="3"/>
      <c r="AL575" s="3"/>
      <c r="AM575" s="3"/>
      <c r="AN575" s="3"/>
      <c r="AO575" s="3"/>
    </row>
    <row r="576" spans="1:41" ht="15.75" customHeight="1">
      <c r="A576" s="12"/>
      <c r="B576" s="3"/>
      <c r="C576" s="12"/>
      <c r="D576" s="3"/>
      <c r="E576" s="3"/>
      <c r="F576" s="5"/>
      <c r="G576" s="3"/>
      <c r="H576" s="3"/>
      <c r="I576" s="3"/>
      <c r="J576" s="3"/>
      <c r="K576" s="3"/>
      <c r="L576" s="3"/>
      <c r="M576" s="3"/>
      <c r="N576" s="3"/>
      <c r="O576" s="3"/>
      <c r="P576" s="3"/>
      <c r="Q576" s="3"/>
      <c r="R576" s="5"/>
      <c r="S576" s="3"/>
      <c r="T576" s="3"/>
      <c r="U576" s="3"/>
      <c r="V576" s="3"/>
      <c r="W576" s="3"/>
      <c r="X576" s="3"/>
      <c r="Y576" s="3"/>
      <c r="Z576" s="3"/>
      <c r="AA576" s="3"/>
      <c r="AB576" s="34" t="s">
        <v>1650</v>
      </c>
      <c r="AC576" s="34" t="s">
        <v>36</v>
      </c>
      <c r="AD576" s="25" t="s">
        <v>1651</v>
      </c>
      <c r="AE576" s="3"/>
      <c r="AF576" s="3"/>
      <c r="AG576" s="3"/>
      <c r="AH576" s="3"/>
      <c r="AI576" s="3"/>
      <c r="AJ576" s="3"/>
      <c r="AK576" s="3"/>
      <c r="AL576" s="3"/>
      <c r="AM576" s="3"/>
      <c r="AN576" s="3"/>
      <c r="AO576" s="3"/>
    </row>
    <row r="577" spans="1:41" ht="15.75" customHeight="1">
      <c r="A577" s="12"/>
      <c r="B577" s="3"/>
      <c r="C577" s="12"/>
      <c r="D577" s="3"/>
      <c r="E577" s="3"/>
      <c r="F577" s="5"/>
      <c r="G577" s="3"/>
      <c r="H577" s="3"/>
      <c r="I577" s="3"/>
      <c r="J577" s="3"/>
      <c r="K577" s="3"/>
      <c r="L577" s="3"/>
      <c r="M577" s="3"/>
      <c r="N577" s="3"/>
      <c r="O577" s="3"/>
      <c r="P577" s="3"/>
      <c r="Q577" s="3"/>
      <c r="R577" s="5"/>
      <c r="S577" s="3"/>
      <c r="T577" s="3"/>
      <c r="U577" s="3"/>
      <c r="V577" s="3"/>
      <c r="W577" s="3"/>
      <c r="X577" s="3"/>
      <c r="Y577" s="3"/>
      <c r="Z577" s="3"/>
      <c r="AA577" s="3"/>
      <c r="AB577" s="34" t="s">
        <v>1652</v>
      </c>
      <c r="AC577" s="34" t="s">
        <v>36</v>
      </c>
      <c r="AD577" s="25" t="s">
        <v>1653</v>
      </c>
      <c r="AE577" s="3"/>
      <c r="AF577" s="3"/>
      <c r="AG577" s="3"/>
      <c r="AH577" s="3"/>
      <c r="AI577" s="3"/>
      <c r="AJ577" s="3"/>
      <c r="AK577" s="3"/>
      <c r="AL577" s="3"/>
      <c r="AM577" s="3"/>
      <c r="AN577" s="3"/>
      <c r="AO577" s="3"/>
    </row>
    <row r="578" spans="1:41" ht="15.75" customHeight="1">
      <c r="A578" s="12"/>
      <c r="B578" s="3"/>
      <c r="C578" s="12"/>
      <c r="D578" s="3"/>
      <c r="E578" s="3"/>
      <c r="F578" s="5"/>
      <c r="G578" s="3"/>
      <c r="H578" s="3"/>
      <c r="I578" s="3"/>
      <c r="J578" s="3"/>
      <c r="K578" s="3"/>
      <c r="L578" s="3"/>
      <c r="M578" s="3"/>
      <c r="N578" s="3"/>
      <c r="O578" s="3"/>
      <c r="P578" s="3"/>
      <c r="Q578" s="3"/>
      <c r="R578" s="5"/>
      <c r="S578" s="3"/>
      <c r="T578" s="3"/>
      <c r="U578" s="3"/>
      <c r="V578" s="3"/>
      <c r="W578" s="3"/>
      <c r="X578" s="3"/>
      <c r="Y578" s="3"/>
      <c r="Z578" s="3"/>
      <c r="AA578" s="3"/>
      <c r="AB578" s="34" t="s">
        <v>1654</v>
      </c>
      <c r="AC578" s="34" t="s">
        <v>36</v>
      </c>
      <c r="AD578" s="25" t="s">
        <v>1655</v>
      </c>
      <c r="AE578" s="3"/>
      <c r="AF578" s="3"/>
      <c r="AG578" s="3"/>
      <c r="AH578" s="3"/>
      <c r="AI578" s="3"/>
      <c r="AJ578" s="3"/>
      <c r="AK578" s="3"/>
      <c r="AL578" s="3"/>
      <c r="AM578" s="3"/>
      <c r="AN578" s="3"/>
      <c r="AO578" s="3"/>
    </row>
    <row r="579" spans="1:41" ht="15.75" customHeight="1">
      <c r="A579" s="12"/>
      <c r="B579" s="3"/>
      <c r="C579" s="12"/>
      <c r="D579" s="3"/>
      <c r="E579" s="3"/>
      <c r="F579" s="5"/>
      <c r="G579" s="3"/>
      <c r="H579" s="3"/>
      <c r="I579" s="3"/>
      <c r="J579" s="3"/>
      <c r="K579" s="3"/>
      <c r="L579" s="3"/>
      <c r="M579" s="3"/>
      <c r="N579" s="3"/>
      <c r="O579" s="3"/>
      <c r="P579" s="3"/>
      <c r="Q579" s="3"/>
      <c r="R579" s="5"/>
      <c r="S579" s="3"/>
      <c r="T579" s="3"/>
      <c r="U579" s="3"/>
      <c r="V579" s="3"/>
      <c r="W579" s="3"/>
      <c r="X579" s="3"/>
      <c r="Y579" s="3"/>
      <c r="Z579" s="3"/>
      <c r="AA579" s="3"/>
      <c r="AB579" s="34" t="s">
        <v>1656</v>
      </c>
      <c r="AC579" s="34" t="s">
        <v>36</v>
      </c>
      <c r="AD579" s="25" t="s">
        <v>1657</v>
      </c>
      <c r="AE579" s="3"/>
      <c r="AF579" s="3"/>
      <c r="AG579" s="3"/>
      <c r="AH579" s="3"/>
      <c r="AI579" s="3"/>
      <c r="AJ579" s="3"/>
      <c r="AK579" s="3"/>
      <c r="AL579" s="3"/>
      <c r="AM579" s="3"/>
      <c r="AN579" s="3"/>
      <c r="AO579" s="3"/>
    </row>
    <row r="580" spans="1:41" ht="15.75" customHeight="1">
      <c r="A580" s="12"/>
      <c r="B580" s="3"/>
      <c r="C580" s="12"/>
      <c r="D580" s="3"/>
      <c r="E580" s="3"/>
      <c r="F580" s="5"/>
      <c r="G580" s="3"/>
      <c r="H580" s="3"/>
      <c r="I580" s="3"/>
      <c r="J580" s="3"/>
      <c r="K580" s="3"/>
      <c r="L580" s="3"/>
      <c r="M580" s="3"/>
      <c r="N580" s="3"/>
      <c r="O580" s="3"/>
      <c r="P580" s="3"/>
      <c r="Q580" s="3"/>
      <c r="R580" s="5"/>
      <c r="S580" s="3"/>
      <c r="T580" s="3"/>
      <c r="U580" s="3"/>
      <c r="V580" s="3"/>
      <c r="W580" s="3"/>
      <c r="X580" s="3"/>
      <c r="Y580" s="3"/>
      <c r="Z580" s="3"/>
      <c r="AA580" s="3"/>
      <c r="AB580" s="34" t="s">
        <v>1658</v>
      </c>
      <c r="AC580" s="34" t="s">
        <v>140</v>
      </c>
      <c r="AD580" s="34"/>
      <c r="AE580" s="3"/>
      <c r="AF580" s="3"/>
      <c r="AG580" s="3"/>
      <c r="AH580" s="3"/>
      <c r="AI580" s="3"/>
      <c r="AJ580" s="3"/>
      <c r="AK580" s="3"/>
      <c r="AL580" s="3"/>
      <c r="AM580" s="3"/>
      <c r="AN580" s="3"/>
      <c r="AO580" s="3"/>
    </row>
    <row r="581" spans="1:41" ht="15.75" customHeight="1">
      <c r="A581" s="12"/>
      <c r="B581" s="3"/>
      <c r="C581" s="12"/>
      <c r="D581" s="3"/>
      <c r="E581" s="3"/>
      <c r="F581" s="5"/>
      <c r="G581" s="3"/>
      <c r="H581" s="3"/>
      <c r="I581" s="3"/>
      <c r="J581" s="3"/>
      <c r="K581" s="3"/>
      <c r="L581" s="3"/>
      <c r="M581" s="3"/>
      <c r="N581" s="3"/>
      <c r="O581" s="3"/>
      <c r="P581" s="3"/>
      <c r="Q581" s="3"/>
      <c r="R581" s="5"/>
      <c r="S581" s="3"/>
      <c r="T581" s="3"/>
      <c r="U581" s="3"/>
      <c r="V581" s="3"/>
      <c r="W581" s="3"/>
      <c r="X581" s="3"/>
      <c r="Y581" s="3"/>
      <c r="Z581" s="3"/>
      <c r="AA581" s="3"/>
      <c r="AB581" s="34" t="s">
        <v>1659</v>
      </c>
      <c r="AC581" s="34" t="s">
        <v>140</v>
      </c>
      <c r="AD581" s="34"/>
      <c r="AE581" s="3"/>
      <c r="AF581" s="3"/>
      <c r="AG581" s="3"/>
      <c r="AH581" s="3"/>
      <c r="AI581" s="3"/>
      <c r="AJ581" s="3"/>
      <c r="AK581" s="3"/>
      <c r="AL581" s="3"/>
      <c r="AM581" s="3"/>
      <c r="AN581" s="3"/>
      <c r="AO581" s="3"/>
    </row>
    <row r="582" spans="1:41" ht="15.75" customHeight="1">
      <c r="A582" s="12"/>
      <c r="B582" s="3"/>
      <c r="C582" s="12"/>
      <c r="D582" s="3"/>
      <c r="E582" s="3"/>
      <c r="F582" s="5"/>
      <c r="G582" s="3"/>
      <c r="H582" s="3"/>
      <c r="I582" s="3"/>
      <c r="J582" s="3"/>
      <c r="K582" s="3"/>
      <c r="L582" s="3"/>
      <c r="M582" s="3"/>
      <c r="N582" s="3"/>
      <c r="O582" s="3"/>
      <c r="P582" s="3"/>
      <c r="Q582" s="3"/>
      <c r="R582" s="5"/>
      <c r="S582" s="3"/>
      <c r="T582" s="3"/>
      <c r="U582" s="3"/>
      <c r="V582" s="3"/>
      <c r="W582" s="3"/>
      <c r="X582" s="3"/>
      <c r="Y582" s="3"/>
      <c r="Z582" s="3"/>
      <c r="AA582" s="3"/>
      <c r="AB582" s="34" t="s">
        <v>1660</v>
      </c>
      <c r="AC582" s="34" t="s">
        <v>36</v>
      </c>
      <c r="AD582" s="25" t="s">
        <v>1661</v>
      </c>
      <c r="AE582" s="3"/>
      <c r="AF582" s="3"/>
      <c r="AG582" s="3"/>
      <c r="AH582" s="3"/>
      <c r="AI582" s="3"/>
      <c r="AJ582" s="3"/>
      <c r="AK582" s="3"/>
      <c r="AL582" s="3"/>
      <c r="AM582" s="3"/>
      <c r="AN582" s="3"/>
      <c r="AO582" s="3"/>
    </row>
    <row r="583" spans="1:41" ht="15.75" customHeight="1">
      <c r="A583" s="12"/>
      <c r="B583" s="3"/>
      <c r="C583" s="12"/>
      <c r="D583" s="3"/>
      <c r="E583" s="3"/>
      <c r="F583" s="5"/>
      <c r="G583" s="3"/>
      <c r="H583" s="3"/>
      <c r="I583" s="3"/>
      <c r="J583" s="3"/>
      <c r="K583" s="3"/>
      <c r="L583" s="3"/>
      <c r="M583" s="3"/>
      <c r="N583" s="3"/>
      <c r="O583" s="3"/>
      <c r="P583" s="3"/>
      <c r="Q583" s="3"/>
      <c r="R583" s="5"/>
      <c r="S583" s="3"/>
      <c r="T583" s="3"/>
      <c r="U583" s="3"/>
      <c r="V583" s="3"/>
      <c r="W583" s="3"/>
      <c r="X583" s="3"/>
      <c r="Y583" s="3"/>
      <c r="Z583" s="3"/>
      <c r="AA583" s="3"/>
      <c r="AB583" s="34" t="s">
        <v>1662</v>
      </c>
      <c r="AC583" s="34" t="s">
        <v>36</v>
      </c>
      <c r="AD583" s="25" t="s">
        <v>1663</v>
      </c>
      <c r="AE583" s="3"/>
      <c r="AF583" s="3"/>
      <c r="AG583" s="3"/>
      <c r="AH583" s="3"/>
      <c r="AI583" s="3"/>
      <c r="AJ583" s="3"/>
      <c r="AK583" s="3"/>
      <c r="AL583" s="3"/>
      <c r="AM583" s="3"/>
      <c r="AN583" s="3"/>
      <c r="AO583" s="3"/>
    </row>
    <row r="584" spans="1:41" ht="15.75" customHeight="1">
      <c r="A584" s="12"/>
      <c r="B584" s="3"/>
      <c r="C584" s="12"/>
      <c r="D584" s="3"/>
      <c r="E584" s="3"/>
      <c r="F584" s="5"/>
      <c r="G584" s="3"/>
      <c r="H584" s="3"/>
      <c r="I584" s="3"/>
      <c r="J584" s="3"/>
      <c r="K584" s="3"/>
      <c r="L584" s="3"/>
      <c r="M584" s="3"/>
      <c r="N584" s="3"/>
      <c r="O584" s="3"/>
      <c r="P584" s="3"/>
      <c r="Q584" s="3"/>
      <c r="R584" s="5"/>
      <c r="S584" s="3"/>
      <c r="T584" s="3"/>
      <c r="U584" s="3"/>
      <c r="V584" s="3"/>
      <c r="W584" s="3"/>
      <c r="X584" s="3"/>
      <c r="Y584" s="3"/>
      <c r="Z584" s="3"/>
      <c r="AA584" s="3"/>
      <c r="AB584" s="34" t="s">
        <v>1664</v>
      </c>
      <c r="AC584" s="34" t="s">
        <v>36</v>
      </c>
      <c r="AD584" s="34" t="s">
        <v>1665</v>
      </c>
      <c r="AE584" s="3"/>
      <c r="AF584" s="3"/>
      <c r="AG584" s="3"/>
      <c r="AH584" s="3"/>
      <c r="AI584" s="3"/>
      <c r="AJ584" s="3"/>
      <c r="AK584" s="3"/>
      <c r="AL584" s="3"/>
      <c r="AM584" s="3"/>
      <c r="AN584" s="3"/>
      <c r="AO584" s="3"/>
    </row>
    <row r="585" spans="1:41" ht="15.75" customHeight="1">
      <c r="A585" s="12"/>
      <c r="B585" s="3"/>
      <c r="C585" s="12"/>
      <c r="D585" s="3"/>
      <c r="E585" s="3"/>
      <c r="F585" s="5"/>
      <c r="G585" s="3"/>
      <c r="H585" s="3"/>
      <c r="I585" s="3"/>
      <c r="J585" s="3"/>
      <c r="K585" s="3"/>
      <c r="L585" s="3"/>
      <c r="M585" s="3"/>
      <c r="N585" s="3"/>
      <c r="O585" s="3"/>
      <c r="P585" s="3"/>
      <c r="Q585" s="3"/>
      <c r="R585" s="5"/>
      <c r="S585" s="3"/>
      <c r="T585" s="3"/>
      <c r="U585" s="3"/>
      <c r="V585" s="3"/>
      <c r="W585" s="3"/>
      <c r="X585" s="3"/>
      <c r="Y585" s="3"/>
      <c r="Z585" s="3"/>
      <c r="AA585" s="3"/>
      <c r="AB585" s="34" t="s">
        <v>1666</v>
      </c>
      <c r="AC585" s="34" t="s">
        <v>36</v>
      </c>
      <c r="AD585" s="25" t="s">
        <v>1667</v>
      </c>
      <c r="AE585" s="3"/>
      <c r="AF585" s="3"/>
      <c r="AG585" s="3"/>
      <c r="AH585" s="3"/>
      <c r="AI585" s="3"/>
      <c r="AJ585" s="3"/>
      <c r="AK585" s="3"/>
      <c r="AL585" s="3"/>
      <c r="AM585" s="3"/>
      <c r="AN585" s="3"/>
      <c r="AO585" s="3"/>
    </row>
    <row r="586" spans="1:41" ht="15.75" customHeight="1">
      <c r="A586" s="12"/>
      <c r="B586" s="3"/>
      <c r="C586" s="12"/>
      <c r="D586" s="3"/>
      <c r="E586" s="3"/>
      <c r="F586" s="5"/>
      <c r="G586" s="3"/>
      <c r="H586" s="3"/>
      <c r="I586" s="3"/>
      <c r="J586" s="3"/>
      <c r="K586" s="3"/>
      <c r="L586" s="3"/>
      <c r="M586" s="3"/>
      <c r="N586" s="3"/>
      <c r="O586" s="3"/>
      <c r="P586" s="3"/>
      <c r="Q586" s="3"/>
      <c r="R586" s="5"/>
      <c r="S586" s="3"/>
      <c r="T586" s="3"/>
      <c r="U586" s="3"/>
      <c r="V586" s="3"/>
      <c r="W586" s="3"/>
      <c r="X586" s="3"/>
      <c r="Y586" s="3"/>
      <c r="Z586" s="3"/>
      <c r="AA586" s="3"/>
      <c r="AB586" s="34" t="s">
        <v>1371</v>
      </c>
      <c r="AC586" s="34" t="s">
        <v>36</v>
      </c>
      <c r="AD586" s="34" t="s">
        <v>1668</v>
      </c>
      <c r="AE586" s="3"/>
      <c r="AF586" s="3"/>
      <c r="AG586" s="3"/>
      <c r="AH586" s="3"/>
      <c r="AI586" s="3"/>
      <c r="AJ586" s="3"/>
      <c r="AK586" s="3"/>
      <c r="AL586" s="3"/>
      <c r="AM586" s="3"/>
      <c r="AN586" s="3"/>
      <c r="AO586" s="3"/>
    </row>
    <row r="587" spans="1:41" ht="15.75" customHeight="1">
      <c r="A587" s="12"/>
      <c r="B587" s="3"/>
      <c r="C587" s="12"/>
      <c r="D587" s="3"/>
      <c r="E587" s="3"/>
      <c r="F587" s="5"/>
      <c r="G587" s="3"/>
      <c r="H587" s="3"/>
      <c r="I587" s="3"/>
      <c r="J587" s="3"/>
      <c r="K587" s="3"/>
      <c r="L587" s="3"/>
      <c r="M587" s="3"/>
      <c r="N587" s="3"/>
      <c r="O587" s="3"/>
      <c r="P587" s="3"/>
      <c r="Q587" s="3"/>
      <c r="R587" s="5"/>
      <c r="S587" s="3"/>
      <c r="T587" s="3"/>
      <c r="U587" s="3"/>
      <c r="V587" s="3"/>
      <c r="W587" s="3"/>
      <c r="X587" s="3"/>
      <c r="Y587" s="3"/>
      <c r="Z587" s="3"/>
      <c r="AA587" s="3"/>
      <c r="AB587" s="34" t="s">
        <v>1669</v>
      </c>
      <c r="AC587" s="34" t="s">
        <v>140</v>
      </c>
      <c r="AD587" s="34"/>
      <c r="AE587" s="3"/>
      <c r="AF587" s="3"/>
      <c r="AG587" s="3"/>
      <c r="AH587" s="3"/>
      <c r="AI587" s="3"/>
      <c r="AJ587" s="3"/>
      <c r="AK587" s="3"/>
      <c r="AL587" s="3"/>
      <c r="AM587" s="3"/>
      <c r="AN587" s="3"/>
      <c r="AO587" s="3"/>
    </row>
    <row r="588" spans="1:41" ht="15.75" customHeight="1">
      <c r="A588" s="12"/>
      <c r="B588" s="3"/>
      <c r="C588" s="12"/>
      <c r="D588" s="3"/>
      <c r="E588" s="3"/>
      <c r="F588" s="5"/>
      <c r="G588" s="3"/>
      <c r="H588" s="3"/>
      <c r="I588" s="3"/>
      <c r="J588" s="3"/>
      <c r="K588" s="3"/>
      <c r="L588" s="3"/>
      <c r="M588" s="3"/>
      <c r="N588" s="3"/>
      <c r="O588" s="3"/>
      <c r="P588" s="3"/>
      <c r="Q588" s="3"/>
      <c r="R588" s="5"/>
      <c r="S588" s="3"/>
      <c r="T588" s="3"/>
      <c r="U588" s="3"/>
      <c r="V588" s="3"/>
      <c r="W588" s="3"/>
      <c r="X588" s="3"/>
      <c r="Y588" s="3"/>
      <c r="Z588" s="3"/>
      <c r="AA588" s="3"/>
      <c r="AB588" s="34" t="s">
        <v>1670</v>
      </c>
      <c r="AC588" s="34" t="s">
        <v>36</v>
      </c>
      <c r="AD588" s="25" t="s">
        <v>1671</v>
      </c>
      <c r="AE588" s="3"/>
      <c r="AF588" s="3"/>
      <c r="AG588" s="3"/>
      <c r="AH588" s="3"/>
      <c r="AI588" s="3"/>
      <c r="AJ588" s="3"/>
      <c r="AK588" s="3"/>
      <c r="AL588" s="3"/>
      <c r="AM588" s="3"/>
      <c r="AN588" s="3"/>
      <c r="AO588" s="3"/>
    </row>
    <row r="589" spans="1:41" ht="15.75" customHeight="1">
      <c r="A589" s="12"/>
      <c r="B589" s="3"/>
      <c r="C589" s="12"/>
      <c r="D589" s="3"/>
      <c r="E589" s="3"/>
      <c r="F589" s="5"/>
      <c r="G589" s="3"/>
      <c r="H589" s="3"/>
      <c r="I589" s="3"/>
      <c r="J589" s="3"/>
      <c r="K589" s="3"/>
      <c r="L589" s="3"/>
      <c r="M589" s="3"/>
      <c r="N589" s="3"/>
      <c r="O589" s="3"/>
      <c r="P589" s="3"/>
      <c r="Q589" s="3"/>
      <c r="R589" s="5"/>
      <c r="S589" s="3"/>
      <c r="T589" s="3"/>
      <c r="U589" s="3"/>
      <c r="V589" s="3"/>
      <c r="W589" s="3"/>
      <c r="X589" s="3"/>
      <c r="Y589" s="3"/>
      <c r="Z589" s="3"/>
      <c r="AA589" s="3"/>
      <c r="AB589" s="34" t="s">
        <v>1672</v>
      </c>
      <c r="AC589" s="34" t="s">
        <v>140</v>
      </c>
      <c r="AD589" s="34"/>
      <c r="AE589" s="3"/>
      <c r="AF589" s="3"/>
      <c r="AG589" s="3"/>
      <c r="AH589" s="3"/>
      <c r="AI589" s="3"/>
      <c r="AJ589" s="3"/>
      <c r="AK589" s="3"/>
      <c r="AL589" s="3"/>
      <c r="AM589" s="3"/>
      <c r="AN589" s="3"/>
      <c r="AO589" s="3"/>
    </row>
    <row r="590" spans="1:41" ht="15.75" customHeight="1">
      <c r="A590" s="12"/>
      <c r="B590" s="3"/>
      <c r="C590" s="12"/>
      <c r="D590" s="3"/>
      <c r="E590" s="3"/>
      <c r="F590" s="5"/>
      <c r="G590" s="3"/>
      <c r="H590" s="3"/>
      <c r="I590" s="3"/>
      <c r="J590" s="3"/>
      <c r="K590" s="3"/>
      <c r="L590" s="3"/>
      <c r="M590" s="3"/>
      <c r="N590" s="3"/>
      <c r="O590" s="3"/>
      <c r="P590" s="3"/>
      <c r="Q590" s="3"/>
      <c r="R590" s="5"/>
      <c r="S590" s="3"/>
      <c r="T590" s="3"/>
      <c r="U590" s="3"/>
      <c r="V590" s="3"/>
      <c r="W590" s="3"/>
      <c r="X590" s="3"/>
      <c r="Y590" s="3"/>
      <c r="Z590" s="3"/>
      <c r="AA590" s="3"/>
      <c r="AB590" s="34" t="s">
        <v>1673</v>
      </c>
      <c r="AC590" s="34" t="s">
        <v>140</v>
      </c>
      <c r="AD590" s="34"/>
      <c r="AE590" s="3"/>
      <c r="AF590" s="3"/>
      <c r="AG590" s="3"/>
      <c r="AH590" s="3"/>
      <c r="AI590" s="3"/>
      <c r="AJ590" s="3"/>
      <c r="AK590" s="3"/>
      <c r="AL590" s="3"/>
      <c r="AM590" s="3"/>
      <c r="AN590" s="3"/>
      <c r="AO590" s="3"/>
    </row>
    <row r="591" spans="1:41" ht="15.75" customHeight="1">
      <c r="A591" s="12"/>
      <c r="B591" s="3"/>
      <c r="C591" s="12"/>
      <c r="D591" s="3"/>
      <c r="E591" s="3"/>
      <c r="F591" s="5"/>
      <c r="G591" s="3"/>
      <c r="H591" s="3"/>
      <c r="I591" s="3"/>
      <c r="J591" s="3"/>
      <c r="K591" s="3"/>
      <c r="L591" s="3"/>
      <c r="M591" s="3"/>
      <c r="N591" s="3"/>
      <c r="O591" s="3"/>
      <c r="P591" s="3"/>
      <c r="Q591" s="3"/>
      <c r="R591" s="5"/>
      <c r="S591" s="3"/>
      <c r="T591" s="3"/>
      <c r="U591" s="3"/>
      <c r="V591" s="3"/>
      <c r="W591" s="3"/>
      <c r="X591" s="3"/>
      <c r="Y591" s="3"/>
      <c r="Z591" s="3"/>
      <c r="AA591" s="3"/>
      <c r="AB591" s="34" t="s">
        <v>1674</v>
      </c>
      <c r="AC591" s="34" t="s">
        <v>140</v>
      </c>
      <c r="AD591" s="34"/>
      <c r="AE591" s="3"/>
      <c r="AF591" s="3"/>
      <c r="AG591" s="3"/>
      <c r="AH591" s="3"/>
      <c r="AI591" s="3"/>
      <c r="AJ591" s="3"/>
      <c r="AK591" s="3"/>
      <c r="AL591" s="3"/>
      <c r="AM591" s="3"/>
      <c r="AN591" s="3"/>
      <c r="AO591" s="3"/>
    </row>
    <row r="592" spans="1:41" ht="15.75" customHeight="1">
      <c r="A592" s="12"/>
      <c r="B592" s="3"/>
      <c r="C592" s="12"/>
      <c r="D592" s="3"/>
      <c r="E592" s="3"/>
      <c r="F592" s="5"/>
      <c r="G592" s="3"/>
      <c r="H592" s="3"/>
      <c r="I592" s="3"/>
      <c r="J592" s="3"/>
      <c r="K592" s="3"/>
      <c r="L592" s="3"/>
      <c r="M592" s="3"/>
      <c r="N592" s="3"/>
      <c r="O592" s="3"/>
      <c r="P592" s="3"/>
      <c r="Q592" s="3"/>
      <c r="R592" s="5"/>
      <c r="S592" s="3"/>
      <c r="T592" s="3"/>
      <c r="U592" s="3"/>
      <c r="V592" s="3"/>
      <c r="W592" s="3"/>
      <c r="X592" s="3"/>
      <c r="Y592" s="3"/>
      <c r="Z592" s="3"/>
      <c r="AA592" s="3"/>
      <c r="AB592" s="34" t="s">
        <v>1675</v>
      </c>
      <c r="AC592" s="34" t="s">
        <v>140</v>
      </c>
      <c r="AD592" s="34"/>
      <c r="AE592" s="3"/>
      <c r="AF592" s="3"/>
      <c r="AG592" s="3"/>
      <c r="AH592" s="3"/>
      <c r="AI592" s="3"/>
      <c r="AJ592" s="3"/>
      <c r="AK592" s="3"/>
      <c r="AL592" s="3"/>
      <c r="AM592" s="3"/>
      <c r="AN592" s="3"/>
      <c r="AO592" s="3"/>
    </row>
    <row r="593" spans="1:41" ht="15.75" customHeight="1">
      <c r="A593" s="12"/>
      <c r="B593" s="3"/>
      <c r="C593" s="12"/>
      <c r="D593" s="3"/>
      <c r="E593" s="3"/>
      <c r="F593" s="5"/>
      <c r="G593" s="3"/>
      <c r="H593" s="3"/>
      <c r="I593" s="3"/>
      <c r="J593" s="3"/>
      <c r="K593" s="3"/>
      <c r="L593" s="3"/>
      <c r="M593" s="3"/>
      <c r="N593" s="3"/>
      <c r="O593" s="3"/>
      <c r="P593" s="3"/>
      <c r="Q593" s="3"/>
      <c r="R593" s="5"/>
      <c r="S593" s="3"/>
      <c r="T593" s="3"/>
      <c r="U593" s="3"/>
      <c r="V593" s="3"/>
      <c r="W593" s="3"/>
      <c r="X593" s="3"/>
      <c r="Y593" s="3"/>
      <c r="Z593" s="3"/>
      <c r="AA593" s="3"/>
      <c r="AB593" s="34" t="s">
        <v>1676</v>
      </c>
      <c r="AC593" s="34" t="s">
        <v>140</v>
      </c>
      <c r="AD593" s="34"/>
      <c r="AE593" s="3"/>
      <c r="AF593" s="3"/>
      <c r="AG593" s="3"/>
      <c r="AH593" s="3"/>
      <c r="AI593" s="3"/>
      <c r="AJ593" s="3"/>
      <c r="AK593" s="3"/>
      <c r="AL593" s="3"/>
      <c r="AM593" s="3"/>
      <c r="AN593" s="3"/>
      <c r="AO593" s="3"/>
    </row>
    <row r="594" spans="1:41" ht="15.75" customHeight="1">
      <c r="A594" s="12"/>
      <c r="B594" s="3"/>
      <c r="C594" s="12"/>
      <c r="D594" s="3"/>
      <c r="E594" s="3"/>
      <c r="F594" s="5"/>
      <c r="G594" s="3"/>
      <c r="H594" s="3"/>
      <c r="I594" s="3"/>
      <c r="J594" s="3"/>
      <c r="K594" s="3"/>
      <c r="L594" s="3"/>
      <c r="M594" s="3"/>
      <c r="N594" s="3"/>
      <c r="O594" s="3"/>
      <c r="P594" s="3"/>
      <c r="Q594" s="3"/>
      <c r="R594" s="5"/>
      <c r="S594" s="3"/>
      <c r="T594" s="3"/>
      <c r="U594" s="3"/>
      <c r="V594" s="3"/>
      <c r="W594" s="3"/>
      <c r="X594" s="3"/>
      <c r="Y594" s="3"/>
      <c r="Z594" s="3"/>
      <c r="AA594" s="3"/>
      <c r="AB594" s="34" t="s">
        <v>1677</v>
      </c>
      <c r="AC594" s="34" t="s">
        <v>140</v>
      </c>
      <c r="AD594" s="34"/>
      <c r="AE594" s="3"/>
      <c r="AF594" s="3"/>
      <c r="AG594" s="3"/>
      <c r="AH594" s="3"/>
      <c r="AI594" s="3"/>
      <c r="AJ594" s="3"/>
      <c r="AK594" s="3"/>
      <c r="AL594" s="3"/>
      <c r="AM594" s="3"/>
      <c r="AN594" s="3"/>
      <c r="AO594" s="3"/>
    </row>
    <row r="595" spans="1:41" ht="15.75" customHeight="1">
      <c r="A595" s="12"/>
      <c r="B595" s="3"/>
      <c r="C595" s="12"/>
      <c r="D595" s="3"/>
      <c r="E595" s="3"/>
      <c r="F595" s="5"/>
      <c r="G595" s="3"/>
      <c r="H595" s="3"/>
      <c r="I595" s="3"/>
      <c r="J595" s="3"/>
      <c r="K595" s="3"/>
      <c r="L595" s="3"/>
      <c r="M595" s="3"/>
      <c r="N595" s="3"/>
      <c r="O595" s="3"/>
      <c r="P595" s="3"/>
      <c r="Q595" s="3"/>
      <c r="R595" s="5"/>
      <c r="S595" s="3"/>
      <c r="T595" s="3"/>
      <c r="U595" s="3"/>
      <c r="V595" s="3"/>
      <c r="W595" s="3"/>
      <c r="X595" s="3"/>
      <c r="Y595" s="3"/>
      <c r="Z595" s="3"/>
      <c r="AA595" s="3"/>
      <c r="AB595" s="34" t="s">
        <v>1678</v>
      </c>
      <c r="AC595" s="34" t="s">
        <v>140</v>
      </c>
      <c r="AD595" s="34"/>
      <c r="AE595" s="3"/>
      <c r="AF595" s="3"/>
      <c r="AG595" s="3"/>
      <c r="AH595" s="3"/>
      <c r="AI595" s="3"/>
      <c r="AJ595" s="3"/>
      <c r="AK595" s="3"/>
      <c r="AL595" s="3"/>
      <c r="AM595" s="3"/>
      <c r="AN595" s="3"/>
      <c r="AO595" s="3"/>
    </row>
    <row r="596" spans="1:41" ht="15.75" customHeight="1">
      <c r="A596" s="12"/>
      <c r="B596" s="3"/>
      <c r="C596" s="12"/>
      <c r="D596" s="3"/>
      <c r="E596" s="3"/>
      <c r="F596" s="5"/>
      <c r="G596" s="3"/>
      <c r="H596" s="3"/>
      <c r="I596" s="3"/>
      <c r="J596" s="3"/>
      <c r="K596" s="3"/>
      <c r="L596" s="3"/>
      <c r="M596" s="3"/>
      <c r="N596" s="3"/>
      <c r="O596" s="3"/>
      <c r="P596" s="3"/>
      <c r="Q596" s="3"/>
      <c r="R596" s="5"/>
      <c r="S596" s="3"/>
      <c r="T596" s="3"/>
      <c r="U596" s="3"/>
      <c r="V596" s="3"/>
      <c r="W596" s="3"/>
      <c r="X596" s="3"/>
      <c r="Y596" s="3"/>
      <c r="Z596" s="3"/>
      <c r="AA596" s="3"/>
      <c r="AB596" s="34" t="s">
        <v>1679</v>
      </c>
      <c r="AC596" s="34" t="s">
        <v>36</v>
      </c>
      <c r="AD596" s="25" t="s">
        <v>1680</v>
      </c>
      <c r="AE596" s="3"/>
      <c r="AF596" s="3"/>
      <c r="AG596" s="3"/>
      <c r="AH596" s="3"/>
      <c r="AI596" s="3"/>
      <c r="AJ596" s="3"/>
      <c r="AK596" s="3"/>
      <c r="AL596" s="3"/>
      <c r="AM596" s="3"/>
      <c r="AN596" s="3"/>
      <c r="AO596" s="3"/>
    </row>
    <row r="597" spans="1:41" ht="15.75" customHeight="1">
      <c r="A597" s="12"/>
      <c r="B597" s="3"/>
      <c r="C597" s="12"/>
      <c r="D597" s="3"/>
      <c r="E597" s="3"/>
      <c r="F597" s="5"/>
      <c r="G597" s="3"/>
      <c r="H597" s="3"/>
      <c r="I597" s="3"/>
      <c r="J597" s="3"/>
      <c r="K597" s="3"/>
      <c r="L597" s="3"/>
      <c r="M597" s="3"/>
      <c r="N597" s="3"/>
      <c r="O597" s="3"/>
      <c r="P597" s="3"/>
      <c r="Q597" s="3"/>
      <c r="R597" s="5"/>
      <c r="S597" s="3"/>
      <c r="T597" s="3"/>
      <c r="U597" s="3"/>
      <c r="V597" s="3"/>
      <c r="W597" s="3"/>
      <c r="X597" s="3"/>
      <c r="Y597" s="3"/>
      <c r="Z597" s="3"/>
      <c r="AA597" s="3"/>
      <c r="AB597" s="34" t="s">
        <v>1681</v>
      </c>
      <c r="AC597" s="34" t="s">
        <v>36</v>
      </c>
      <c r="AD597" s="180" t="s">
        <v>1682</v>
      </c>
      <c r="AE597" s="3"/>
      <c r="AF597" s="3"/>
      <c r="AG597" s="3"/>
      <c r="AH597" s="3"/>
      <c r="AI597" s="3"/>
      <c r="AJ597" s="3"/>
      <c r="AK597" s="3"/>
      <c r="AL597" s="3"/>
      <c r="AM597" s="3"/>
      <c r="AN597" s="3"/>
      <c r="AO597" s="3"/>
    </row>
    <row r="598" spans="1:41" ht="15.75" customHeight="1">
      <c r="A598" s="12"/>
      <c r="B598" s="3"/>
      <c r="C598" s="12"/>
      <c r="D598" s="3"/>
      <c r="E598" s="3"/>
      <c r="F598" s="5"/>
      <c r="G598" s="3"/>
      <c r="H598" s="3"/>
      <c r="I598" s="3"/>
      <c r="J598" s="3"/>
      <c r="K598" s="3"/>
      <c r="L598" s="3"/>
      <c r="M598" s="3"/>
      <c r="N598" s="3"/>
      <c r="O598" s="3"/>
      <c r="P598" s="3"/>
      <c r="Q598" s="3"/>
      <c r="R598" s="5"/>
      <c r="S598" s="3"/>
      <c r="T598" s="3"/>
      <c r="U598" s="3"/>
      <c r="V598" s="3"/>
      <c r="W598" s="3"/>
      <c r="X598" s="3"/>
      <c r="Y598" s="3"/>
      <c r="Z598" s="3"/>
      <c r="AA598" s="3"/>
      <c r="AB598" s="34" t="s">
        <v>1207</v>
      </c>
      <c r="AC598" s="34" t="s">
        <v>36</v>
      </c>
      <c r="AD598" s="25" t="s">
        <v>1208</v>
      </c>
      <c r="AE598" s="3" t="s">
        <v>1683</v>
      </c>
      <c r="AF598" s="3"/>
      <c r="AG598" s="3"/>
      <c r="AH598" s="3"/>
      <c r="AI598" s="3"/>
      <c r="AJ598" s="3"/>
      <c r="AK598" s="3"/>
      <c r="AL598" s="3"/>
      <c r="AM598" s="3"/>
      <c r="AN598" s="3"/>
      <c r="AO598" s="3"/>
    </row>
    <row r="599" spans="1:41" ht="15.75" customHeight="1">
      <c r="A599" s="12"/>
      <c r="B599" s="3"/>
      <c r="C599" s="12"/>
      <c r="D599" s="3"/>
      <c r="E599" s="3"/>
      <c r="F599" s="5"/>
      <c r="G599" s="3"/>
      <c r="H599" s="3"/>
      <c r="I599" s="3"/>
      <c r="J599" s="3"/>
      <c r="K599" s="3"/>
      <c r="L599" s="3"/>
      <c r="M599" s="3"/>
      <c r="N599" s="3"/>
      <c r="O599" s="3"/>
      <c r="P599" s="3"/>
      <c r="Q599" s="3"/>
      <c r="R599" s="5"/>
      <c r="S599" s="3"/>
      <c r="T599" s="3"/>
      <c r="U599" s="3"/>
      <c r="V599" s="3"/>
      <c r="W599" s="3"/>
      <c r="X599" s="3"/>
      <c r="Y599" s="3"/>
      <c r="Z599" s="3"/>
      <c r="AA599" s="3"/>
      <c r="AB599" s="34" t="s">
        <v>1684</v>
      </c>
      <c r="AC599" s="34" t="s">
        <v>36</v>
      </c>
      <c r="AD599" s="25" t="s">
        <v>1685</v>
      </c>
      <c r="AE599" s="3"/>
      <c r="AF599" s="3"/>
      <c r="AG599" s="3"/>
      <c r="AH599" s="3"/>
      <c r="AI599" s="3"/>
      <c r="AJ599" s="3"/>
      <c r="AK599" s="3"/>
      <c r="AL599" s="3"/>
      <c r="AM599" s="3"/>
      <c r="AN599" s="3"/>
      <c r="AO599" s="3"/>
    </row>
    <row r="600" spans="1:41" ht="15.75" customHeight="1">
      <c r="A600" s="12"/>
      <c r="B600" s="3"/>
      <c r="C600" s="12"/>
      <c r="D600" s="3"/>
      <c r="E600" s="3"/>
      <c r="F600" s="5"/>
      <c r="G600" s="3"/>
      <c r="H600" s="3"/>
      <c r="I600" s="3"/>
      <c r="J600" s="3"/>
      <c r="K600" s="3"/>
      <c r="L600" s="3"/>
      <c r="M600" s="3"/>
      <c r="N600" s="3"/>
      <c r="O600" s="3"/>
      <c r="P600" s="3"/>
      <c r="Q600" s="3"/>
      <c r="R600" s="5"/>
      <c r="S600" s="3"/>
      <c r="T600" s="3"/>
      <c r="U600" s="3"/>
      <c r="V600" s="3"/>
      <c r="W600" s="3"/>
      <c r="X600" s="3"/>
      <c r="Y600" s="3"/>
      <c r="Z600" s="3"/>
      <c r="AA600" s="3"/>
      <c r="AB600" s="34" t="s">
        <v>1686</v>
      </c>
      <c r="AC600" s="34" t="s">
        <v>36</v>
      </c>
      <c r="AD600" s="180" t="s">
        <v>1687</v>
      </c>
      <c r="AE600" s="3"/>
      <c r="AF600" s="3"/>
      <c r="AG600" s="3"/>
      <c r="AH600" s="3"/>
      <c r="AI600" s="3"/>
      <c r="AJ600" s="3"/>
      <c r="AK600" s="3"/>
      <c r="AL600" s="3"/>
      <c r="AM600" s="3"/>
      <c r="AN600" s="3"/>
      <c r="AO600" s="3"/>
    </row>
    <row r="601" spans="1:41" ht="15.75" customHeight="1">
      <c r="A601" s="12"/>
      <c r="B601" s="3"/>
      <c r="C601" s="12"/>
      <c r="D601" s="3"/>
      <c r="E601" s="3"/>
      <c r="F601" s="5"/>
      <c r="G601" s="3"/>
      <c r="H601" s="3"/>
      <c r="I601" s="3"/>
      <c r="J601" s="3"/>
      <c r="K601" s="3"/>
      <c r="L601" s="3"/>
      <c r="M601" s="3"/>
      <c r="N601" s="3"/>
      <c r="O601" s="3"/>
      <c r="P601" s="3"/>
      <c r="Q601" s="3"/>
      <c r="R601" s="5"/>
      <c r="S601" s="3"/>
      <c r="T601" s="3"/>
      <c r="U601" s="3"/>
      <c r="V601" s="3"/>
      <c r="W601" s="3"/>
      <c r="X601" s="3"/>
      <c r="Y601" s="3"/>
      <c r="Z601" s="3"/>
      <c r="AA601" s="3"/>
      <c r="AB601" s="34" t="s">
        <v>1688</v>
      </c>
      <c r="AC601" s="34" t="s">
        <v>36</v>
      </c>
      <c r="AD601" s="180" t="s">
        <v>1689</v>
      </c>
      <c r="AE601" s="3"/>
      <c r="AF601" s="3"/>
      <c r="AG601" s="3"/>
      <c r="AH601" s="3"/>
      <c r="AI601" s="3"/>
      <c r="AJ601" s="3"/>
      <c r="AK601" s="3"/>
      <c r="AL601" s="3"/>
      <c r="AM601" s="3"/>
      <c r="AN601" s="3"/>
      <c r="AO601" s="3"/>
    </row>
    <row r="602" spans="1:41" ht="15.75" customHeight="1">
      <c r="A602" s="12"/>
      <c r="B602" s="3"/>
      <c r="C602" s="12"/>
      <c r="D602" s="3"/>
      <c r="E602" s="3"/>
      <c r="F602" s="5"/>
      <c r="G602" s="3"/>
      <c r="H602" s="3"/>
      <c r="I602" s="3"/>
      <c r="J602" s="3"/>
      <c r="K602" s="3"/>
      <c r="L602" s="3"/>
      <c r="M602" s="3"/>
      <c r="N602" s="3"/>
      <c r="O602" s="3"/>
      <c r="P602" s="3"/>
      <c r="Q602" s="3"/>
      <c r="R602" s="5"/>
      <c r="S602" s="3"/>
      <c r="T602" s="3"/>
      <c r="U602" s="3"/>
      <c r="V602" s="3"/>
      <c r="W602" s="3"/>
      <c r="X602" s="3"/>
      <c r="Y602" s="3"/>
      <c r="Z602" s="3"/>
      <c r="AA602" s="3"/>
      <c r="AB602" s="34" t="s">
        <v>1690</v>
      </c>
      <c r="AC602" s="34" t="s">
        <v>36</v>
      </c>
      <c r="AD602" s="25" t="s">
        <v>1691</v>
      </c>
      <c r="AE602" s="3"/>
      <c r="AF602" s="3"/>
      <c r="AG602" s="3"/>
      <c r="AH602" s="3"/>
      <c r="AI602" s="3"/>
      <c r="AJ602" s="3"/>
      <c r="AK602" s="3"/>
      <c r="AL602" s="3"/>
      <c r="AM602" s="3"/>
      <c r="AN602" s="3"/>
      <c r="AO602" s="3"/>
    </row>
    <row r="603" spans="1:41" ht="15.75" customHeight="1">
      <c r="A603" s="12"/>
      <c r="B603" s="3"/>
      <c r="C603" s="12"/>
      <c r="D603" s="3"/>
      <c r="E603" s="3"/>
      <c r="F603" s="5"/>
      <c r="G603" s="3"/>
      <c r="H603" s="3"/>
      <c r="I603" s="3"/>
      <c r="J603" s="3"/>
      <c r="K603" s="3"/>
      <c r="L603" s="3"/>
      <c r="M603" s="3"/>
      <c r="N603" s="3"/>
      <c r="O603" s="3"/>
      <c r="P603" s="3"/>
      <c r="Q603" s="3"/>
      <c r="R603" s="5"/>
      <c r="S603" s="3"/>
      <c r="T603" s="3"/>
      <c r="U603" s="3"/>
      <c r="V603" s="3"/>
      <c r="W603" s="3"/>
      <c r="X603" s="3"/>
      <c r="Y603" s="3"/>
      <c r="Z603" s="3"/>
      <c r="AA603" s="3"/>
      <c r="AB603" s="34" t="s">
        <v>691</v>
      </c>
      <c r="AC603" s="34" t="s">
        <v>36</v>
      </c>
      <c r="AD603" s="25" t="s">
        <v>692</v>
      </c>
      <c r="AE603" s="3"/>
      <c r="AF603" s="3"/>
      <c r="AG603" s="3"/>
      <c r="AH603" s="3"/>
      <c r="AI603" s="3"/>
      <c r="AJ603" s="3"/>
      <c r="AK603" s="3"/>
      <c r="AL603" s="3"/>
      <c r="AM603" s="3"/>
      <c r="AN603" s="3"/>
      <c r="AO603" s="3"/>
    </row>
    <row r="604" spans="1:41" ht="15.75" customHeight="1">
      <c r="A604" s="12"/>
      <c r="B604" s="3"/>
      <c r="C604" s="12"/>
      <c r="D604" s="3"/>
      <c r="E604" s="3"/>
      <c r="F604" s="5"/>
      <c r="G604" s="3"/>
      <c r="H604" s="3"/>
      <c r="I604" s="3"/>
      <c r="J604" s="3"/>
      <c r="K604" s="3"/>
      <c r="L604" s="3"/>
      <c r="M604" s="3"/>
      <c r="N604" s="3"/>
      <c r="O604" s="3"/>
      <c r="P604" s="3"/>
      <c r="Q604" s="3"/>
      <c r="R604" s="5"/>
      <c r="S604" s="3"/>
      <c r="T604" s="3"/>
      <c r="U604" s="3"/>
      <c r="V604" s="3"/>
      <c r="W604" s="3"/>
      <c r="X604" s="3"/>
      <c r="Y604" s="3"/>
      <c r="Z604" s="3"/>
      <c r="AA604" s="3"/>
      <c r="AB604" s="34" t="s">
        <v>1692</v>
      </c>
      <c r="AC604" s="34" t="s">
        <v>36</v>
      </c>
      <c r="AD604" s="180" t="s">
        <v>1693</v>
      </c>
      <c r="AE604" s="3"/>
      <c r="AF604" s="3"/>
      <c r="AG604" s="3"/>
      <c r="AH604" s="3"/>
      <c r="AI604" s="3"/>
      <c r="AJ604" s="3"/>
      <c r="AK604" s="3"/>
      <c r="AL604" s="3"/>
      <c r="AM604" s="3"/>
      <c r="AN604" s="3"/>
      <c r="AO604" s="3"/>
    </row>
    <row r="605" spans="1:41" ht="15.75" customHeight="1">
      <c r="A605" s="12"/>
      <c r="B605" s="3"/>
      <c r="C605" s="12"/>
      <c r="D605" s="3"/>
      <c r="E605" s="3"/>
      <c r="F605" s="5"/>
      <c r="G605" s="3"/>
      <c r="H605" s="3"/>
      <c r="I605" s="3"/>
      <c r="J605" s="3"/>
      <c r="K605" s="3"/>
      <c r="L605" s="3"/>
      <c r="M605" s="3"/>
      <c r="N605" s="3"/>
      <c r="O605" s="3"/>
      <c r="P605" s="3"/>
      <c r="Q605" s="3"/>
      <c r="R605" s="5"/>
      <c r="S605" s="3"/>
      <c r="T605" s="3"/>
      <c r="U605" s="3"/>
      <c r="V605" s="3"/>
      <c r="W605" s="3"/>
      <c r="X605" s="3"/>
      <c r="Y605" s="3"/>
      <c r="Z605" s="3"/>
      <c r="AA605" s="3"/>
      <c r="AB605" s="34" t="s">
        <v>1694</v>
      </c>
      <c r="AC605" s="34" t="s">
        <v>36</v>
      </c>
      <c r="AD605" s="180" t="s">
        <v>1695</v>
      </c>
      <c r="AE605" s="3"/>
      <c r="AF605" s="3"/>
      <c r="AG605" s="3"/>
      <c r="AH605" s="3"/>
      <c r="AI605" s="3"/>
      <c r="AJ605" s="3"/>
      <c r="AK605" s="3"/>
      <c r="AL605" s="3"/>
      <c r="AM605" s="3"/>
      <c r="AN605" s="3"/>
      <c r="AO605" s="3"/>
    </row>
    <row r="606" spans="1:41" ht="15.75" customHeight="1">
      <c r="A606" s="12"/>
      <c r="B606" s="3"/>
      <c r="C606" s="12"/>
      <c r="D606" s="3"/>
      <c r="E606" s="3"/>
      <c r="F606" s="5"/>
      <c r="G606" s="3"/>
      <c r="H606" s="3"/>
      <c r="I606" s="3"/>
      <c r="J606" s="3"/>
      <c r="K606" s="3"/>
      <c r="L606" s="3"/>
      <c r="M606" s="3"/>
      <c r="N606" s="3"/>
      <c r="O606" s="3"/>
      <c r="P606" s="3"/>
      <c r="Q606" s="3"/>
      <c r="R606" s="5"/>
      <c r="S606" s="3"/>
      <c r="T606" s="3"/>
      <c r="U606" s="3"/>
      <c r="V606" s="3"/>
      <c r="W606" s="3"/>
      <c r="X606" s="3"/>
      <c r="Y606" s="3"/>
      <c r="Z606" s="3"/>
      <c r="AA606" s="3"/>
      <c r="AB606" s="34" t="s">
        <v>1696</v>
      </c>
      <c r="AC606" s="34" t="s">
        <v>36</v>
      </c>
      <c r="AD606" s="25" t="s">
        <v>1697</v>
      </c>
      <c r="AE606" s="3"/>
      <c r="AF606" s="3"/>
      <c r="AG606" s="3"/>
      <c r="AH606" s="3"/>
      <c r="AI606" s="3"/>
      <c r="AJ606" s="3"/>
      <c r="AK606" s="3"/>
      <c r="AL606" s="3"/>
      <c r="AM606" s="3"/>
      <c r="AN606" s="3"/>
      <c r="AO606" s="3"/>
    </row>
    <row r="607" spans="1:41" ht="15.75" customHeight="1">
      <c r="A607" s="12"/>
      <c r="B607" s="3"/>
      <c r="C607" s="12"/>
      <c r="D607" s="3"/>
      <c r="E607" s="3"/>
      <c r="F607" s="5"/>
      <c r="G607" s="3"/>
      <c r="H607" s="3"/>
      <c r="I607" s="3"/>
      <c r="J607" s="3"/>
      <c r="K607" s="3"/>
      <c r="L607" s="3"/>
      <c r="M607" s="3"/>
      <c r="N607" s="3"/>
      <c r="O607" s="3"/>
      <c r="P607" s="3"/>
      <c r="Q607" s="3"/>
      <c r="R607" s="5"/>
      <c r="S607" s="3"/>
      <c r="T607" s="3"/>
      <c r="U607" s="3"/>
      <c r="V607" s="3"/>
      <c r="W607" s="3"/>
      <c r="X607" s="3"/>
      <c r="Y607" s="3"/>
      <c r="Z607" s="3"/>
      <c r="AA607" s="3"/>
      <c r="AB607" s="34" t="s">
        <v>1698</v>
      </c>
      <c r="AC607" s="34" t="s">
        <v>36</v>
      </c>
      <c r="AD607" s="25" t="s">
        <v>1699</v>
      </c>
      <c r="AE607" s="3"/>
      <c r="AF607" s="3"/>
      <c r="AG607" s="3"/>
      <c r="AH607" s="3"/>
      <c r="AI607" s="3"/>
      <c r="AJ607" s="3"/>
      <c r="AK607" s="3"/>
      <c r="AL607" s="3"/>
      <c r="AM607" s="3"/>
      <c r="AN607" s="3"/>
      <c r="AO607" s="3"/>
    </row>
    <row r="608" spans="1:41" ht="15.75" customHeight="1">
      <c r="A608" s="12"/>
      <c r="B608" s="3"/>
      <c r="C608" s="12"/>
      <c r="D608" s="3"/>
      <c r="E608" s="3"/>
      <c r="F608" s="5"/>
      <c r="G608" s="3"/>
      <c r="H608" s="3"/>
      <c r="I608" s="3"/>
      <c r="J608" s="3"/>
      <c r="K608" s="3"/>
      <c r="L608" s="3"/>
      <c r="M608" s="3"/>
      <c r="N608" s="3"/>
      <c r="O608" s="3"/>
      <c r="P608" s="3"/>
      <c r="Q608" s="3"/>
      <c r="R608" s="5"/>
      <c r="S608" s="3"/>
      <c r="T608" s="3"/>
      <c r="U608" s="3"/>
      <c r="V608" s="3"/>
      <c r="W608" s="3"/>
      <c r="X608" s="3"/>
      <c r="Y608" s="3"/>
      <c r="Z608" s="3"/>
      <c r="AA608" s="3"/>
      <c r="AB608" s="34" t="s">
        <v>1700</v>
      </c>
      <c r="AC608" s="34" t="s">
        <v>36</v>
      </c>
      <c r="AD608" s="34"/>
      <c r="AE608" s="3"/>
      <c r="AF608" s="3"/>
      <c r="AG608" s="3"/>
      <c r="AH608" s="3"/>
      <c r="AI608" s="3"/>
      <c r="AJ608" s="3"/>
      <c r="AK608" s="3"/>
      <c r="AL608" s="3"/>
      <c r="AM608" s="3"/>
      <c r="AN608" s="3"/>
      <c r="AO608" s="3"/>
    </row>
    <row r="609" spans="1:41" ht="15.75" customHeight="1">
      <c r="A609" s="12"/>
      <c r="B609" s="3"/>
      <c r="C609" s="12"/>
      <c r="D609" s="3"/>
      <c r="E609" s="3"/>
      <c r="F609" s="5"/>
      <c r="G609" s="3"/>
      <c r="H609" s="3"/>
      <c r="I609" s="3"/>
      <c r="J609" s="3"/>
      <c r="K609" s="3"/>
      <c r="L609" s="3"/>
      <c r="M609" s="3"/>
      <c r="N609" s="3"/>
      <c r="O609" s="3"/>
      <c r="P609" s="3"/>
      <c r="Q609" s="3"/>
      <c r="R609" s="5"/>
      <c r="S609" s="3"/>
      <c r="T609" s="3"/>
      <c r="U609" s="3"/>
      <c r="V609" s="3"/>
      <c r="W609" s="3"/>
      <c r="X609" s="3"/>
      <c r="Y609" s="3"/>
      <c r="Z609" s="3"/>
      <c r="AA609" s="3"/>
      <c r="AB609" s="34" t="s">
        <v>1701</v>
      </c>
      <c r="AC609" s="34" t="s">
        <v>36</v>
      </c>
      <c r="AD609" s="25" t="s">
        <v>1702</v>
      </c>
      <c r="AE609" s="3"/>
      <c r="AF609" s="3"/>
      <c r="AG609" s="3"/>
      <c r="AH609" s="3"/>
      <c r="AI609" s="3"/>
      <c r="AJ609" s="3"/>
      <c r="AK609" s="3"/>
      <c r="AL609" s="3"/>
      <c r="AM609" s="3"/>
      <c r="AN609" s="3"/>
      <c r="AO609" s="3"/>
    </row>
    <row r="610" spans="1:41" ht="15.75" customHeight="1">
      <c r="A610" s="12"/>
      <c r="B610" s="3"/>
      <c r="C610" s="12"/>
      <c r="D610" s="3"/>
      <c r="E610" s="3"/>
      <c r="F610" s="5"/>
      <c r="G610" s="3"/>
      <c r="H610" s="3"/>
      <c r="I610" s="3"/>
      <c r="J610" s="3"/>
      <c r="K610" s="3"/>
      <c r="L610" s="3"/>
      <c r="M610" s="3"/>
      <c r="N610" s="3"/>
      <c r="O610" s="3"/>
      <c r="P610" s="3"/>
      <c r="Q610" s="3"/>
      <c r="R610" s="5"/>
      <c r="S610" s="3"/>
      <c r="T610" s="3"/>
      <c r="U610" s="3"/>
      <c r="V610" s="3"/>
      <c r="W610" s="3"/>
      <c r="X610" s="3"/>
      <c r="Y610" s="3"/>
      <c r="Z610" s="3"/>
      <c r="AA610" s="3"/>
      <c r="AB610" s="34" t="s">
        <v>1703</v>
      </c>
      <c r="AC610" s="34" t="s">
        <v>36</v>
      </c>
      <c r="AD610" s="25" t="s">
        <v>1704</v>
      </c>
      <c r="AE610" s="3"/>
      <c r="AF610" s="3"/>
      <c r="AG610" s="3"/>
      <c r="AH610" s="3"/>
      <c r="AI610" s="3"/>
      <c r="AJ610" s="3"/>
      <c r="AK610" s="3"/>
      <c r="AL610" s="3"/>
      <c r="AM610" s="3"/>
      <c r="AN610" s="3"/>
      <c r="AO610" s="3"/>
    </row>
    <row r="611" spans="1:41" ht="15.75" customHeight="1">
      <c r="A611" s="12"/>
      <c r="B611" s="3"/>
      <c r="C611" s="12"/>
      <c r="D611" s="3"/>
      <c r="E611" s="3"/>
      <c r="F611" s="5"/>
      <c r="G611" s="3"/>
      <c r="H611" s="3"/>
      <c r="I611" s="3"/>
      <c r="J611" s="3"/>
      <c r="K611" s="3"/>
      <c r="L611" s="3"/>
      <c r="M611" s="3"/>
      <c r="N611" s="3"/>
      <c r="O611" s="3"/>
      <c r="P611" s="3"/>
      <c r="Q611" s="3"/>
      <c r="R611" s="5"/>
      <c r="S611" s="3"/>
      <c r="T611" s="3"/>
      <c r="U611" s="3"/>
      <c r="V611" s="3"/>
      <c r="W611" s="3"/>
      <c r="X611" s="3"/>
      <c r="Y611" s="3"/>
      <c r="Z611" s="3"/>
      <c r="AA611" s="3"/>
      <c r="AB611" s="34" t="s">
        <v>1705</v>
      </c>
      <c r="AC611" s="34" t="s">
        <v>36</v>
      </c>
      <c r="AD611" s="34"/>
      <c r="AE611" s="3"/>
      <c r="AF611" s="3"/>
      <c r="AG611" s="3"/>
      <c r="AH611" s="3"/>
      <c r="AI611" s="3"/>
      <c r="AJ611" s="3"/>
      <c r="AK611" s="3"/>
      <c r="AL611" s="3"/>
      <c r="AM611" s="3"/>
      <c r="AN611" s="3"/>
      <c r="AO611" s="3"/>
    </row>
    <row r="612" spans="1:41" ht="15.75" customHeight="1">
      <c r="A612" s="12"/>
      <c r="B612" s="3"/>
      <c r="C612" s="12"/>
      <c r="D612" s="3"/>
      <c r="E612" s="3"/>
      <c r="F612" s="5"/>
      <c r="G612" s="3"/>
      <c r="H612" s="3"/>
      <c r="I612" s="3"/>
      <c r="J612" s="3"/>
      <c r="K612" s="3"/>
      <c r="L612" s="3"/>
      <c r="M612" s="3"/>
      <c r="N612" s="3"/>
      <c r="O612" s="3"/>
      <c r="P612" s="3"/>
      <c r="Q612" s="3"/>
      <c r="R612" s="5"/>
      <c r="S612" s="3"/>
      <c r="T612" s="3"/>
      <c r="U612" s="3"/>
      <c r="V612" s="3"/>
      <c r="W612" s="3"/>
      <c r="X612" s="3"/>
      <c r="Y612" s="3"/>
      <c r="Z612" s="3"/>
      <c r="AA612" s="3"/>
      <c r="AB612" s="34" t="s">
        <v>1706</v>
      </c>
      <c r="AC612" s="34" t="s">
        <v>36</v>
      </c>
      <c r="AD612" s="34"/>
      <c r="AE612" s="3"/>
      <c r="AF612" s="3"/>
      <c r="AG612" s="3"/>
      <c r="AH612" s="3"/>
      <c r="AI612" s="3"/>
      <c r="AJ612" s="3"/>
      <c r="AK612" s="3"/>
      <c r="AL612" s="3"/>
      <c r="AM612" s="3"/>
      <c r="AN612" s="3"/>
      <c r="AO612" s="3"/>
    </row>
    <row r="613" spans="1:41" ht="15.75" customHeight="1">
      <c r="A613" s="12"/>
      <c r="B613" s="3"/>
      <c r="C613" s="12"/>
      <c r="D613" s="3"/>
      <c r="E613" s="3"/>
      <c r="F613" s="5"/>
      <c r="G613" s="3"/>
      <c r="H613" s="3"/>
      <c r="I613" s="3"/>
      <c r="J613" s="3"/>
      <c r="K613" s="3"/>
      <c r="L613" s="3"/>
      <c r="M613" s="3"/>
      <c r="N613" s="3"/>
      <c r="O613" s="3"/>
      <c r="P613" s="3"/>
      <c r="Q613" s="3"/>
      <c r="R613" s="5"/>
      <c r="S613" s="3"/>
      <c r="T613" s="3"/>
      <c r="U613" s="3"/>
      <c r="V613" s="3"/>
      <c r="W613" s="3"/>
      <c r="X613" s="3"/>
      <c r="Y613" s="3"/>
      <c r="Z613" s="3"/>
      <c r="AA613" s="3"/>
      <c r="AB613" s="34" t="s">
        <v>1707</v>
      </c>
      <c r="AC613" s="34" t="s">
        <v>36</v>
      </c>
      <c r="AD613" s="34"/>
      <c r="AE613" s="3"/>
      <c r="AF613" s="3"/>
      <c r="AG613" s="3"/>
      <c r="AH613" s="3"/>
      <c r="AI613" s="3"/>
      <c r="AJ613" s="3"/>
      <c r="AK613" s="3"/>
      <c r="AL613" s="3"/>
      <c r="AM613" s="3"/>
      <c r="AN613" s="3"/>
      <c r="AO613" s="3"/>
    </row>
    <row r="614" spans="1:41" ht="15.75" customHeight="1">
      <c r="A614" s="12"/>
      <c r="B614" s="3"/>
      <c r="C614" s="12"/>
      <c r="D614" s="3"/>
      <c r="E614" s="3"/>
      <c r="F614" s="5"/>
      <c r="G614" s="3"/>
      <c r="H614" s="3"/>
      <c r="I614" s="3"/>
      <c r="J614" s="3"/>
      <c r="K614" s="3"/>
      <c r="L614" s="3"/>
      <c r="M614" s="3"/>
      <c r="N614" s="3"/>
      <c r="O614" s="3"/>
      <c r="P614" s="3"/>
      <c r="Q614" s="3"/>
      <c r="R614" s="5"/>
      <c r="S614" s="3"/>
      <c r="T614" s="3"/>
      <c r="U614" s="3"/>
      <c r="V614" s="3"/>
      <c r="W614" s="3"/>
      <c r="X614" s="3"/>
      <c r="Y614" s="3"/>
      <c r="Z614" s="3"/>
      <c r="AA614" s="3"/>
      <c r="AB614" s="34" t="s">
        <v>1708</v>
      </c>
      <c r="AC614" s="34" t="s">
        <v>36</v>
      </c>
      <c r="AD614" s="34"/>
      <c r="AE614" s="3"/>
      <c r="AF614" s="3"/>
      <c r="AG614" s="3"/>
      <c r="AH614" s="3"/>
      <c r="AI614" s="3"/>
      <c r="AJ614" s="3"/>
      <c r="AK614" s="3"/>
      <c r="AL614" s="3"/>
      <c r="AM614" s="3"/>
      <c r="AN614" s="3"/>
      <c r="AO614" s="3"/>
    </row>
    <row r="615" spans="1:41" ht="15.75" customHeight="1">
      <c r="A615" s="12"/>
      <c r="B615" s="3"/>
      <c r="C615" s="12"/>
      <c r="D615" s="3"/>
      <c r="E615" s="3"/>
      <c r="F615" s="5"/>
      <c r="G615" s="3"/>
      <c r="H615" s="3"/>
      <c r="I615" s="3"/>
      <c r="J615" s="3"/>
      <c r="K615" s="3"/>
      <c r="L615" s="3"/>
      <c r="M615" s="3"/>
      <c r="N615" s="3"/>
      <c r="O615" s="3"/>
      <c r="P615" s="3"/>
      <c r="Q615" s="3"/>
      <c r="R615" s="5"/>
      <c r="S615" s="3"/>
      <c r="T615" s="3"/>
      <c r="U615" s="3"/>
      <c r="V615" s="3"/>
      <c r="W615" s="3"/>
      <c r="X615" s="3"/>
      <c r="Y615" s="3"/>
      <c r="Z615" s="3"/>
      <c r="AA615" s="3"/>
      <c r="AB615" s="34" t="s">
        <v>1709</v>
      </c>
      <c r="AC615" s="34" t="s">
        <v>36</v>
      </c>
      <c r="AD615" s="25" t="s">
        <v>1710</v>
      </c>
      <c r="AE615" s="3"/>
      <c r="AF615" s="3"/>
      <c r="AG615" s="3"/>
      <c r="AH615" s="3"/>
      <c r="AI615" s="3"/>
      <c r="AJ615" s="3"/>
      <c r="AK615" s="3"/>
      <c r="AL615" s="3"/>
      <c r="AM615" s="3"/>
      <c r="AN615" s="3"/>
      <c r="AO615" s="3"/>
    </row>
    <row r="616" spans="1:41" ht="15.75" customHeight="1">
      <c r="A616" s="12"/>
      <c r="B616" s="3"/>
      <c r="C616" s="12"/>
      <c r="D616" s="3"/>
      <c r="E616" s="3"/>
      <c r="F616" s="5"/>
      <c r="G616" s="3"/>
      <c r="H616" s="3"/>
      <c r="I616" s="3"/>
      <c r="J616" s="3"/>
      <c r="K616" s="3"/>
      <c r="L616" s="3"/>
      <c r="M616" s="3"/>
      <c r="N616" s="3"/>
      <c r="O616" s="3"/>
      <c r="P616" s="3"/>
      <c r="Q616" s="3"/>
      <c r="R616" s="5"/>
      <c r="S616" s="3"/>
      <c r="T616" s="3"/>
      <c r="U616" s="3"/>
      <c r="V616" s="3"/>
      <c r="W616" s="3"/>
      <c r="X616" s="3"/>
      <c r="Y616" s="3"/>
      <c r="Z616" s="3"/>
      <c r="AA616" s="3"/>
      <c r="AB616" s="34" t="s">
        <v>1711</v>
      </c>
      <c r="AC616" s="34" t="s">
        <v>36</v>
      </c>
      <c r="AD616" s="25" t="s">
        <v>1712</v>
      </c>
      <c r="AE616" s="3"/>
      <c r="AF616" s="3"/>
      <c r="AG616" s="3"/>
      <c r="AH616" s="3"/>
      <c r="AI616" s="3"/>
      <c r="AJ616" s="3"/>
      <c r="AK616" s="3"/>
      <c r="AL616" s="3"/>
      <c r="AM616" s="3"/>
      <c r="AN616" s="3"/>
      <c r="AO616" s="3"/>
    </row>
    <row r="617" spans="1:41" ht="15.75" customHeight="1">
      <c r="A617" s="12"/>
      <c r="B617" s="3"/>
      <c r="C617" s="12"/>
      <c r="D617" s="3"/>
      <c r="E617" s="3"/>
      <c r="F617" s="5"/>
      <c r="G617" s="3"/>
      <c r="H617" s="3"/>
      <c r="I617" s="3"/>
      <c r="J617" s="3"/>
      <c r="K617" s="3"/>
      <c r="L617" s="3"/>
      <c r="M617" s="3"/>
      <c r="N617" s="3"/>
      <c r="O617" s="3"/>
      <c r="P617" s="3"/>
      <c r="Q617" s="3"/>
      <c r="R617" s="5"/>
      <c r="S617" s="3"/>
      <c r="T617" s="3"/>
      <c r="U617" s="3"/>
      <c r="V617" s="3"/>
      <c r="W617" s="3"/>
      <c r="X617" s="3"/>
      <c r="Y617" s="3"/>
      <c r="Z617" s="3"/>
      <c r="AA617" s="3"/>
      <c r="AB617" s="34" t="s">
        <v>1713</v>
      </c>
      <c r="AC617" s="34" t="s">
        <v>36</v>
      </c>
      <c r="AD617" s="25" t="s">
        <v>1714</v>
      </c>
      <c r="AE617" s="3"/>
      <c r="AF617" s="3"/>
      <c r="AG617" s="3"/>
      <c r="AH617" s="3"/>
      <c r="AI617" s="3"/>
      <c r="AJ617" s="3"/>
      <c r="AK617" s="3"/>
      <c r="AL617" s="3"/>
      <c r="AM617" s="3"/>
      <c r="AN617" s="3"/>
      <c r="AO617" s="3"/>
    </row>
    <row r="618" spans="1:41" ht="15.75" customHeight="1">
      <c r="A618" s="12"/>
      <c r="B618" s="3"/>
      <c r="C618" s="12"/>
      <c r="D618" s="3"/>
      <c r="E618" s="3"/>
      <c r="F618" s="5"/>
      <c r="G618" s="3"/>
      <c r="H618" s="3"/>
      <c r="I618" s="3"/>
      <c r="J618" s="3"/>
      <c r="K618" s="3"/>
      <c r="L618" s="3"/>
      <c r="M618" s="3"/>
      <c r="N618" s="3"/>
      <c r="O618" s="3"/>
      <c r="P618" s="3"/>
      <c r="Q618" s="3"/>
      <c r="R618" s="5"/>
      <c r="S618" s="3"/>
      <c r="T618" s="3"/>
      <c r="U618" s="3"/>
      <c r="V618" s="3"/>
      <c r="W618" s="3"/>
      <c r="X618" s="3"/>
      <c r="Y618" s="3"/>
      <c r="Z618" s="3"/>
      <c r="AA618" s="3"/>
      <c r="AB618" s="34" t="s">
        <v>1715</v>
      </c>
      <c r="AC618" s="34" t="s">
        <v>140</v>
      </c>
      <c r="AD618" s="34"/>
      <c r="AE618" s="3"/>
      <c r="AF618" s="3"/>
      <c r="AG618" s="3"/>
      <c r="AH618" s="3"/>
      <c r="AI618" s="3"/>
      <c r="AJ618" s="3"/>
      <c r="AK618" s="3"/>
      <c r="AL618" s="3"/>
      <c r="AM618" s="3"/>
      <c r="AN618" s="3"/>
      <c r="AO618" s="3"/>
    </row>
    <row r="619" spans="1:41" ht="15.75" customHeight="1">
      <c r="A619" s="12"/>
      <c r="B619" s="3"/>
      <c r="C619" s="12"/>
      <c r="D619" s="3"/>
      <c r="E619" s="3"/>
      <c r="F619" s="5"/>
      <c r="G619" s="3"/>
      <c r="H619" s="3"/>
      <c r="I619" s="3"/>
      <c r="J619" s="3"/>
      <c r="K619" s="3"/>
      <c r="L619" s="3"/>
      <c r="M619" s="3"/>
      <c r="N619" s="3"/>
      <c r="O619" s="3"/>
      <c r="P619" s="3"/>
      <c r="Q619" s="3"/>
      <c r="R619" s="5"/>
      <c r="S619" s="3"/>
      <c r="T619" s="3"/>
      <c r="U619" s="3"/>
      <c r="V619" s="3"/>
      <c r="W619" s="3"/>
      <c r="X619" s="3"/>
      <c r="Y619" s="3"/>
      <c r="Z619" s="3"/>
      <c r="AA619" s="3"/>
      <c r="AB619" s="34" t="s">
        <v>1716</v>
      </c>
      <c r="AC619" s="34" t="s">
        <v>140</v>
      </c>
      <c r="AD619" s="34"/>
      <c r="AE619" s="3"/>
      <c r="AF619" s="3"/>
      <c r="AG619" s="3"/>
      <c r="AH619" s="3"/>
      <c r="AI619" s="3"/>
      <c r="AJ619" s="3"/>
      <c r="AK619" s="3"/>
      <c r="AL619" s="3"/>
      <c r="AM619" s="3"/>
      <c r="AN619" s="3"/>
      <c r="AO619" s="3"/>
    </row>
    <row r="620" spans="1:41" ht="15.75" customHeight="1">
      <c r="A620" s="12"/>
      <c r="B620" s="3"/>
      <c r="C620" s="12"/>
      <c r="D620" s="3"/>
      <c r="E620" s="3"/>
      <c r="F620" s="5"/>
      <c r="G620" s="3"/>
      <c r="H620" s="3"/>
      <c r="I620" s="3"/>
      <c r="J620" s="3"/>
      <c r="K620" s="3"/>
      <c r="L620" s="3"/>
      <c r="M620" s="3"/>
      <c r="N620" s="3"/>
      <c r="O620" s="3"/>
      <c r="P620" s="3"/>
      <c r="Q620" s="3"/>
      <c r="R620" s="5"/>
      <c r="S620" s="3"/>
      <c r="T620" s="3"/>
      <c r="U620" s="3"/>
      <c r="V620" s="3"/>
      <c r="W620" s="3"/>
      <c r="X620" s="3"/>
      <c r="Y620" s="3"/>
      <c r="Z620" s="3"/>
      <c r="AA620" s="3"/>
      <c r="AB620" s="34" t="s">
        <v>1717</v>
      </c>
      <c r="AC620" s="34" t="s">
        <v>140</v>
      </c>
      <c r="AD620" s="34"/>
      <c r="AE620" s="3"/>
      <c r="AF620" s="3"/>
      <c r="AG620" s="3"/>
      <c r="AH620" s="3"/>
      <c r="AI620" s="3"/>
      <c r="AJ620" s="3"/>
      <c r="AK620" s="3"/>
      <c r="AL620" s="3"/>
      <c r="AM620" s="3"/>
      <c r="AN620" s="3"/>
      <c r="AO620" s="3"/>
    </row>
    <row r="621" spans="1:41" ht="15.75" customHeight="1">
      <c r="A621" s="12"/>
      <c r="B621" s="3"/>
      <c r="C621" s="12"/>
      <c r="D621" s="3"/>
      <c r="E621" s="3"/>
      <c r="F621" s="5"/>
      <c r="G621" s="3"/>
      <c r="H621" s="3"/>
      <c r="I621" s="3"/>
      <c r="J621" s="3"/>
      <c r="K621" s="3"/>
      <c r="L621" s="3"/>
      <c r="M621" s="3"/>
      <c r="N621" s="3"/>
      <c r="O621" s="3"/>
      <c r="P621" s="3"/>
      <c r="Q621" s="3"/>
      <c r="R621" s="5"/>
      <c r="S621" s="3"/>
      <c r="T621" s="3"/>
      <c r="U621" s="3"/>
      <c r="V621" s="3"/>
      <c r="W621" s="3"/>
      <c r="X621" s="3"/>
      <c r="Y621" s="3"/>
      <c r="Z621" s="3"/>
      <c r="AA621" s="3"/>
      <c r="AB621" s="34" t="s">
        <v>1718</v>
      </c>
      <c r="AC621" s="34" t="s">
        <v>36</v>
      </c>
      <c r="AD621" s="34"/>
      <c r="AE621" s="3"/>
      <c r="AF621" s="3"/>
      <c r="AG621" s="3"/>
      <c r="AH621" s="3"/>
      <c r="AI621" s="3"/>
      <c r="AJ621" s="3"/>
      <c r="AK621" s="3"/>
      <c r="AL621" s="3"/>
      <c r="AM621" s="3"/>
      <c r="AN621" s="3"/>
      <c r="AO621" s="3"/>
    </row>
    <row r="622" spans="1:41" ht="15.75" customHeight="1">
      <c r="A622" s="12"/>
      <c r="B622" s="3"/>
      <c r="C622" s="12"/>
      <c r="D622" s="3"/>
      <c r="E622" s="3"/>
      <c r="F622" s="5"/>
      <c r="G622" s="3"/>
      <c r="H622" s="3"/>
      <c r="I622" s="3"/>
      <c r="J622" s="3"/>
      <c r="K622" s="3"/>
      <c r="L622" s="3"/>
      <c r="M622" s="3"/>
      <c r="N622" s="3"/>
      <c r="O622" s="3"/>
      <c r="P622" s="3"/>
      <c r="Q622" s="3"/>
      <c r="R622" s="5"/>
      <c r="S622" s="3"/>
      <c r="T622" s="3"/>
      <c r="U622" s="3"/>
      <c r="V622" s="3"/>
      <c r="W622" s="3"/>
      <c r="X622" s="3"/>
      <c r="Y622" s="3"/>
      <c r="Z622" s="3"/>
      <c r="AA622" s="3"/>
      <c r="AB622" s="34" t="s">
        <v>1719</v>
      </c>
      <c r="AC622" s="34" t="s">
        <v>36</v>
      </c>
      <c r="AD622" s="34"/>
      <c r="AE622" s="3"/>
      <c r="AF622" s="3"/>
      <c r="AG622" s="3"/>
      <c r="AH622" s="3"/>
      <c r="AI622" s="3"/>
      <c r="AJ622" s="3"/>
      <c r="AK622" s="3"/>
      <c r="AL622" s="3"/>
      <c r="AM622" s="3"/>
      <c r="AN622" s="3"/>
      <c r="AO622" s="3"/>
    </row>
    <row r="623" spans="1:41" ht="15.75" customHeight="1">
      <c r="A623" s="12"/>
      <c r="B623" s="3"/>
      <c r="C623" s="12"/>
      <c r="D623" s="3"/>
      <c r="E623" s="3"/>
      <c r="F623" s="5"/>
      <c r="G623" s="3"/>
      <c r="H623" s="3"/>
      <c r="I623" s="3"/>
      <c r="J623" s="3"/>
      <c r="K623" s="3"/>
      <c r="L623" s="3"/>
      <c r="M623" s="3"/>
      <c r="N623" s="3"/>
      <c r="O623" s="3"/>
      <c r="P623" s="3"/>
      <c r="Q623" s="3"/>
      <c r="R623" s="5"/>
      <c r="S623" s="3"/>
      <c r="T623" s="3"/>
      <c r="U623" s="3"/>
      <c r="V623" s="3"/>
      <c r="W623" s="3"/>
      <c r="X623" s="3"/>
      <c r="Y623" s="3"/>
      <c r="Z623" s="3"/>
      <c r="AA623" s="3"/>
      <c r="AB623" s="34" t="s">
        <v>1720</v>
      </c>
      <c r="AC623" s="34" t="s">
        <v>36</v>
      </c>
      <c r="AD623" s="25" t="s">
        <v>1721</v>
      </c>
      <c r="AE623" s="3"/>
      <c r="AF623" s="3"/>
      <c r="AG623" s="3"/>
      <c r="AH623" s="3"/>
      <c r="AI623" s="3"/>
      <c r="AJ623" s="3"/>
      <c r="AK623" s="3"/>
      <c r="AL623" s="3"/>
      <c r="AM623" s="3"/>
      <c r="AN623" s="3"/>
      <c r="AO623" s="3"/>
    </row>
    <row r="624" spans="1:41" ht="15.75" customHeight="1">
      <c r="A624" s="12"/>
      <c r="B624" s="3"/>
      <c r="C624" s="12"/>
      <c r="D624" s="3"/>
      <c r="E624" s="3"/>
      <c r="F624" s="5"/>
      <c r="G624" s="3"/>
      <c r="H624" s="3"/>
      <c r="I624" s="3"/>
      <c r="J624" s="3"/>
      <c r="K624" s="3"/>
      <c r="L624" s="3"/>
      <c r="M624" s="3"/>
      <c r="N624" s="3"/>
      <c r="O624" s="3"/>
      <c r="P624" s="3"/>
      <c r="Q624" s="3"/>
      <c r="R624" s="5"/>
      <c r="S624" s="3"/>
      <c r="T624" s="3"/>
      <c r="U624" s="3"/>
      <c r="V624" s="3"/>
      <c r="W624" s="3"/>
      <c r="X624" s="3"/>
      <c r="Y624" s="3"/>
      <c r="Z624" s="3"/>
      <c r="AA624" s="3"/>
      <c r="AB624" s="34" t="s">
        <v>1722</v>
      </c>
      <c r="AC624" s="34" t="s">
        <v>36</v>
      </c>
      <c r="AD624" s="180" t="s">
        <v>1723</v>
      </c>
      <c r="AE624" s="3"/>
      <c r="AF624" s="3"/>
      <c r="AG624" s="3"/>
      <c r="AH624" s="3"/>
      <c r="AI624" s="3"/>
      <c r="AJ624" s="3"/>
      <c r="AK624" s="3"/>
      <c r="AL624" s="3"/>
      <c r="AM624" s="3"/>
      <c r="AN624" s="3"/>
      <c r="AO624" s="3"/>
    </row>
    <row r="625" spans="1:41" ht="15.75" customHeight="1">
      <c r="A625" s="12"/>
      <c r="B625" s="3"/>
      <c r="C625" s="12"/>
      <c r="D625" s="3"/>
      <c r="E625" s="3"/>
      <c r="F625" s="5"/>
      <c r="G625" s="3"/>
      <c r="H625" s="3"/>
      <c r="I625" s="3"/>
      <c r="J625" s="3"/>
      <c r="K625" s="3"/>
      <c r="L625" s="3"/>
      <c r="M625" s="3"/>
      <c r="N625" s="3"/>
      <c r="O625" s="3"/>
      <c r="P625" s="3"/>
      <c r="Q625" s="3"/>
      <c r="R625" s="5"/>
      <c r="S625" s="3"/>
      <c r="T625" s="3"/>
      <c r="U625" s="3"/>
      <c r="V625" s="3"/>
      <c r="W625" s="3"/>
      <c r="X625" s="3"/>
      <c r="Y625" s="3"/>
      <c r="Z625" s="3"/>
      <c r="AA625" s="3"/>
      <c r="AB625" s="34" t="s">
        <v>1724</v>
      </c>
      <c r="AC625" s="34" t="s">
        <v>36</v>
      </c>
      <c r="AD625" s="34" t="s">
        <v>1725</v>
      </c>
      <c r="AE625" s="3"/>
      <c r="AF625" s="3"/>
      <c r="AG625" s="3"/>
      <c r="AH625" s="3"/>
      <c r="AI625" s="3"/>
      <c r="AJ625" s="3"/>
      <c r="AK625" s="3"/>
      <c r="AL625" s="3"/>
      <c r="AM625" s="3"/>
      <c r="AN625" s="3"/>
      <c r="AO625" s="3"/>
    </row>
    <row r="626" spans="1:41" ht="15.75" customHeight="1">
      <c r="A626" s="12"/>
      <c r="B626" s="3"/>
      <c r="C626" s="12"/>
      <c r="D626" s="3"/>
      <c r="E626" s="3"/>
      <c r="F626" s="5"/>
      <c r="G626" s="3"/>
      <c r="H626" s="3"/>
      <c r="I626" s="3"/>
      <c r="J626" s="3"/>
      <c r="K626" s="3"/>
      <c r="L626" s="3"/>
      <c r="M626" s="3"/>
      <c r="N626" s="3"/>
      <c r="O626" s="3"/>
      <c r="P626" s="3"/>
      <c r="Q626" s="3"/>
      <c r="R626" s="5"/>
      <c r="S626" s="3"/>
      <c r="T626" s="3"/>
      <c r="U626" s="3"/>
      <c r="V626" s="3"/>
      <c r="W626" s="3"/>
      <c r="X626" s="3"/>
      <c r="Y626" s="3"/>
      <c r="Z626" s="3"/>
      <c r="AA626" s="3"/>
      <c r="AB626" s="34" t="s">
        <v>1726</v>
      </c>
      <c r="AC626" s="34" t="s">
        <v>36</v>
      </c>
      <c r="AD626" s="34" t="s">
        <v>1727</v>
      </c>
      <c r="AE626" s="3"/>
      <c r="AF626" s="3"/>
      <c r="AG626" s="3"/>
      <c r="AH626" s="3"/>
      <c r="AI626" s="3"/>
      <c r="AJ626" s="3"/>
      <c r="AK626" s="3"/>
      <c r="AL626" s="3"/>
      <c r="AM626" s="3"/>
      <c r="AN626" s="3"/>
      <c r="AO626" s="3"/>
    </row>
    <row r="627" spans="1:41" ht="15.75" customHeight="1">
      <c r="A627" s="12"/>
      <c r="B627" s="3"/>
      <c r="C627" s="12"/>
      <c r="D627" s="3"/>
      <c r="E627" s="3"/>
      <c r="F627" s="5"/>
      <c r="G627" s="3"/>
      <c r="H627" s="3"/>
      <c r="I627" s="3"/>
      <c r="J627" s="3"/>
      <c r="K627" s="3"/>
      <c r="L627" s="3"/>
      <c r="M627" s="3"/>
      <c r="N627" s="3"/>
      <c r="O627" s="3"/>
      <c r="P627" s="3"/>
      <c r="Q627" s="3"/>
      <c r="R627" s="5"/>
      <c r="S627" s="3"/>
      <c r="T627" s="3"/>
      <c r="U627" s="3"/>
      <c r="V627" s="3"/>
      <c r="W627" s="3"/>
      <c r="X627" s="3"/>
      <c r="Y627" s="3"/>
      <c r="Z627" s="3"/>
      <c r="AA627" s="3"/>
      <c r="AB627" s="34" t="s">
        <v>1728</v>
      </c>
      <c r="AC627" s="34" t="s">
        <v>36</v>
      </c>
      <c r="AD627" s="25" t="s">
        <v>1729</v>
      </c>
      <c r="AE627" s="3"/>
      <c r="AF627" s="3"/>
      <c r="AG627" s="3"/>
      <c r="AH627" s="3"/>
      <c r="AI627" s="3"/>
      <c r="AJ627" s="3"/>
      <c r="AK627" s="3"/>
      <c r="AL627" s="3"/>
      <c r="AM627" s="3"/>
      <c r="AN627" s="3"/>
      <c r="AO627" s="3"/>
    </row>
    <row r="628" spans="1:41" ht="15.75" customHeight="1">
      <c r="A628" s="12"/>
      <c r="B628" s="3"/>
      <c r="C628" s="12"/>
      <c r="D628" s="3"/>
      <c r="E628" s="3"/>
      <c r="F628" s="5"/>
      <c r="G628" s="3"/>
      <c r="H628" s="3"/>
      <c r="I628" s="3"/>
      <c r="J628" s="3"/>
      <c r="K628" s="3"/>
      <c r="L628" s="3"/>
      <c r="M628" s="3"/>
      <c r="N628" s="3"/>
      <c r="O628" s="3"/>
      <c r="P628" s="3"/>
      <c r="Q628" s="3"/>
      <c r="R628" s="5"/>
      <c r="S628" s="3"/>
      <c r="T628" s="3"/>
      <c r="U628" s="3"/>
      <c r="V628" s="3"/>
      <c r="W628" s="3"/>
      <c r="X628" s="3"/>
      <c r="Y628" s="3"/>
      <c r="Z628" s="3"/>
      <c r="AA628" s="3"/>
      <c r="AB628" s="34" t="s">
        <v>1730</v>
      </c>
      <c r="AC628" s="34" t="s">
        <v>36</v>
      </c>
      <c r="AD628" s="25" t="s">
        <v>1731</v>
      </c>
      <c r="AE628" s="3"/>
      <c r="AF628" s="3"/>
      <c r="AG628" s="3"/>
      <c r="AH628" s="3"/>
      <c r="AI628" s="3"/>
      <c r="AJ628" s="3"/>
      <c r="AK628" s="3"/>
      <c r="AL628" s="3"/>
      <c r="AM628" s="3"/>
      <c r="AN628" s="3"/>
      <c r="AO628" s="3"/>
    </row>
    <row r="629" spans="1:41" ht="15.75" customHeight="1">
      <c r="A629" s="12"/>
      <c r="B629" s="3"/>
      <c r="C629" s="12"/>
      <c r="D629" s="3"/>
      <c r="E629" s="3"/>
      <c r="F629" s="5"/>
      <c r="G629" s="3"/>
      <c r="H629" s="3"/>
      <c r="I629" s="3"/>
      <c r="J629" s="3"/>
      <c r="K629" s="3"/>
      <c r="L629" s="3"/>
      <c r="M629" s="3"/>
      <c r="N629" s="3"/>
      <c r="O629" s="3"/>
      <c r="P629" s="3"/>
      <c r="Q629" s="3"/>
      <c r="R629" s="5"/>
      <c r="S629" s="3"/>
      <c r="T629" s="3"/>
      <c r="U629" s="3"/>
      <c r="V629" s="3"/>
      <c r="W629" s="3"/>
      <c r="X629" s="3"/>
      <c r="Y629" s="3"/>
      <c r="Z629" s="3"/>
      <c r="AA629" s="3"/>
      <c r="AB629" s="34" t="s">
        <v>1732</v>
      </c>
      <c r="AC629" s="34" t="s">
        <v>36</v>
      </c>
      <c r="AD629" s="180" t="s">
        <v>1733</v>
      </c>
      <c r="AE629" s="3"/>
      <c r="AF629" s="3"/>
      <c r="AG629" s="3"/>
      <c r="AH629" s="3"/>
      <c r="AI629" s="3"/>
      <c r="AJ629" s="3"/>
      <c r="AK629" s="3"/>
      <c r="AL629" s="3"/>
      <c r="AM629" s="3"/>
      <c r="AN629" s="3"/>
      <c r="AO629" s="3"/>
    </row>
    <row r="630" spans="1:41" ht="15.75" customHeight="1">
      <c r="A630" s="12"/>
      <c r="B630" s="3"/>
      <c r="C630" s="12"/>
      <c r="D630" s="3"/>
      <c r="E630" s="3"/>
      <c r="F630" s="5"/>
      <c r="G630" s="3"/>
      <c r="H630" s="3"/>
      <c r="I630" s="3"/>
      <c r="J630" s="3"/>
      <c r="K630" s="3"/>
      <c r="L630" s="3"/>
      <c r="M630" s="3"/>
      <c r="N630" s="3"/>
      <c r="O630" s="3"/>
      <c r="P630" s="3"/>
      <c r="Q630" s="3"/>
      <c r="R630" s="5"/>
      <c r="S630" s="3"/>
      <c r="T630" s="3"/>
      <c r="U630" s="3"/>
      <c r="V630" s="3"/>
      <c r="W630" s="3"/>
      <c r="X630" s="3"/>
      <c r="Y630" s="3"/>
      <c r="Z630" s="3"/>
      <c r="AA630" s="3"/>
      <c r="AB630" s="34" t="s">
        <v>1734</v>
      </c>
      <c r="AC630" s="34" t="s">
        <v>36</v>
      </c>
      <c r="AD630" s="180" t="s">
        <v>1735</v>
      </c>
      <c r="AE630" s="3"/>
      <c r="AF630" s="3"/>
      <c r="AG630" s="3"/>
      <c r="AH630" s="3"/>
      <c r="AI630" s="3"/>
      <c r="AJ630" s="3"/>
      <c r="AK630" s="3"/>
      <c r="AL630" s="3"/>
      <c r="AM630" s="3"/>
      <c r="AN630" s="3"/>
      <c r="AO630" s="3"/>
    </row>
    <row r="631" spans="1:41" ht="15.75" customHeight="1">
      <c r="A631" s="12"/>
      <c r="B631" s="3"/>
      <c r="C631" s="12"/>
      <c r="D631" s="3"/>
      <c r="E631" s="3"/>
      <c r="F631" s="5"/>
      <c r="G631" s="3"/>
      <c r="H631" s="3"/>
      <c r="I631" s="3"/>
      <c r="J631" s="3"/>
      <c r="K631" s="3"/>
      <c r="L631" s="3"/>
      <c r="M631" s="3"/>
      <c r="N631" s="3"/>
      <c r="O631" s="3"/>
      <c r="P631" s="3"/>
      <c r="Q631" s="3"/>
      <c r="R631" s="5"/>
      <c r="S631" s="3"/>
      <c r="T631" s="3"/>
      <c r="U631" s="3"/>
      <c r="V631" s="3"/>
      <c r="W631" s="3"/>
      <c r="X631" s="3"/>
      <c r="Y631" s="3"/>
      <c r="Z631" s="3"/>
      <c r="AA631" s="3"/>
      <c r="AB631" s="34" t="s">
        <v>1736</v>
      </c>
      <c r="AC631" s="34" t="s">
        <v>36</v>
      </c>
      <c r="AD631" s="34" t="s">
        <v>1737</v>
      </c>
      <c r="AE631" s="3"/>
      <c r="AF631" s="3"/>
      <c r="AG631" s="3"/>
      <c r="AH631" s="3"/>
      <c r="AI631" s="3"/>
      <c r="AJ631" s="3"/>
      <c r="AK631" s="3"/>
      <c r="AL631" s="3"/>
      <c r="AM631" s="3"/>
      <c r="AN631" s="3"/>
      <c r="AO631" s="3"/>
    </row>
    <row r="632" spans="1:41" ht="15.75" customHeight="1">
      <c r="A632" s="12"/>
      <c r="B632" s="3"/>
      <c r="C632" s="12"/>
      <c r="D632" s="3"/>
      <c r="E632" s="3"/>
      <c r="F632" s="5"/>
      <c r="G632" s="3"/>
      <c r="H632" s="3"/>
      <c r="I632" s="3"/>
      <c r="J632" s="3"/>
      <c r="K632" s="3"/>
      <c r="L632" s="3"/>
      <c r="M632" s="3"/>
      <c r="N632" s="3"/>
      <c r="O632" s="3"/>
      <c r="P632" s="3"/>
      <c r="Q632" s="3"/>
      <c r="R632" s="5"/>
      <c r="S632" s="3"/>
      <c r="T632" s="3"/>
      <c r="U632" s="3"/>
      <c r="V632" s="3"/>
      <c r="W632" s="3"/>
      <c r="X632" s="3"/>
      <c r="Y632" s="3"/>
      <c r="Z632" s="3"/>
      <c r="AA632" s="3"/>
      <c r="AB632" s="34" t="s">
        <v>1738</v>
      </c>
      <c r="AC632" s="34" t="s">
        <v>36</v>
      </c>
      <c r="AD632" s="180" t="s">
        <v>1739</v>
      </c>
      <c r="AE632" s="3"/>
      <c r="AF632" s="3"/>
      <c r="AG632" s="3"/>
      <c r="AH632" s="3"/>
      <c r="AI632" s="3"/>
      <c r="AJ632" s="3"/>
      <c r="AK632" s="3"/>
      <c r="AL632" s="3"/>
      <c r="AM632" s="3"/>
      <c r="AN632" s="3"/>
      <c r="AO632" s="3"/>
    </row>
    <row r="633" spans="1:41" ht="15.75" customHeight="1">
      <c r="A633" s="12"/>
      <c r="B633" s="3"/>
      <c r="C633" s="12"/>
      <c r="D633" s="3"/>
      <c r="E633" s="3"/>
      <c r="F633" s="5"/>
      <c r="G633" s="3"/>
      <c r="H633" s="3"/>
      <c r="I633" s="3"/>
      <c r="J633" s="3"/>
      <c r="K633" s="3"/>
      <c r="L633" s="3"/>
      <c r="M633" s="3"/>
      <c r="N633" s="3"/>
      <c r="O633" s="3"/>
      <c r="P633" s="3"/>
      <c r="Q633" s="3"/>
      <c r="R633" s="5"/>
      <c r="S633" s="3"/>
      <c r="T633" s="3"/>
      <c r="U633" s="3"/>
      <c r="V633" s="3"/>
      <c r="W633" s="3"/>
      <c r="X633" s="3"/>
      <c r="Y633" s="3"/>
      <c r="Z633" s="3"/>
      <c r="AA633" s="3"/>
      <c r="AB633" s="34" t="s">
        <v>1740</v>
      </c>
      <c r="AC633" s="34" t="s">
        <v>36</v>
      </c>
      <c r="AD633" s="180" t="s">
        <v>1741</v>
      </c>
      <c r="AE633" s="3"/>
      <c r="AF633" s="3"/>
      <c r="AG633" s="3"/>
      <c r="AH633" s="3"/>
      <c r="AI633" s="3"/>
      <c r="AJ633" s="3"/>
      <c r="AK633" s="3"/>
      <c r="AL633" s="3"/>
      <c r="AM633" s="3"/>
      <c r="AN633" s="3"/>
      <c r="AO633" s="3"/>
    </row>
    <row r="634" spans="1:41" ht="15.75" customHeight="1">
      <c r="A634" s="12"/>
      <c r="B634" s="3"/>
      <c r="C634" s="12"/>
      <c r="D634" s="3"/>
      <c r="E634" s="3"/>
      <c r="F634" s="5"/>
      <c r="G634" s="3"/>
      <c r="H634" s="3"/>
      <c r="I634" s="3"/>
      <c r="J634" s="3"/>
      <c r="K634" s="3"/>
      <c r="L634" s="3"/>
      <c r="M634" s="3"/>
      <c r="N634" s="3"/>
      <c r="O634" s="3"/>
      <c r="P634" s="3"/>
      <c r="Q634" s="3"/>
      <c r="R634" s="5"/>
      <c r="S634" s="3"/>
      <c r="T634" s="3"/>
      <c r="U634" s="3"/>
      <c r="V634" s="3"/>
      <c r="W634" s="3"/>
      <c r="X634" s="3"/>
      <c r="Y634" s="3"/>
      <c r="Z634" s="3"/>
      <c r="AA634" s="3"/>
      <c r="AB634" s="34" t="s">
        <v>1742</v>
      </c>
      <c r="AC634" s="34" t="s">
        <v>36</v>
      </c>
      <c r="AD634" s="34"/>
      <c r="AE634" s="3"/>
      <c r="AF634" s="3"/>
      <c r="AG634" s="3"/>
      <c r="AH634" s="3"/>
      <c r="AI634" s="3"/>
      <c r="AJ634" s="3"/>
      <c r="AK634" s="3"/>
      <c r="AL634" s="3"/>
      <c r="AM634" s="3"/>
      <c r="AN634" s="3"/>
      <c r="AO634" s="3"/>
    </row>
    <row r="635" spans="1:41" ht="15.75" customHeight="1">
      <c r="A635" s="12"/>
      <c r="B635" s="3"/>
      <c r="C635" s="12"/>
      <c r="D635" s="3"/>
      <c r="E635" s="3"/>
      <c r="F635" s="5"/>
      <c r="G635" s="3"/>
      <c r="H635" s="3"/>
      <c r="I635" s="3"/>
      <c r="J635" s="3"/>
      <c r="K635" s="3"/>
      <c r="L635" s="3"/>
      <c r="M635" s="3"/>
      <c r="N635" s="3"/>
      <c r="O635" s="3"/>
      <c r="P635" s="3"/>
      <c r="Q635" s="3"/>
      <c r="R635" s="5"/>
      <c r="S635" s="3"/>
      <c r="T635" s="3"/>
      <c r="U635" s="3"/>
      <c r="V635" s="3"/>
      <c r="W635" s="3"/>
      <c r="X635" s="3"/>
      <c r="Y635" s="3"/>
      <c r="Z635" s="3"/>
      <c r="AA635" s="3"/>
      <c r="AB635" s="34" t="s">
        <v>1743</v>
      </c>
      <c r="AC635" s="34" t="s">
        <v>36</v>
      </c>
      <c r="AD635" s="180" t="s">
        <v>1744</v>
      </c>
      <c r="AE635" s="3"/>
      <c r="AF635" s="3"/>
      <c r="AG635" s="3"/>
      <c r="AH635" s="3"/>
      <c r="AI635" s="3"/>
      <c r="AJ635" s="3"/>
      <c r="AK635" s="3"/>
      <c r="AL635" s="3"/>
      <c r="AM635" s="3"/>
      <c r="AN635" s="3"/>
      <c r="AO635" s="3"/>
    </row>
    <row r="636" spans="1:41" ht="15.75" customHeight="1">
      <c r="A636" s="12"/>
      <c r="B636" s="3"/>
      <c r="C636" s="12"/>
      <c r="D636" s="3"/>
      <c r="E636" s="3"/>
      <c r="F636" s="5"/>
      <c r="G636" s="3"/>
      <c r="H636" s="3"/>
      <c r="I636" s="3"/>
      <c r="J636" s="3"/>
      <c r="K636" s="3"/>
      <c r="L636" s="3"/>
      <c r="M636" s="3"/>
      <c r="N636" s="3"/>
      <c r="O636" s="3"/>
      <c r="P636" s="3"/>
      <c r="Q636" s="3"/>
      <c r="R636" s="5"/>
      <c r="S636" s="3"/>
      <c r="T636" s="3"/>
      <c r="U636" s="3"/>
      <c r="V636" s="3"/>
      <c r="W636" s="3"/>
      <c r="X636" s="3"/>
      <c r="Y636" s="3"/>
      <c r="Z636" s="3"/>
      <c r="AA636" s="3"/>
      <c r="AB636" s="34" t="s">
        <v>1745</v>
      </c>
      <c r="AC636" s="34" t="s">
        <v>36</v>
      </c>
      <c r="AD636" s="180" t="s">
        <v>1746</v>
      </c>
      <c r="AE636" s="3"/>
      <c r="AF636" s="3"/>
      <c r="AG636" s="3"/>
      <c r="AH636" s="3"/>
      <c r="AI636" s="3"/>
      <c r="AJ636" s="3"/>
      <c r="AK636" s="3"/>
      <c r="AL636" s="3"/>
      <c r="AM636" s="3"/>
      <c r="AN636" s="3"/>
      <c r="AO636" s="3"/>
    </row>
    <row r="637" spans="1:41" ht="15.75" customHeight="1">
      <c r="A637" s="12"/>
      <c r="B637" s="3"/>
      <c r="C637" s="12"/>
      <c r="D637" s="3"/>
      <c r="E637" s="3"/>
      <c r="F637" s="5"/>
      <c r="G637" s="3"/>
      <c r="H637" s="3"/>
      <c r="I637" s="3"/>
      <c r="J637" s="3"/>
      <c r="K637" s="3"/>
      <c r="L637" s="3"/>
      <c r="M637" s="3"/>
      <c r="N637" s="3"/>
      <c r="O637" s="3"/>
      <c r="P637" s="3"/>
      <c r="Q637" s="3"/>
      <c r="R637" s="5"/>
      <c r="S637" s="3"/>
      <c r="T637" s="3"/>
      <c r="U637" s="3"/>
      <c r="V637" s="3"/>
      <c r="W637" s="3"/>
      <c r="X637" s="3"/>
      <c r="Y637" s="3"/>
      <c r="Z637" s="3"/>
      <c r="AA637" s="3"/>
      <c r="AB637" s="34" t="s">
        <v>1747</v>
      </c>
      <c r="AC637" s="34" t="s">
        <v>36</v>
      </c>
      <c r="AD637" s="180" t="s">
        <v>1748</v>
      </c>
      <c r="AE637" s="3"/>
      <c r="AF637" s="3"/>
      <c r="AG637" s="3"/>
      <c r="AH637" s="3"/>
      <c r="AI637" s="3"/>
      <c r="AJ637" s="3"/>
      <c r="AK637" s="3"/>
      <c r="AL637" s="3"/>
      <c r="AM637" s="3"/>
      <c r="AN637" s="3"/>
      <c r="AO637" s="3"/>
    </row>
    <row r="638" spans="1:41" ht="15.75" customHeight="1">
      <c r="A638" s="12"/>
      <c r="B638" s="3"/>
      <c r="C638" s="12"/>
      <c r="D638" s="3"/>
      <c r="E638" s="3"/>
      <c r="F638" s="5"/>
      <c r="G638" s="3"/>
      <c r="H638" s="3"/>
      <c r="I638" s="3"/>
      <c r="J638" s="3"/>
      <c r="K638" s="3"/>
      <c r="L638" s="3"/>
      <c r="M638" s="3"/>
      <c r="N638" s="3"/>
      <c r="O638" s="3"/>
      <c r="P638" s="3"/>
      <c r="Q638" s="3"/>
      <c r="R638" s="5"/>
      <c r="S638" s="3"/>
      <c r="T638" s="3"/>
      <c r="U638" s="3"/>
      <c r="V638" s="3"/>
      <c r="W638" s="3"/>
      <c r="X638" s="3"/>
      <c r="Y638" s="3"/>
      <c r="Z638" s="3"/>
      <c r="AA638" s="3"/>
      <c r="AB638" s="34" t="s">
        <v>1749</v>
      </c>
      <c r="AC638" s="34" t="s">
        <v>36</v>
      </c>
      <c r="AD638" s="34"/>
      <c r="AE638" s="3"/>
      <c r="AF638" s="3"/>
      <c r="AG638" s="3"/>
      <c r="AH638" s="3"/>
      <c r="AI638" s="3"/>
      <c r="AJ638" s="3"/>
      <c r="AK638" s="3"/>
      <c r="AL638" s="3"/>
      <c r="AM638" s="3"/>
      <c r="AN638" s="3"/>
      <c r="AO638" s="3"/>
    </row>
    <row r="639" spans="1:41" ht="15.75" customHeight="1">
      <c r="A639" s="12"/>
      <c r="B639" s="3"/>
      <c r="C639" s="12"/>
      <c r="D639" s="3"/>
      <c r="E639" s="3"/>
      <c r="F639" s="5"/>
      <c r="G639" s="3"/>
      <c r="H639" s="3"/>
      <c r="I639" s="3"/>
      <c r="J639" s="3"/>
      <c r="K639" s="3"/>
      <c r="L639" s="3"/>
      <c r="M639" s="3"/>
      <c r="N639" s="3"/>
      <c r="O639" s="3"/>
      <c r="P639" s="3"/>
      <c r="Q639" s="3"/>
      <c r="R639" s="5"/>
      <c r="S639" s="3"/>
      <c r="T639" s="3"/>
      <c r="U639" s="3"/>
      <c r="V639" s="3"/>
      <c r="W639" s="3"/>
      <c r="X639" s="3"/>
      <c r="Y639" s="3"/>
      <c r="Z639" s="3"/>
      <c r="AA639" s="3"/>
      <c r="AB639" s="34" t="s">
        <v>1750</v>
      </c>
      <c r="AC639" s="34" t="s">
        <v>140</v>
      </c>
      <c r="AD639" s="34"/>
      <c r="AE639" s="3"/>
      <c r="AF639" s="3"/>
      <c r="AG639" s="3"/>
      <c r="AH639" s="3"/>
      <c r="AI639" s="3"/>
      <c r="AJ639" s="3"/>
      <c r="AK639" s="3"/>
      <c r="AL639" s="3"/>
      <c r="AM639" s="3"/>
      <c r="AN639" s="3"/>
      <c r="AO639" s="3"/>
    </row>
    <row r="640" spans="1:41" ht="15.75" customHeight="1">
      <c r="A640" s="12"/>
      <c r="B640" s="3"/>
      <c r="C640" s="12"/>
      <c r="D640" s="3"/>
      <c r="E640" s="3"/>
      <c r="F640" s="5"/>
      <c r="G640" s="3"/>
      <c r="H640" s="3"/>
      <c r="I640" s="3"/>
      <c r="J640" s="3"/>
      <c r="K640" s="3"/>
      <c r="L640" s="3"/>
      <c r="M640" s="3"/>
      <c r="N640" s="3"/>
      <c r="O640" s="3"/>
      <c r="P640" s="3"/>
      <c r="Q640" s="3"/>
      <c r="R640" s="5"/>
      <c r="S640" s="3"/>
      <c r="T640" s="3"/>
      <c r="U640" s="3"/>
      <c r="V640" s="3"/>
      <c r="W640" s="3"/>
      <c r="X640" s="3"/>
      <c r="Y640" s="3"/>
      <c r="Z640" s="3"/>
      <c r="AA640" s="3"/>
      <c r="AB640" s="34" t="s">
        <v>1751</v>
      </c>
      <c r="AC640" s="34" t="s">
        <v>36</v>
      </c>
      <c r="AD640" s="180" t="s">
        <v>1752</v>
      </c>
      <c r="AE640" s="3"/>
      <c r="AF640" s="3"/>
      <c r="AG640" s="3"/>
      <c r="AH640" s="3"/>
      <c r="AI640" s="3"/>
      <c r="AJ640" s="3"/>
      <c r="AK640" s="3"/>
      <c r="AL640" s="3"/>
      <c r="AM640" s="3"/>
      <c r="AN640" s="3"/>
      <c r="AO640" s="3"/>
    </row>
    <row r="641" spans="1:41" ht="15.75" customHeight="1">
      <c r="A641" s="12"/>
      <c r="B641" s="3"/>
      <c r="C641" s="12"/>
      <c r="D641" s="3"/>
      <c r="E641" s="3"/>
      <c r="F641" s="5"/>
      <c r="G641" s="3"/>
      <c r="H641" s="3"/>
      <c r="I641" s="3"/>
      <c r="J641" s="3"/>
      <c r="K641" s="3"/>
      <c r="L641" s="3"/>
      <c r="M641" s="3"/>
      <c r="N641" s="3"/>
      <c r="O641" s="3"/>
      <c r="P641" s="3"/>
      <c r="Q641" s="3"/>
      <c r="R641" s="5"/>
      <c r="S641" s="3"/>
      <c r="T641" s="3"/>
      <c r="U641" s="3"/>
      <c r="V641" s="3"/>
      <c r="W641" s="3"/>
      <c r="X641" s="3"/>
      <c r="Y641" s="3"/>
      <c r="Z641" s="3"/>
      <c r="AA641" s="3"/>
      <c r="AB641" s="34" t="s">
        <v>1753</v>
      </c>
      <c r="AC641" s="34" t="s">
        <v>36</v>
      </c>
      <c r="AD641" s="34" t="s">
        <v>1754</v>
      </c>
      <c r="AE641" s="3"/>
      <c r="AF641" s="3"/>
      <c r="AG641" s="3"/>
      <c r="AH641" s="3"/>
      <c r="AI641" s="3"/>
      <c r="AJ641" s="3"/>
      <c r="AK641" s="3"/>
      <c r="AL641" s="3"/>
      <c r="AM641" s="3"/>
      <c r="AN641" s="3"/>
      <c r="AO641" s="3"/>
    </row>
    <row r="642" spans="1:41" ht="15.75" customHeight="1">
      <c r="A642" s="12"/>
      <c r="B642" s="3"/>
      <c r="C642" s="12"/>
      <c r="D642" s="3"/>
      <c r="E642" s="3"/>
      <c r="F642" s="5"/>
      <c r="G642" s="3"/>
      <c r="H642" s="3"/>
      <c r="I642" s="3"/>
      <c r="J642" s="3"/>
      <c r="K642" s="3"/>
      <c r="L642" s="3"/>
      <c r="M642" s="3"/>
      <c r="N642" s="3"/>
      <c r="O642" s="3"/>
      <c r="P642" s="3"/>
      <c r="Q642" s="3"/>
      <c r="R642" s="5"/>
      <c r="S642" s="3"/>
      <c r="T642" s="3"/>
      <c r="U642" s="3"/>
      <c r="V642" s="3"/>
      <c r="W642" s="3"/>
      <c r="X642" s="3"/>
      <c r="Y642" s="3"/>
      <c r="Z642" s="3"/>
      <c r="AA642" s="3"/>
      <c r="AB642" s="34" t="s">
        <v>1755</v>
      </c>
      <c r="AC642" s="34" t="s">
        <v>36</v>
      </c>
      <c r="AD642" s="180" t="s">
        <v>1756</v>
      </c>
      <c r="AE642" s="3"/>
      <c r="AF642" s="3"/>
      <c r="AG642" s="3"/>
      <c r="AH642" s="3"/>
      <c r="AI642" s="3"/>
      <c r="AJ642" s="3"/>
      <c r="AK642" s="3"/>
      <c r="AL642" s="3"/>
      <c r="AM642" s="3"/>
      <c r="AN642" s="3"/>
      <c r="AO642" s="3"/>
    </row>
    <row r="643" spans="1:41" ht="15.75" customHeight="1">
      <c r="A643" s="12"/>
      <c r="B643" s="3"/>
      <c r="C643" s="12"/>
      <c r="D643" s="3"/>
      <c r="E643" s="3"/>
      <c r="F643" s="5"/>
      <c r="G643" s="3"/>
      <c r="H643" s="3"/>
      <c r="I643" s="3"/>
      <c r="J643" s="3"/>
      <c r="K643" s="3"/>
      <c r="L643" s="3"/>
      <c r="M643" s="3"/>
      <c r="N643" s="3"/>
      <c r="O643" s="3"/>
      <c r="P643" s="3"/>
      <c r="Q643" s="3"/>
      <c r="R643" s="5"/>
      <c r="S643" s="3"/>
      <c r="T643" s="3"/>
      <c r="U643" s="3"/>
      <c r="V643" s="3"/>
      <c r="W643" s="3"/>
      <c r="X643" s="3"/>
      <c r="Y643" s="3"/>
      <c r="Z643" s="3"/>
      <c r="AA643" s="3"/>
      <c r="AB643" s="34" t="s">
        <v>1757</v>
      </c>
      <c r="AC643" s="34" t="s">
        <v>36</v>
      </c>
      <c r="AD643" s="25" t="s">
        <v>1739</v>
      </c>
      <c r="AE643" s="3"/>
      <c r="AF643" s="3"/>
      <c r="AG643" s="3"/>
      <c r="AH643" s="3"/>
      <c r="AI643" s="3"/>
      <c r="AJ643" s="3"/>
      <c r="AK643" s="3"/>
      <c r="AL643" s="3"/>
      <c r="AM643" s="3"/>
      <c r="AN643" s="3"/>
      <c r="AO643" s="3"/>
    </row>
    <row r="644" spans="1:41" ht="15.75" customHeight="1">
      <c r="A644" s="12"/>
      <c r="B644" s="3"/>
      <c r="C644" s="12"/>
      <c r="D644" s="3"/>
      <c r="E644" s="3"/>
      <c r="F644" s="5"/>
      <c r="G644" s="3"/>
      <c r="H644" s="3"/>
      <c r="I644" s="3"/>
      <c r="J644" s="3"/>
      <c r="K644" s="3"/>
      <c r="L644" s="3"/>
      <c r="M644" s="3"/>
      <c r="N644" s="3"/>
      <c r="O644" s="3"/>
      <c r="P644" s="3"/>
      <c r="Q644" s="3"/>
      <c r="R644" s="5"/>
      <c r="S644" s="3"/>
      <c r="T644" s="3"/>
      <c r="U644" s="3"/>
      <c r="V644" s="3"/>
      <c r="W644" s="3"/>
      <c r="X644" s="3"/>
      <c r="Y644" s="3"/>
      <c r="Z644" s="3"/>
      <c r="AA644" s="3"/>
      <c r="AB644" s="34" t="s">
        <v>1758</v>
      </c>
      <c r="AC644" s="34" t="s">
        <v>140</v>
      </c>
      <c r="AD644" s="34"/>
      <c r="AE644" s="3"/>
      <c r="AF644" s="3"/>
      <c r="AG644" s="3"/>
      <c r="AH644" s="3"/>
      <c r="AI644" s="3"/>
      <c r="AJ644" s="3"/>
      <c r="AK644" s="3"/>
      <c r="AL644" s="3"/>
      <c r="AM644" s="3"/>
      <c r="AN644" s="3"/>
      <c r="AO644" s="3"/>
    </row>
    <row r="645" spans="1:41" ht="15.75" customHeight="1">
      <c r="A645" s="12"/>
      <c r="B645" s="3"/>
      <c r="C645" s="12"/>
      <c r="D645" s="3"/>
      <c r="E645" s="3"/>
      <c r="F645" s="5"/>
      <c r="G645" s="3"/>
      <c r="H645" s="3"/>
      <c r="I645" s="3"/>
      <c r="J645" s="3"/>
      <c r="K645" s="3"/>
      <c r="L645" s="3"/>
      <c r="M645" s="3"/>
      <c r="N645" s="3"/>
      <c r="O645" s="3"/>
      <c r="P645" s="3"/>
      <c r="Q645" s="3"/>
      <c r="R645" s="5"/>
      <c r="S645" s="3"/>
      <c r="T645" s="3"/>
      <c r="U645" s="3"/>
      <c r="V645" s="3"/>
      <c r="W645" s="3"/>
      <c r="X645" s="3"/>
      <c r="Y645" s="3"/>
      <c r="Z645" s="3"/>
      <c r="AA645" s="3"/>
      <c r="AB645" s="34" t="s">
        <v>1759</v>
      </c>
      <c r="AC645" s="34" t="s">
        <v>36</v>
      </c>
      <c r="AD645" s="25" t="s">
        <v>1760</v>
      </c>
      <c r="AE645" s="3"/>
      <c r="AF645" s="3"/>
      <c r="AG645" s="3"/>
      <c r="AH645" s="3"/>
      <c r="AI645" s="3"/>
      <c r="AJ645" s="3"/>
      <c r="AK645" s="3"/>
      <c r="AL645" s="3"/>
      <c r="AM645" s="3"/>
      <c r="AN645" s="3"/>
      <c r="AO645" s="3"/>
    </row>
    <row r="646" spans="1:41" ht="15.75" customHeight="1">
      <c r="A646" s="12"/>
      <c r="B646" s="3"/>
      <c r="C646" s="12"/>
      <c r="D646" s="3"/>
      <c r="E646" s="3"/>
      <c r="F646" s="5"/>
      <c r="G646" s="3"/>
      <c r="H646" s="3"/>
      <c r="I646" s="3"/>
      <c r="J646" s="3"/>
      <c r="K646" s="3"/>
      <c r="L646" s="3"/>
      <c r="M646" s="3"/>
      <c r="N646" s="3"/>
      <c r="O646" s="3"/>
      <c r="P646" s="3"/>
      <c r="Q646" s="3"/>
      <c r="R646" s="5"/>
      <c r="S646" s="3"/>
      <c r="T646" s="3"/>
      <c r="U646" s="3"/>
      <c r="V646" s="3"/>
      <c r="W646" s="3"/>
      <c r="X646" s="3"/>
      <c r="Y646" s="3"/>
      <c r="Z646" s="3"/>
      <c r="AA646" s="3"/>
      <c r="AB646" s="34" t="s">
        <v>1761</v>
      </c>
      <c r="AC646" s="34" t="s">
        <v>140</v>
      </c>
      <c r="AD646" s="34"/>
      <c r="AE646" s="3"/>
      <c r="AF646" s="3"/>
      <c r="AG646" s="3"/>
      <c r="AH646" s="3"/>
      <c r="AI646" s="3"/>
      <c r="AJ646" s="3"/>
      <c r="AK646" s="3"/>
      <c r="AL646" s="3"/>
      <c r="AM646" s="3"/>
      <c r="AN646" s="3"/>
      <c r="AO646" s="3"/>
    </row>
    <row r="647" spans="1:41" ht="15.75" customHeight="1">
      <c r="A647" s="12"/>
      <c r="B647" s="3"/>
      <c r="C647" s="12"/>
      <c r="D647" s="3"/>
      <c r="E647" s="3"/>
      <c r="F647" s="5"/>
      <c r="G647" s="3"/>
      <c r="H647" s="3"/>
      <c r="I647" s="3"/>
      <c r="J647" s="3"/>
      <c r="K647" s="3"/>
      <c r="L647" s="3"/>
      <c r="M647" s="3"/>
      <c r="N647" s="3"/>
      <c r="O647" s="3"/>
      <c r="P647" s="3"/>
      <c r="Q647" s="3"/>
      <c r="R647" s="5"/>
      <c r="S647" s="3"/>
      <c r="T647" s="3"/>
      <c r="U647" s="3"/>
      <c r="V647" s="3"/>
      <c r="W647" s="3"/>
      <c r="X647" s="3"/>
      <c r="Y647" s="3"/>
      <c r="Z647" s="3"/>
      <c r="AA647" s="3"/>
      <c r="AB647" s="34" t="s">
        <v>1762</v>
      </c>
      <c r="AC647" s="34" t="s">
        <v>140</v>
      </c>
      <c r="AD647" s="34"/>
      <c r="AE647" s="3"/>
      <c r="AF647" s="3"/>
      <c r="AG647" s="3"/>
      <c r="AH647" s="3"/>
      <c r="AI647" s="3"/>
      <c r="AJ647" s="3"/>
      <c r="AK647" s="3"/>
      <c r="AL647" s="3"/>
      <c r="AM647" s="3"/>
      <c r="AN647" s="3"/>
      <c r="AO647" s="3"/>
    </row>
    <row r="648" spans="1:41" ht="15.75" customHeight="1">
      <c r="A648" s="12"/>
      <c r="B648" s="3"/>
      <c r="C648" s="12"/>
      <c r="D648" s="3"/>
      <c r="E648" s="3"/>
      <c r="F648" s="5"/>
      <c r="G648" s="3"/>
      <c r="H648" s="3"/>
      <c r="I648" s="3"/>
      <c r="J648" s="3"/>
      <c r="K648" s="3"/>
      <c r="L648" s="3"/>
      <c r="M648" s="3"/>
      <c r="N648" s="3"/>
      <c r="O648" s="3"/>
      <c r="P648" s="3"/>
      <c r="Q648" s="3"/>
      <c r="R648" s="5"/>
      <c r="S648" s="3"/>
      <c r="T648" s="3"/>
      <c r="U648" s="3"/>
      <c r="V648" s="3"/>
      <c r="W648" s="3"/>
      <c r="X648" s="3"/>
      <c r="Y648" s="3"/>
      <c r="Z648" s="3"/>
      <c r="AA648" s="3"/>
      <c r="AB648" s="34" t="s">
        <v>1763</v>
      </c>
      <c r="AC648" s="34" t="s">
        <v>140</v>
      </c>
      <c r="AD648" s="34"/>
      <c r="AE648" s="3"/>
      <c r="AF648" s="3"/>
      <c r="AG648" s="3"/>
      <c r="AH648" s="3"/>
      <c r="AI648" s="3"/>
      <c r="AJ648" s="3"/>
      <c r="AK648" s="3"/>
      <c r="AL648" s="3"/>
      <c r="AM648" s="3"/>
      <c r="AN648" s="3"/>
      <c r="AO648" s="3"/>
    </row>
    <row r="649" spans="1:41" ht="15.75" customHeight="1">
      <c r="A649" s="12"/>
      <c r="B649" s="3"/>
      <c r="C649" s="12"/>
      <c r="D649" s="3"/>
      <c r="E649" s="3"/>
      <c r="F649" s="5"/>
      <c r="G649" s="3"/>
      <c r="H649" s="3"/>
      <c r="I649" s="3"/>
      <c r="J649" s="3"/>
      <c r="K649" s="3"/>
      <c r="L649" s="3"/>
      <c r="M649" s="3"/>
      <c r="N649" s="3"/>
      <c r="O649" s="3"/>
      <c r="P649" s="3"/>
      <c r="Q649" s="3"/>
      <c r="R649" s="5"/>
      <c r="S649" s="3"/>
      <c r="T649" s="3"/>
      <c r="U649" s="3"/>
      <c r="V649" s="3"/>
      <c r="W649" s="3"/>
      <c r="X649" s="3"/>
      <c r="Y649" s="3"/>
      <c r="Z649" s="3"/>
      <c r="AA649" s="3"/>
      <c r="AB649" s="34" t="s">
        <v>960</v>
      </c>
      <c r="AC649" s="34" t="s">
        <v>140</v>
      </c>
      <c r="AD649" s="34"/>
      <c r="AE649" s="3"/>
      <c r="AF649" s="3"/>
      <c r="AG649" s="3"/>
      <c r="AH649" s="3"/>
      <c r="AI649" s="3"/>
      <c r="AJ649" s="3"/>
      <c r="AK649" s="3"/>
      <c r="AL649" s="3"/>
      <c r="AM649" s="3"/>
      <c r="AN649" s="3"/>
      <c r="AO649" s="3"/>
    </row>
    <row r="650" spans="1:41" ht="15.75" customHeight="1">
      <c r="A650" s="12"/>
      <c r="B650" s="3"/>
      <c r="C650" s="12"/>
      <c r="D650" s="3"/>
      <c r="E650" s="3"/>
      <c r="F650" s="5"/>
      <c r="G650" s="3"/>
      <c r="H650" s="3"/>
      <c r="I650" s="3"/>
      <c r="J650" s="3"/>
      <c r="K650" s="3"/>
      <c r="L650" s="3"/>
      <c r="M650" s="3"/>
      <c r="N650" s="3"/>
      <c r="O650" s="3"/>
      <c r="P650" s="3"/>
      <c r="Q650" s="3"/>
      <c r="R650" s="5"/>
      <c r="S650" s="3"/>
      <c r="T650" s="3"/>
      <c r="U650" s="3"/>
      <c r="V650" s="3"/>
      <c r="W650" s="3"/>
      <c r="X650" s="3"/>
      <c r="Y650" s="3"/>
      <c r="Z650" s="3"/>
      <c r="AA650" s="3"/>
      <c r="AB650" s="34" t="s">
        <v>1764</v>
      </c>
      <c r="AC650" s="34" t="s">
        <v>36</v>
      </c>
      <c r="AD650" s="25" t="s">
        <v>1765</v>
      </c>
      <c r="AE650" s="3"/>
      <c r="AF650" s="3"/>
      <c r="AG650" s="3"/>
      <c r="AH650" s="3"/>
      <c r="AI650" s="3"/>
      <c r="AJ650" s="3"/>
      <c r="AK650" s="3"/>
      <c r="AL650" s="3"/>
      <c r="AM650" s="3"/>
      <c r="AN650" s="3"/>
      <c r="AO650" s="3"/>
    </row>
    <row r="651" spans="1:41" ht="15.75" customHeight="1">
      <c r="A651" s="12"/>
      <c r="B651" s="3"/>
      <c r="C651" s="12"/>
      <c r="D651" s="3"/>
      <c r="E651" s="3"/>
      <c r="F651" s="5"/>
      <c r="G651" s="3"/>
      <c r="H651" s="3"/>
      <c r="I651" s="3"/>
      <c r="J651" s="3"/>
      <c r="K651" s="3"/>
      <c r="L651" s="3"/>
      <c r="M651" s="3"/>
      <c r="N651" s="3"/>
      <c r="O651" s="3"/>
      <c r="P651" s="3"/>
      <c r="Q651" s="3"/>
      <c r="R651" s="5"/>
      <c r="S651" s="3"/>
      <c r="T651" s="3"/>
      <c r="U651" s="3"/>
      <c r="V651" s="3"/>
      <c r="W651" s="3"/>
      <c r="X651" s="3"/>
      <c r="Y651" s="3"/>
      <c r="Z651" s="3"/>
      <c r="AA651" s="3"/>
      <c r="AB651" s="34" t="s">
        <v>1766</v>
      </c>
      <c r="AC651" s="34" t="s">
        <v>36</v>
      </c>
      <c r="AD651" s="180" t="s">
        <v>1767</v>
      </c>
      <c r="AE651" s="3"/>
      <c r="AF651" s="3"/>
      <c r="AG651" s="3"/>
      <c r="AH651" s="3"/>
      <c r="AI651" s="3"/>
      <c r="AJ651" s="3"/>
      <c r="AK651" s="3"/>
      <c r="AL651" s="3"/>
      <c r="AM651" s="3"/>
      <c r="AN651" s="3"/>
      <c r="AO651" s="3"/>
    </row>
    <row r="652" spans="1:41" ht="15.75" customHeight="1">
      <c r="A652" s="12"/>
      <c r="B652" s="3"/>
      <c r="C652" s="12"/>
      <c r="D652" s="3"/>
      <c r="E652" s="3"/>
      <c r="F652" s="5"/>
      <c r="G652" s="3"/>
      <c r="H652" s="3"/>
      <c r="I652" s="3"/>
      <c r="J652" s="3"/>
      <c r="K652" s="3"/>
      <c r="L652" s="3"/>
      <c r="M652" s="3"/>
      <c r="N652" s="3"/>
      <c r="O652" s="3"/>
      <c r="P652" s="3"/>
      <c r="Q652" s="3"/>
      <c r="R652" s="5"/>
      <c r="S652" s="3"/>
      <c r="T652" s="3"/>
      <c r="U652" s="3"/>
      <c r="V652" s="3"/>
      <c r="W652" s="3"/>
      <c r="X652" s="3"/>
      <c r="Y652" s="3"/>
      <c r="Z652" s="3"/>
      <c r="AA652" s="3"/>
      <c r="AB652" s="34" t="s">
        <v>1768</v>
      </c>
      <c r="AC652" s="34" t="s">
        <v>36</v>
      </c>
      <c r="AD652" s="25" t="s">
        <v>1769</v>
      </c>
      <c r="AE652" s="3"/>
      <c r="AF652" s="3"/>
      <c r="AG652" s="3"/>
      <c r="AH652" s="3"/>
      <c r="AI652" s="3"/>
      <c r="AJ652" s="3"/>
      <c r="AK652" s="3"/>
      <c r="AL652" s="3"/>
      <c r="AM652" s="3"/>
      <c r="AN652" s="3"/>
      <c r="AO652" s="3"/>
    </row>
    <row r="653" spans="1:41" ht="15.75" customHeight="1">
      <c r="A653" s="12"/>
      <c r="B653" s="3"/>
      <c r="C653" s="12"/>
      <c r="D653" s="3"/>
      <c r="E653" s="3"/>
      <c r="F653" s="5"/>
      <c r="G653" s="3"/>
      <c r="H653" s="3"/>
      <c r="I653" s="3"/>
      <c r="J653" s="3"/>
      <c r="K653" s="3"/>
      <c r="L653" s="3"/>
      <c r="M653" s="3"/>
      <c r="N653" s="3"/>
      <c r="O653" s="3"/>
      <c r="P653" s="3"/>
      <c r="Q653" s="3"/>
      <c r="R653" s="5"/>
      <c r="S653" s="3"/>
      <c r="T653" s="3"/>
      <c r="U653" s="3"/>
      <c r="V653" s="3"/>
      <c r="W653" s="3"/>
      <c r="X653" s="3"/>
      <c r="Y653" s="3"/>
      <c r="Z653" s="3"/>
      <c r="AA653" s="3"/>
      <c r="AB653" s="34" t="s">
        <v>1770</v>
      </c>
      <c r="AC653" s="34" t="s">
        <v>36</v>
      </c>
      <c r="AD653" s="25" t="s">
        <v>945</v>
      </c>
      <c r="AE653" s="3"/>
      <c r="AF653" s="3"/>
      <c r="AG653" s="3"/>
      <c r="AH653" s="3"/>
      <c r="AI653" s="3"/>
      <c r="AJ653" s="3"/>
      <c r="AK653" s="3"/>
      <c r="AL653" s="3"/>
      <c r="AM653" s="3"/>
      <c r="AN653" s="3"/>
      <c r="AO653" s="3"/>
    </row>
    <row r="654" spans="1:41" ht="15.75" customHeight="1">
      <c r="A654" s="12"/>
      <c r="B654" s="3"/>
      <c r="C654" s="12"/>
      <c r="D654" s="3"/>
      <c r="E654" s="3"/>
      <c r="F654" s="5"/>
      <c r="G654" s="3"/>
      <c r="H654" s="3"/>
      <c r="I654" s="3"/>
      <c r="J654" s="3"/>
      <c r="K654" s="3"/>
      <c r="L654" s="3"/>
      <c r="M654" s="3"/>
      <c r="N654" s="3"/>
      <c r="O654" s="3"/>
      <c r="P654" s="3"/>
      <c r="Q654" s="3"/>
      <c r="R654" s="5"/>
      <c r="S654" s="3"/>
      <c r="T654" s="3"/>
      <c r="U654" s="3"/>
      <c r="V654" s="3"/>
      <c r="W654" s="3"/>
      <c r="X654" s="3"/>
      <c r="Y654" s="3"/>
      <c r="Z654" s="3"/>
      <c r="AA654" s="3"/>
      <c r="AB654" s="34" t="s">
        <v>1771</v>
      </c>
      <c r="AC654" s="34" t="s">
        <v>36</v>
      </c>
      <c r="AD654" s="180" t="s">
        <v>1772</v>
      </c>
      <c r="AE654" s="3"/>
      <c r="AF654" s="3"/>
      <c r="AG654" s="3"/>
      <c r="AH654" s="3"/>
      <c r="AI654" s="3"/>
      <c r="AJ654" s="3"/>
      <c r="AK654" s="3"/>
      <c r="AL654" s="3"/>
      <c r="AM654" s="3"/>
      <c r="AN654" s="3"/>
      <c r="AO654" s="3"/>
    </row>
    <row r="655" spans="1:41" ht="15.75" customHeight="1">
      <c r="A655" s="12"/>
      <c r="B655" s="3"/>
      <c r="C655" s="12"/>
      <c r="D655" s="3"/>
      <c r="E655" s="3"/>
      <c r="F655" s="5"/>
      <c r="G655" s="3"/>
      <c r="H655" s="3"/>
      <c r="I655" s="3"/>
      <c r="J655" s="3"/>
      <c r="K655" s="3"/>
      <c r="L655" s="3"/>
      <c r="M655" s="3"/>
      <c r="N655" s="3"/>
      <c r="O655" s="3"/>
      <c r="P655" s="3"/>
      <c r="Q655" s="3"/>
      <c r="R655" s="5"/>
      <c r="S655" s="3"/>
      <c r="T655" s="3"/>
      <c r="U655" s="3"/>
      <c r="V655" s="3"/>
      <c r="W655" s="3"/>
      <c r="X655" s="3"/>
      <c r="Y655" s="3"/>
      <c r="Z655" s="3"/>
      <c r="AA655" s="3"/>
      <c r="AB655" s="34" t="s">
        <v>1422</v>
      </c>
      <c r="AC655" s="34" t="s">
        <v>140</v>
      </c>
      <c r="AD655" s="34"/>
      <c r="AE655" s="3"/>
      <c r="AF655" s="3"/>
      <c r="AG655" s="3"/>
      <c r="AH655" s="3"/>
      <c r="AI655" s="3"/>
      <c r="AJ655" s="3"/>
      <c r="AK655" s="3"/>
      <c r="AL655" s="3"/>
      <c r="AM655" s="3"/>
      <c r="AN655" s="3"/>
      <c r="AO655" s="3"/>
    </row>
    <row r="656" spans="1:41" ht="15.75" customHeight="1">
      <c r="A656" s="12"/>
      <c r="B656" s="3"/>
      <c r="C656" s="12"/>
      <c r="D656" s="3"/>
      <c r="E656" s="3"/>
      <c r="F656" s="5"/>
      <c r="G656" s="3"/>
      <c r="H656" s="3"/>
      <c r="I656" s="3"/>
      <c r="J656" s="3"/>
      <c r="K656" s="3"/>
      <c r="L656" s="3"/>
      <c r="M656" s="3"/>
      <c r="N656" s="3"/>
      <c r="O656" s="3"/>
      <c r="P656" s="3"/>
      <c r="Q656" s="3"/>
      <c r="R656" s="5"/>
      <c r="S656" s="3"/>
      <c r="T656" s="3"/>
      <c r="U656" s="3"/>
      <c r="V656" s="3"/>
      <c r="W656" s="3"/>
      <c r="X656" s="3"/>
      <c r="Y656" s="3"/>
      <c r="Z656" s="3"/>
      <c r="AA656" s="3"/>
      <c r="AB656" s="34" t="s">
        <v>1773</v>
      </c>
      <c r="AC656" s="34" t="s">
        <v>36</v>
      </c>
      <c r="AD656" s="180" t="s">
        <v>1774</v>
      </c>
      <c r="AE656" s="3"/>
      <c r="AF656" s="3"/>
      <c r="AG656" s="3"/>
      <c r="AH656" s="3"/>
      <c r="AI656" s="3"/>
      <c r="AJ656" s="3"/>
      <c r="AK656" s="3"/>
      <c r="AL656" s="3"/>
      <c r="AM656" s="3"/>
      <c r="AN656" s="3"/>
      <c r="AO656" s="3"/>
    </row>
    <row r="657" spans="1:41" ht="15.75" customHeight="1">
      <c r="A657" s="12"/>
      <c r="B657" s="3"/>
      <c r="C657" s="12"/>
      <c r="D657" s="3"/>
      <c r="E657" s="3"/>
      <c r="F657" s="5"/>
      <c r="G657" s="3"/>
      <c r="H657" s="3"/>
      <c r="I657" s="3"/>
      <c r="J657" s="3"/>
      <c r="K657" s="3"/>
      <c r="L657" s="3"/>
      <c r="M657" s="3"/>
      <c r="N657" s="3"/>
      <c r="O657" s="3"/>
      <c r="P657" s="3"/>
      <c r="Q657" s="3"/>
      <c r="R657" s="5"/>
      <c r="S657" s="3"/>
      <c r="T657" s="3"/>
      <c r="U657" s="3"/>
      <c r="V657" s="3"/>
      <c r="W657" s="3"/>
      <c r="X657" s="3"/>
      <c r="Y657" s="3"/>
      <c r="Z657" s="3"/>
      <c r="AA657" s="3"/>
      <c r="AB657" s="34" t="s">
        <v>1775</v>
      </c>
      <c r="AC657" s="34" t="s">
        <v>36</v>
      </c>
      <c r="AD657" s="180" t="s">
        <v>1776</v>
      </c>
      <c r="AE657" s="3"/>
      <c r="AF657" s="3"/>
      <c r="AG657" s="3"/>
      <c r="AH657" s="3"/>
      <c r="AI657" s="3"/>
      <c r="AJ657" s="3"/>
      <c r="AK657" s="3"/>
      <c r="AL657" s="3"/>
      <c r="AM657" s="3"/>
      <c r="AN657" s="3"/>
      <c r="AO657" s="3"/>
    </row>
    <row r="658" spans="1:41" ht="15.75" customHeight="1">
      <c r="A658" s="12"/>
      <c r="B658" s="3"/>
      <c r="C658" s="12"/>
      <c r="D658" s="3"/>
      <c r="E658" s="3"/>
      <c r="F658" s="5"/>
      <c r="G658" s="3"/>
      <c r="H658" s="3"/>
      <c r="I658" s="3"/>
      <c r="J658" s="3"/>
      <c r="K658" s="3"/>
      <c r="L658" s="3"/>
      <c r="M658" s="3"/>
      <c r="N658" s="3"/>
      <c r="O658" s="3"/>
      <c r="P658" s="3"/>
      <c r="Q658" s="3"/>
      <c r="R658" s="5"/>
      <c r="S658" s="3"/>
      <c r="T658" s="3"/>
      <c r="U658" s="3"/>
      <c r="V658" s="3"/>
      <c r="W658" s="3"/>
      <c r="X658" s="3"/>
      <c r="Y658" s="3"/>
      <c r="Z658" s="3"/>
      <c r="AA658" s="3"/>
      <c r="AB658" s="34" t="s">
        <v>889</v>
      </c>
      <c r="AC658" s="34" t="s">
        <v>36</v>
      </c>
      <c r="AD658" s="180" t="s">
        <v>1777</v>
      </c>
      <c r="AE658" s="3"/>
      <c r="AF658" s="3"/>
      <c r="AG658" s="3"/>
      <c r="AH658" s="3"/>
      <c r="AI658" s="3"/>
      <c r="AJ658" s="3"/>
      <c r="AK658" s="3"/>
      <c r="AL658" s="3"/>
      <c r="AM658" s="3"/>
      <c r="AN658" s="3"/>
      <c r="AO658" s="3"/>
    </row>
    <row r="659" spans="1:41" ht="15.75" customHeight="1">
      <c r="A659" s="12"/>
      <c r="B659" s="3"/>
      <c r="C659" s="12"/>
      <c r="D659" s="3"/>
      <c r="E659" s="3"/>
      <c r="F659" s="5"/>
      <c r="G659" s="3"/>
      <c r="H659" s="3"/>
      <c r="I659" s="3"/>
      <c r="J659" s="3"/>
      <c r="K659" s="3"/>
      <c r="L659" s="3"/>
      <c r="M659" s="3"/>
      <c r="N659" s="3"/>
      <c r="O659" s="3"/>
      <c r="P659" s="3"/>
      <c r="Q659" s="3"/>
      <c r="R659" s="5"/>
      <c r="S659" s="3"/>
      <c r="T659" s="3"/>
      <c r="U659" s="3"/>
      <c r="V659" s="3"/>
      <c r="W659" s="3"/>
      <c r="X659" s="3"/>
      <c r="Y659" s="3"/>
      <c r="Z659" s="3"/>
      <c r="AA659" s="3"/>
      <c r="AB659" s="34" t="s">
        <v>1778</v>
      </c>
      <c r="AC659" s="34" t="s">
        <v>140</v>
      </c>
      <c r="AD659" s="34"/>
      <c r="AE659" s="3"/>
      <c r="AF659" s="3"/>
      <c r="AG659" s="3"/>
      <c r="AH659" s="3"/>
      <c r="AI659" s="3"/>
      <c r="AJ659" s="3"/>
      <c r="AK659" s="3"/>
      <c r="AL659" s="3"/>
      <c r="AM659" s="3"/>
      <c r="AN659" s="3"/>
      <c r="AO659" s="3"/>
    </row>
    <row r="660" spans="1:41" ht="15.75" customHeight="1">
      <c r="A660" s="12"/>
      <c r="B660" s="3"/>
      <c r="C660" s="12"/>
      <c r="D660" s="3"/>
      <c r="E660" s="3"/>
      <c r="F660" s="5"/>
      <c r="G660" s="3"/>
      <c r="H660" s="3"/>
      <c r="I660" s="3"/>
      <c r="J660" s="3"/>
      <c r="K660" s="3"/>
      <c r="L660" s="3"/>
      <c r="M660" s="3"/>
      <c r="N660" s="3"/>
      <c r="O660" s="3"/>
      <c r="P660" s="3"/>
      <c r="Q660" s="3"/>
      <c r="R660" s="5"/>
      <c r="S660" s="3"/>
      <c r="T660" s="3"/>
      <c r="U660" s="3"/>
      <c r="V660" s="3"/>
      <c r="W660" s="3"/>
      <c r="X660" s="3"/>
      <c r="Y660" s="3"/>
      <c r="Z660" s="3"/>
      <c r="AA660" s="3"/>
      <c r="AB660" s="34" t="s">
        <v>961</v>
      </c>
      <c r="AC660" s="34" t="s">
        <v>140</v>
      </c>
      <c r="AD660" s="34"/>
      <c r="AE660" s="3"/>
      <c r="AF660" s="3"/>
      <c r="AG660" s="3"/>
      <c r="AH660" s="3"/>
      <c r="AI660" s="3"/>
      <c r="AJ660" s="3"/>
      <c r="AK660" s="3"/>
      <c r="AL660" s="3"/>
      <c r="AM660" s="3"/>
      <c r="AN660" s="3"/>
      <c r="AO660" s="3"/>
    </row>
    <row r="661" spans="1:41" ht="15.75" customHeight="1">
      <c r="A661" s="12"/>
      <c r="B661" s="3"/>
      <c r="C661" s="12"/>
      <c r="D661" s="3"/>
      <c r="E661" s="3"/>
      <c r="F661" s="5"/>
      <c r="G661" s="3"/>
      <c r="H661" s="3"/>
      <c r="I661" s="3"/>
      <c r="J661" s="3"/>
      <c r="K661" s="3"/>
      <c r="L661" s="3"/>
      <c r="M661" s="3"/>
      <c r="N661" s="3"/>
      <c r="O661" s="3"/>
      <c r="P661" s="3"/>
      <c r="Q661" s="3"/>
      <c r="R661" s="5"/>
      <c r="S661" s="3"/>
      <c r="T661" s="3"/>
      <c r="U661" s="3"/>
      <c r="V661" s="3"/>
      <c r="W661" s="3"/>
      <c r="X661" s="3"/>
      <c r="Y661" s="3"/>
      <c r="Z661" s="3"/>
      <c r="AA661" s="3"/>
      <c r="AB661" s="34" t="s">
        <v>1779</v>
      </c>
      <c r="AC661" s="34" t="s">
        <v>140</v>
      </c>
      <c r="AD661" s="34"/>
      <c r="AE661" s="3"/>
      <c r="AF661" s="3"/>
      <c r="AG661" s="3"/>
      <c r="AH661" s="3"/>
      <c r="AI661" s="3"/>
      <c r="AJ661" s="3"/>
      <c r="AK661" s="3"/>
      <c r="AL661" s="3"/>
      <c r="AM661" s="3"/>
      <c r="AN661" s="3"/>
      <c r="AO661" s="3"/>
    </row>
    <row r="662" spans="1:41" ht="15.75" customHeight="1">
      <c r="A662" s="12"/>
      <c r="B662" s="3"/>
      <c r="C662" s="12"/>
      <c r="D662" s="3"/>
      <c r="E662" s="3"/>
      <c r="F662" s="5"/>
      <c r="G662" s="3"/>
      <c r="H662" s="3"/>
      <c r="I662" s="3"/>
      <c r="J662" s="3"/>
      <c r="K662" s="3"/>
      <c r="L662" s="3"/>
      <c r="M662" s="3"/>
      <c r="N662" s="3"/>
      <c r="O662" s="3"/>
      <c r="P662" s="3"/>
      <c r="Q662" s="3"/>
      <c r="R662" s="5"/>
      <c r="S662" s="3"/>
      <c r="T662" s="3"/>
      <c r="U662" s="3"/>
      <c r="V662" s="3"/>
      <c r="W662" s="3"/>
      <c r="X662" s="3"/>
      <c r="Y662" s="3"/>
      <c r="Z662" s="3"/>
      <c r="AA662" s="3"/>
      <c r="AB662" s="34" t="s">
        <v>947</v>
      </c>
      <c r="AC662" s="34" t="s">
        <v>140</v>
      </c>
      <c r="AD662" s="34"/>
      <c r="AE662" s="3"/>
      <c r="AF662" s="3"/>
      <c r="AG662" s="3"/>
      <c r="AH662" s="3"/>
      <c r="AI662" s="3"/>
      <c r="AJ662" s="3"/>
      <c r="AK662" s="3"/>
      <c r="AL662" s="3"/>
      <c r="AM662" s="3"/>
      <c r="AN662" s="3"/>
      <c r="AO662" s="3"/>
    </row>
    <row r="663" spans="1:41" ht="15.75" customHeight="1">
      <c r="A663" s="12"/>
      <c r="B663" s="3"/>
      <c r="C663" s="12"/>
      <c r="D663" s="3"/>
      <c r="E663" s="3"/>
      <c r="F663" s="5"/>
      <c r="G663" s="3"/>
      <c r="H663" s="3"/>
      <c r="I663" s="3"/>
      <c r="J663" s="3"/>
      <c r="K663" s="3"/>
      <c r="L663" s="3"/>
      <c r="M663" s="3"/>
      <c r="N663" s="3"/>
      <c r="O663" s="3"/>
      <c r="P663" s="3"/>
      <c r="Q663" s="3"/>
      <c r="R663" s="5"/>
      <c r="S663" s="3"/>
      <c r="T663" s="3"/>
      <c r="U663" s="3"/>
      <c r="V663" s="3"/>
      <c r="W663" s="3"/>
      <c r="X663" s="3"/>
      <c r="Y663" s="3"/>
      <c r="Z663" s="3"/>
      <c r="AA663" s="3"/>
      <c r="AB663" s="34" t="s">
        <v>1780</v>
      </c>
      <c r="AC663" s="34" t="s">
        <v>36</v>
      </c>
      <c r="AD663" s="180" t="s">
        <v>1781</v>
      </c>
      <c r="AE663" s="3"/>
      <c r="AF663" s="3"/>
      <c r="AG663" s="3"/>
      <c r="AH663" s="3"/>
      <c r="AI663" s="3"/>
      <c r="AJ663" s="3"/>
      <c r="AK663" s="3"/>
      <c r="AL663" s="3"/>
      <c r="AM663" s="3"/>
      <c r="AN663" s="3"/>
      <c r="AO663" s="3"/>
    </row>
    <row r="664" spans="1:41" ht="15.75" customHeight="1">
      <c r="A664" s="12"/>
      <c r="B664" s="3"/>
      <c r="C664" s="12"/>
      <c r="D664" s="3"/>
      <c r="E664" s="3"/>
      <c r="F664" s="5"/>
      <c r="G664" s="3"/>
      <c r="H664" s="3"/>
      <c r="I664" s="3"/>
      <c r="J664" s="3"/>
      <c r="K664" s="3"/>
      <c r="L664" s="3"/>
      <c r="M664" s="3"/>
      <c r="N664" s="3"/>
      <c r="O664" s="3"/>
      <c r="P664" s="3"/>
      <c r="Q664" s="3"/>
      <c r="R664" s="5"/>
      <c r="S664" s="3"/>
      <c r="T664" s="3"/>
      <c r="U664" s="3"/>
      <c r="V664" s="3"/>
      <c r="W664" s="3"/>
      <c r="X664" s="3"/>
      <c r="Y664" s="3"/>
      <c r="Z664" s="3"/>
      <c r="AA664" s="3"/>
      <c r="AB664" s="34" t="s">
        <v>1782</v>
      </c>
      <c r="AC664" s="34" t="s">
        <v>140</v>
      </c>
      <c r="AD664" s="34"/>
      <c r="AE664" s="3"/>
      <c r="AF664" s="3"/>
      <c r="AG664" s="3"/>
      <c r="AH664" s="3"/>
      <c r="AI664" s="3"/>
      <c r="AJ664" s="3"/>
      <c r="AK664" s="3"/>
      <c r="AL664" s="3"/>
      <c r="AM664" s="3"/>
      <c r="AN664" s="3"/>
      <c r="AO664" s="3"/>
    </row>
    <row r="665" spans="1:41" ht="15.75" customHeight="1">
      <c r="A665" s="12"/>
      <c r="B665" s="3"/>
      <c r="C665" s="12"/>
      <c r="D665" s="3"/>
      <c r="E665" s="3"/>
      <c r="F665" s="5"/>
      <c r="G665" s="3"/>
      <c r="H665" s="3"/>
      <c r="I665" s="3"/>
      <c r="J665" s="3"/>
      <c r="K665" s="3"/>
      <c r="L665" s="3"/>
      <c r="M665" s="3"/>
      <c r="N665" s="3"/>
      <c r="O665" s="3"/>
      <c r="P665" s="3"/>
      <c r="Q665" s="3"/>
      <c r="R665" s="5"/>
      <c r="S665" s="3"/>
      <c r="T665" s="3"/>
      <c r="U665" s="3"/>
      <c r="V665" s="3"/>
      <c r="W665" s="3"/>
      <c r="X665" s="3"/>
      <c r="Y665" s="3"/>
      <c r="Z665" s="3"/>
      <c r="AA665" s="3"/>
      <c r="AB665" s="34" t="s">
        <v>1783</v>
      </c>
      <c r="AC665" s="34" t="s">
        <v>140</v>
      </c>
      <c r="AD665" s="34"/>
      <c r="AE665" s="3"/>
      <c r="AF665" s="3"/>
      <c r="AG665" s="3"/>
      <c r="AH665" s="3"/>
      <c r="AI665" s="3"/>
      <c r="AJ665" s="3"/>
      <c r="AK665" s="3"/>
      <c r="AL665" s="3"/>
      <c r="AM665" s="3"/>
      <c r="AN665" s="3"/>
      <c r="AO665" s="3"/>
    </row>
    <row r="666" spans="1:41" ht="15.75" customHeight="1">
      <c r="A666" s="12"/>
      <c r="B666" s="3"/>
      <c r="C666" s="12"/>
      <c r="D666" s="3"/>
      <c r="E666" s="3"/>
      <c r="F666" s="5"/>
      <c r="G666" s="3"/>
      <c r="H666" s="3"/>
      <c r="I666" s="3"/>
      <c r="J666" s="3"/>
      <c r="K666" s="3"/>
      <c r="L666" s="3"/>
      <c r="M666" s="3"/>
      <c r="N666" s="3"/>
      <c r="O666" s="3"/>
      <c r="P666" s="3"/>
      <c r="Q666" s="3"/>
      <c r="R666" s="5"/>
      <c r="S666" s="3"/>
      <c r="T666" s="3"/>
      <c r="U666" s="3"/>
      <c r="V666" s="3"/>
      <c r="W666" s="3"/>
      <c r="X666" s="3"/>
      <c r="Y666" s="3"/>
      <c r="Z666" s="3"/>
      <c r="AA666" s="3"/>
      <c r="AB666" s="34" t="s">
        <v>1784</v>
      </c>
      <c r="AC666" s="34" t="s">
        <v>36</v>
      </c>
      <c r="AD666" s="180" t="s">
        <v>1785</v>
      </c>
      <c r="AE666" s="3"/>
      <c r="AF666" s="3"/>
      <c r="AG666" s="3"/>
      <c r="AH666" s="3"/>
      <c r="AI666" s="3"/>
      <c r="AJ666" s="3"/>
      <c r="AK666" s="3"/>
      <c r="AL666" s="3"/>
      <c r="AM666" s="3"/>
      <c r="AN666" s="3"/>
      <c r="AO666" s="3"/>
    </row>
    <row r="667" spans="1:41" ht="15.75" customHeight="1">
      <c r="A667" s="12"/>
      <c r="B667" s="3"/>
      <c r="C667" s="12"/>
      <c r="D667" s="3"/>
      <c r="E667" s="3"/>
      <c r="F667" s="5"/>
      <c r="G667" s="3"/>
      <c r="H667" s="3"/>
      <c r="I667" s="3"/>
      <c r="J667" s="3"/>
      <c r="K667" s="3"/>
      <c r="L667" s="3"/>
      <c r="M667" s="3"/>
      <c r="N667" s="3"/>
      <c r="O667" s="3"/>
      <c r="P667" s="3"/>
      <c r="Q667" s="3"/>
      <c r="R667" s="5"/>
      <c r="S667" s="3"/>
      <c r="T667" s="3"/>
      <c r="U667" s="3"/>
      <c r="V667" s="3"/>
      <c r="W667" s="3"/>
      <c r="X667" s="3"/>
      <c r="Y667" s="3"/>
      <c r="Z667" s="3"/>
      <c r="AA667" s="3"/>
      <c r="AB667" s="34" t="s">
        <v>1786</v>
      </c>
      <c r="AC667" s="34" t="s">
        <v>36</v>
      </c>
      <c r="AD667" s="34"/>
      <c r="AE667" s="3"/>
      <c r="AF667" s="3"/>
      <c r="AG667" s="3"/>
      <c r="AH667" s="3"/>
      <c r="AI667" s="3"/>
      <c r="AJ667" s="3"/>
      <c r="AK667" s="3"/>
      <c r="AL667" s="3"/>
      <c r="AM667" s="3"/>
      <c r="AN667" s="3"/>
      <c r="AO667" s="3"/>
    </row>
    <row r="668" spans="1:41" ht="15.75" customHeight="1">
      <c r="A668" s="12"/>
      <c r="B668" s="3"/>
      <c r="C668" s="12"/>
      <c r="D668" s="3"/>
      <c r="E668" s="3"/>
      <c r="F668" s="5"/>
      <c r="G668" s="3"/>
      <c r="H668" s="3"/>
      <c r="I668" s="3"/>
      <c r="J668" s="3"/>
      <c r="K668" s="3"/>
      <c r="L668" s="3"/>
      <c r="M668" s="3"/>
      <c r="N668" s="3"/>
      <c r="O668" s="3"/>
      <c r="P668" s="3"/>
      <c r="Q668" s="3"/>
      <c r="R668" s="5"/>
      <c r="S668" s="3"/>
      <c r="T668" s="3"/>
      <c r="U668" s="3"/>
      <c r="V668" s="3"/>
      <c r="W668" s="3"/>
      <c r="X668" s="3"/>
      <c r="Y668" s="3"/>
      <c r="Z668" s="3"/>
      <c r="AA668" s="3"/>
      <c r="AB668" s="34" t="s">
        <v>1787</v>
      </c>
      <c r="AC668" s="34" t="s">
        <v>140</v>
      </c>
      <c r="AD668" s="34"/>
      <c r="AE668" s="3"/>
      <c r="AF668" s="3"/>
      <c r="AG668" s="3"/>
      <c r="AH668" s="3"/>
      <c r="AI668" s="3"/>
      <c r="AJ668" s="3"/>
      <c r="AK668" s="3"/>
      <c r="AL668" s="3"/>
      <c r="AM668" s="3"/>
      <c r="AN668" s="3"/>
      <c r="AO668" s="3"/>
    </row>
    <row r="669" spans="1:41" ht="15.75" customHeight="1">
      <c r="A669" s="12"/>
      <c r="B669" s="3"/>
      <c r="C669" s="12"/>
      <c r="D669" s="3"/>
      <c r="E669" s="3"/>
      <c r="F669" s="5"/>
      <c r="G669" s="3"/>
      <c r="H669" s="3"/>
      <c r="I669" s="3"/>
      <c r="J669" s="3"/>
      <c r="K669" s="3"/>
      <c r="L669" s="3"/>
      <c r="M669" s="3"/>
      <c r="N669" s="3"/>
      <c r="O669" s="3"/>
      <c r="P669" s="3"/>
      <c r="Q669" s="3"/>
      <c r="R669" s="5"/>
      <c r="S669" s="3"/>
      <c r="T669" s="3"/>
      <c r="U669" s="3"/>
      <c r="V669" s="3"/>
      <c r="W669" s="3"/>
      <c r="X669" s="3"/>
      <c r="Y669" s="3"/>
      <c r="Z669" s="3"/>
      <c r="AA669" s="3"/>
      <c r="AB669" s="34" t="s">
        <v>1788</v>
      </c>
      <c r="AC669" s="34" t="s">
        <v>140</v>
      </c>
      <c r="AD669" s="34"/>
      <c r="AE669" s="3"/>
      <c r="AF669" s="3"/>
      <c r="AG669" s="3"/>
      <c r="AH669" s="3"/>
      <c r="AI669" s="3"/>
      <c r="AJ669" s="3"/>
      <c r="AK669" s="3"/>
      <c r="AL669" s="3"/>
      <c r="AM669" s="3"/>
      <c r="AN669" s="3"/>
      <c r="AO669" s="3"/>
    </row>
    <row r="670" spans="1:41" ht="15.75" customHeight="1">
      <c r="A670" s="12"/>
      <c r="B670" s="3"/>
      <c r="C670" s="12"/>
      <c r="D670" s="3"/>
      <c r="E670" s="3"/>
      <c r="F670" s="5"/>
      <c r="G670" s="3"/>
      <c r="H670" s="3"/>
      <c r="I670" s="3"/>
      <c r="J670" s="3"/>
      <c r="K670" s="3"/>
      <c r="L670" s="3"/>
      <c r="M670" s="3"/>
      <c r="N670" s="3"/>
      <c r="O670" s="3"/>
      <c r="P670" s="3"/>
      <c r="Q670" s="3"/>
      <c r="R670" s="5"/>
      <c r="S670" s="3"/>
      <c r="T670" s="3"/>
      <c r="U670" s="3"/>
      <c r="V670" s="3"/>
      <c r="W670" s="3"/>
      <c r="X670" s="3"/>
      <c r="Y670" s="3"/>
      <c r="Z670" s="3"/>
      <c r="AA670" s="3"/>
      <c r="AB670" s="34" t="s">
        <v>1789</v>
      </c>
      <c r="AC670" s="34" t="s">
        <v>36</v>
      </c>
      <c r="AD670" s="180" t="s">
        <v>1790</v>
      </c>
      <c r="AE670" s="3"/>
      <c r="AF670" s="3"/>
      <c r="AG670" s="3"/>
      <c r="AH670" s="3"/>
      <c r="AI670" s="3"/>
      <c r="AJ670" s="3"/>
      <c r="AK670" s="3"/>
      <c r="AL670" s="3"/>
      <c r="AM670" s="3"/>
      <c r="AN670" s="3"/>
      <c r="AO670" s="3"/>
    </row>
    <row r="671" spans="1:41" ht="15.75" customHeight="1">
      <c r="A671" s="12"/>
      <c r="B671" s="3"/>
      <c r="C671" s="12"/>
      <c r="D671" s="3"/>
      <c r="E671" s="3"/>
      <c r="F671" s="5"/>
      <c r="G671" s="3"/>
      <c r="H671" s="3"/>
      <c r="I671" s="3"/>
      <c r="J671" s="3"/>
      <c r="K671" s="3"/>
      <c r="L671" s="3"/>
      <c r="M671" s="3"/>
      <c r="N671" s="3"/>
      <c r="O671" s="3"/>
      <c r="P671" s="3"/>
      <c r="Q671" s="3"/>
      <c r="R671" s="5"/>
      <c r="S671" s="3"/>
      <c r="T671" s="3"/>
      <c r="U671" s="3"/>
      <c r="V671" s="3"/>
      <c r="W671" s="3"/>
      <c r="X671" s="3"/>
      <c r="Y671" s="3"/>
      <c r="Z671" s="3"/>
      <c r="AA671" s="3"/>
      <c r="AB671" s="34" t="s">
        <v>1791</v>
      </c>
      <c r="AC671" s="34" t="s">
        <v>36</v>
      </c>
      <c r="AD671" s="180" t="s">
        <v>939</v>
      </c>
      <c r="AE671" s="3"/>
      <c r="AF671" s="3"/>
      <c r="AG671" s="3"/>
      <c r="AH671" s="3"/>
      <c r="AI671" s="3"/>
      <c r="AJ671" s="3"/>
      <c r="AK671" s="3"/>
      <c r="AL671" s="3"/>
      <c r="AM671" s="3"/>
      <c r="AN671" s="3"/>
      <c r="AO671" s="3"/>
    </row>
    <row r="672" spans="1:41" ht="15.75" customHeight="1">
      <c r="A672" s="12"/>
      <c r="B672" s="3"/>
      <c r="C672" s="12"/>
      <c r="D672" s="3"/>
      <c r="E672" s="3"/>
      <c r="F672" s="5"/>
      <c r="G672" s="3"/>
      <c r="H672" s="3"/>
      <c r="I672" s="3"/>
      <c r="J672" s="3"/>
      <c r="K672" s="3"/>
      <c r="L672" s="3"/>
      <c r="M672" s="3"/>
      <c r="N672" s="3"/>
      <c r="O672" s="3"/>
      <c r="P672" s="3"/>
      <c r="Q672" s="3"/>
      <c r="R672" s="5"/>
      <c r="S672" s="3"/>
      <c r="T672" s="3"/>
      <c r="U672" s="3"/>
      <c r="V672" s="3"/>
      <c r="W672" s="3"/>
      <c r="X672" s="3"/>
      <c r="Y672" s="3"/>
      <c r="Z672" s="3"/>
      <c r="AA672" s="3"/>
      <c r="AB672" s="34" t="s">
        <v>1792</v>
      </c>
      <c r="AC672" s="34" t="s">
        <v>36</v>
      </c>
      <c r="AD672" s="180" t="s">
        <v>1793</v>
      </c>
      <c r="AE672" s="3"/>
      <c r="AF672" s="3"/>
      <c r="AG672" s="3"/>
      <c r="AH672" s="3"/>
      <c r="AI672" s="3"/>
      <c r="AJ672" s="3"/>
      <c r="AK672" s="3"/>
      <c r="AL672" s="3"/>
      <c r="AM672" s="3"/>
      <c r="AN672" s="3"/>
      <c r="AO672" s="3"/>
    </row>
    <row r="673" spans="1:41" ht="15.75" customHeight="1">
      <c r="A673" s="12"/>
      <c r="B673" s="3"/>
      <c r="C673" s="12"/>
      <c r="D673" s="3"/>
      <c r="E673" s="3"/>
      <c r="F673" s="5"/>
      <c r="G673" s="3"/>
      <c r="H673" s="3"/>
      <c r="I673" s="3"/>
      <c r="J673" s="3"/>
      <c r="K673" s="3"/>
      <c r="L673" s="3"/>
      <c r="M673" s="3"/>
      <c r="N673" s="3"/>
      <c r="O673" s="3"/>
      <c r="P673" s="3"/>
      <c r="Q673" s="3"/>
      <c r="R673" s="5"/>
      <c r="S673" s="3"/>
      <c r="T673" s="3"/>
      <c r="U673" s="3"/>
      <c r="V673" s="3"/>
      <c r="W673" s="3"/>
      <c r="X673" s="3"/>
      <c r="Y673" s="3"/>
      <c r="Z673" s="3"/>
      <c r="AA673" s="3"/>
      <c r="AB673" s="34" t="s">
        <v>31</v>
      </c>
      <c r="AC673" s="34" t="s">
        <v>36</v>
      </c>
      <c r="AD673" s="180" t="s">
        <v>1794</v>
      </c>
      <c r="AE673" s="3"/>
      <c r="AF673" s="3"/>
      <c r="AG673" s="3"/>
      <c r="AH673" s="3"/>
      <c r="AI673" s="3"/>
      <c r="AJ673" s="3"/>
      <c r="AK673" s="3"/>
      <c r="AL673" s="3"/>
      <c r="AM673" s="3"/>
      <c r="AN673" s="3"/>
      <c r="AO673" s="3"/>
    </row>
    <row r="674" spans="1:41" ht="15.75" customHeight="1">
      <c r="A674" s="12"/>
      <c r="B674" s="3"/>
      <c r="C674" s="12"/>
      <c r="D674" s="3"/>
      <c r="E674" s="3"/>
      <c r="F674" s="5"/>
      <c r="G674" s="3"/>
      <c r="H674" s="3"/>
      <c r="I674" s="3"/>
      <c r="J674" s="3"/>
      <c r="K674" s="3"/>
      <c r="L674" s="3"/>
      <c r="M674" s="3"/>
      <c r="N674" s="3"/>
      <c r="O674" s="3"/>
      <c r="P674" s="3"/>
      <c r="Q674" s="3"/>
      <c r="R674" s="5"/>
      <c r="S674" s="3"/>
      <c r="T674" s="3"/>
      <c r="U674" s="3"/>
      <c r="V674" s="3"/>
      <c r="W674" s="3"/>
      <c r="X674" s="3"/>
      <c r="Y674" s="3"/>
      <c r="Z674" s="3"/>
      <c r="AA674" s="3"/>
      <c r="AB674" s="34" t="s">
        <v>1795</v>
      </c>
      <c r="AC674" s="34" t="s">
        <v>36</v>
      </c>
      <c r="AD674" s="180" t="s">
        <v>1796</v>
      </c>
      <c r="AE674" s="3"/>
      <c r="AF674" s="3"/>
      <c r="AG674" s="3"/>
      <c r="AH674" s="3"/>
      <c r="AI674" s="3"/>
      <c r="AJ674" s="3"/>
      <c r="AK674" s="3"/>
      <c r="AL674" s="3"/>
      <c r="AM674" s="3"/>
      <c r="AN674" s="3"/>
      <c r="AO674" s="3"/>
    </row>
    <row r="675" spans="1:41" ht="15.75" customHeight="1">
      <c r="A675" s="12"/>
      <c r="B675" s="3"/>
      <c r="C675" s="12"/>
      <c r="D675" s="3"/>
      <c r="E675" s="3"/>
      <c r="F675" s="5"/>
      <c r="G675" s="3"/>
      <c r="H675" s="3"/>
      <c r="I675" s="3"/>
      <c r="J675" s="3"/>
      <c r="K675" s="3"/>
      <c r="L675" s="3"/>
      <c r="M675" s="3"/>
      <c r="N675" s="3"/>
      <c r="O675" s="3"/>
      <c r="P675" s="3"/>
      <c r="Q675" s="3"/>
      <c r="R675" s="5"/>
      <c r="S675" s="3"/>
      <c r="T675" s="3"/>
      <c r="U675" s="3"/>
      <c r="V675" s="3"/>
      <c r="W675" s="3"/>
      <c r="X675" s="3"/>
      <c r="Y675" s="3"/>
      <c r="Z675" s="3"/>
      <c r="AA675" s="3"/>
      <c r="AB675" s="34"/>
      <c r="AC675" s="34"/>
      <c r="AD675" s="34"/>
      <c r="AE675" s="3"/>
      <c r="AF675" s="3"/>
      <c r="AG675" s="3"/>
      <c r="AH675" s="3"/>
      <c r="AI675" s="3"/>
      <c r="AJ675" s="3"/>
      <c r="AK675" s="3"/>
      <c r="AL675" s="3"/>
      <c r="AM675" s="3"/>
      <c r="AN675" s="3"/>
      <c r="AO675" s="3"/>
    </row>
    <row r="676" spans="1:41" ht="15.75" customHeight="1">
      <c r="A676" s="12"/>
      <c r="B676" s="3"/>
      <c r="C676" s="12"/>
      <c r="D676" s="3"/>
      <c r="E676" s="3"/>
      <c r="F676" s="5"/>
      <c r="G676" s="3"/>
      <c r="H676" s="3"/>
      <c r="I676" s="3"/>
      <c r="J676" s="3"/>
      <c r="K676" s="3"/>
      <c r="L676" s="3"/>
      <c r="M676" s="3"/>
      <c r="N676" s="3"/>
      <c r="O676" s="3"/>
      <c r="P676" s="3"/>
      <c r="Q676" s="3"/>
      <c r="R676" s="5"/>
      <c r="S676" s="3"/>
      <c r="T676" s="3"/>
      <c r="U676" s="3"/>
      <c r="V676" s="3"/>
      <c r="W676" s="3"/>
      <c r="X676" s="3"/>
      <c r="Y676" s="3"/>
      <c r="Z676" s="3"/>
      <c r="AA676" s="3"/>
      <c r="AB676" s="34"/>
      <c r="AC676" s="34"/>
      <c r="AD676" s="34"/>
      <c r="AE676" s="3"/>
      <c r="AF676" s="3"/>
      <c r="AG676" s="3"/>
      <c r="AH676" s="3"/>
      <c r="AI676" s="3"/>
      <c r="AJ676" s="3"/>
      <c r="AK676" s="3"/>
      <c r="AL676" s="3"/>
      <c r="AM676" s="3"/>
      <c r="AN676" s="3"/>
      <c r="AO676" s="3"/>
    </row>
    <row r="677" spans="1:41" ht="15.75" customHeight="1">
      <c r="A677" s="12"/>
      <c r="B677" s="3"/>
      <c r="C677" s="12"/>
      <c r="D677" s="3"/>
      <c r="E677" s="3"/>
      <c r="F677" s="5"/>
      <c r="G677" s="3"/>
      <c r="H677" s="3"/>
      <c r="I677" s="3"/>
      <c r="J677" s="3"/>
      <c r="K677" s="3"/>
      <c r="L677" s="3"/>
      <c r="M677" s="3"/>
      <c r="N677" s="3"/>
      <c r="O677" s="3"/>
      <c r="P677" s="3"/>
      <c r="Q677" s="3"/>
      <c r="R677" s="5"/>
      <c r="S677" s="3"/>
      <c r="T677" s="3"/>
      <c r="U677" s="3"/>
      <c r="V677" s="3"/>
      <c r="W677" s="3"/>
      <c r="X677" s="3"/>
      <c r="Y677" s="3"/>
      <c r="Z677" s="3"/>
      <c r="AA677" s="3"/>
      <c r="AB677" s="34"/>
      <c r="AC677" s="34"/>
      <c r="AD677" s="34"/>
      <c r="AE677" s="3"/>
      <c r="AF677" s="3"/>
      <c r="AG677" s="3"/>
      <c r="AH677" s="3"/>
      <c r="AI677" s="3"/>
      <c r="AJ677" s="3"/>
      <c r="AK677" s="3"/>
      <c r="AL677" s="3"/>
      <c r="AM677" s="3"/>
      <c r="AN677" s="3"/>
      <c r="AO677" s="3"/>
    </row>
    <row r="678" spans="1:41" ht="15.75" customHeight="1">
      <c r="A678" s="12"/>
      <c r="B678" s="3"/>
      <c r="C678" s="12"/>
      <c r="D678" s="3"/>
      <c r="E678" s="3"/>
      <c r="F678" s="5"/>
      <c r="G678" s="3"/>
      <c r="H678" s="3"/>
      <c r="I678" s="3"/>
      <c r="J678" s="3"/>
      <c r="K678" s="3"/>
      <c r="L678" s="3"/>
      <c r="M678" s="3"/>
      <c r="N678" s="3"/>
      <c r="O678" s="3"/>
      <c r="P678" s="3"/>
      <c r="Q678" s="3"/>
      <c r="R678" s="5"/>
      <c r="S678" s="3"/>
      <c r="T678" s="3"/>
      <c r="U678" s="3"/>
      <c r="V678" s="3"/>
      <c r="W678" s="3"/>
      <c r="X678" s="3"/>
      <c r="Y678" s="3"/>
      <c r="Z678" s="3"/>
      <c r="AA678" s="3"/>
      <c r="AB678" s="34"/>
      <c r="AC678" s="34"/>
      <c r="AD678" s="34"/>
      <c r="AE678" s="3"/>
      <c r="AF678" s="3"/>
      <c r="AG678" s="3"/>
      <c r="AH678" s="3"/>
      <c r="AI678" s="3"/>
      <c r="AJ678" s="3"/>
      <c r="AK678" s="3"/>
      <c r="AL678" s="3"/>
      <c r="AM678" s="3"/>
      <c r="AN678" s="3"/>
      <c r="AO678" s="3"/>
    </row>
    <row r="679" spans="1:41" ht="15.75" customHeight="1">
      <c r="A679" s="12"/>
      <c r="B679" s="3"/>
      <c r="C679" s="12"/>
      <c r="D679" s="3"/>
      <c r="E679" s="3"/>
      <c r="F679" s="5"/>
      <c r="G679" s="3"/>
      <c r="H679" s="3"/>
      <c r="I679" s="3"/>
      <c r="J679" s="3"/>
      <c r="K679" s="3"/>
      <c r="L679" s="3"/>
      <c r="M679" s="3"/>
      <c r="N679" s="3"/>
      <c r="O679" s="3"/>
      <c r="P679" s="3"/>
      <c r="Q679" s="3"/>
      <c r="R679" s="5"/>
      <c r="S679" s="3"/>
      <c r="T679" s="3"/>
      <c r="U679" s="3"/>
      <c r="V679" s="3"/>
      <c r="W679" s="3"/>
      <c r="X679" s="3"/>
      <c r="Y679" s="3"/>
      <c r="Z679" s="3"/>
      <c r="AA679" s="3"/>
      <c r="AB679" s="34"/>
      <c r="AC679" s="34"/>
      <c r="AD679" s="34"/>
      <c r="AE679" s="3"/>
      <c r="AF679" s="3"/>
      <c r="AG679" s="3"/>
      <c r="AH679" s="3"/>
      <c r="AI679" s="3"/>
      <c r="AJ679" s="3"/>
      <c r="AK679" s="3"/>
      <c r="AL679" s="3"/>
      <c r="AM679" s="3"/>
      <c r="AN679" s="3"/>
      <c r="AO679" s="3"/>
    </row>
    <row r="680" spans="1:41" ht="15.75" customHeight="1">
      <c r="A680" s="12"/>
      <c r="B680" s="3"/>
      <c r="C680" s="12"/>
      <c r="D680" s="3"/>
      <c r="E680" s="3"/>
      <c r="F680" s="5"/>
      <c r="G680" s="3"/>
      <c r="H680" s="3"/>
      <c r="I680" s="3"/>
      <c r="J680" s="3"/>
      <c r="K680" s="3"/>
      <c r="L680" s="3"/>
      <c r="M680" s="3"/>
      <c r="N680" s="3"/>
      <c r="O680" s="3"/>
      <c r="P680" s="3"/>
      <c r="Q680" s="3"/>
      <c r="R680" s="5"/>
      <c r="S680" s="3"/>
      <c r="T680" s="3"/>
      <c r="U680" s="3"/>
      <c r="V680" s="3"/>
      <c r="W680" s="3"/>
      <c r="X680" s="3"/>
      <c r="Y680" s="3"/>
      <c r="Z680" s="3"/>
      <c r="AA680" s="3"/>
      <c r="AB680" s="34"/>
      <c r="AC680" s="34"/>
      <c r="AD680" s="34"/>
      <c r="AE680" s="3"/>
      <c r="AF680" s="3"/>
      <c r="AG680" s="3"/>
      <c r="AH680" s="3"/>
      <c r="AI680" s="3"/>
      <c r="AJ680" s="3"/>
      <c r="AK680" s="3"/>
      <c r="AL680" s="3"/>
      <c r="AM680" s="3"/>
      <c r="AN680" s="3"/>
      <c r="AO680" s="3"/>
    </row>
    <row r="681" spans="1:41" ht="15.75" customHeight="1">
      <c r="A681" s="12"/>
      <c r="B681" s="3"/>
      <c r="C681" s="12"/>
      <c r="D681" s="3"/>
      <c r="E681" s="3"/>
      <c r="F681" s="5"/>
      <c r="G681" s="3"/>
      <c r="H681" s="3"/>
      <c r="I681" s="3"/>
      <c r="J681" s="3"/>
      <c r="K681" s="3"/>
      <c r="L681" s="3"/>
      <c r="M681" s="3"/>
      <c r="N681" s="3"/>
      <c r="O681" s="3"/>
      <c r="P681" s="3"/>
      <c r="Q681" s="3"/>
      <c r="R681" s="5"/>
      <c r="S681" s="3"/>
      <c r="T681" s="3"/>
      <c r="U681" s="3"/>
      <c r="V681" s="3"/>
      <c r="W681" s="3"/>
      <c r="X681" s="3"/>
      <c r="Y681" s="3"/>
      <c r="Z681" s="3"/>
      <c r="AA681" s="3"/>
      <c r="AB681" s="34"/>
      <c r="AC681" s="34"/>
      <c r="AD681" s="34"/>
      <c r="AE681" s="3"/>
      <c r="AF681" s="3"/>
      <c r="AG681" s="3"/>
      <c r="AH681" s="3"/>
      <c r="AI681" s="3"/>
      <c r="AJ681" s="3"/>
      <c r="AK681" s="3"/>
      <c r="AL681" s="3"/>
      <c r="AM681" s="3"/>
      <c r="AN681" s="3"/>
      <c r="AO681" s="3"/>
    </row>
    <row r="682" spans="1:41" ht="15.75" customHeight="1">
      <c r="A682" s="12"/>
      <c r="B682" s="3"/>
      <c r="C682" s="12"/>
      <c r="D682" s="3"/>
      <c r="E682" s="3"/>
      <c r="F682" s="5"/>
      <c r="G682" s="3"/>
      <c r="H682" s="3"/>
      <c r="I682" s="3"/>
      <c r="J682" s="3"/>
      <c r="K682" s="3"/>
      <c r="L682" s="3"/>
      <c r="M682" s="3"/>
      <c r="N682" s="3"/>
      <c r="O682" s="3"/>
      <c r="P682" s="3"/>
      <c r="Q682" s="3"/>
      <c r="R682" s="5"/>
      <c r="S682" s="3"/>
      <c r="T682" s="3"/>
      <c r="U682" s="3"/>
      <c r="V682" s="3"/>
      <c r="W682" s="3"/>
      <c r="X682" s="3"/>
      <c r="Y682" s="3"/>
      <c r="Z682" s="3"/>
      <c r="AA682" s="3"/>
      <c r="AB682" s="34"/>
      <c r="AC682" s="34"/>
      <c r="AD682" s="34"/>
      <c r="AE682" s="3"/>
      <c r="AF682" s="3"/>
      <c r="AG682" s="3"/>
      <c r="AH682" s="3"/>
      <c r="AI682" s="3"/>
      <c r="AJ682" s="3"/>
      <c r="AK682" s="3"/>
      <c r="AL682" s="3"/>
      <c r="AM682" s="3"/>
      <c r="AN682" s="3"/>
      <c r="AO682" s="3"/>
    </row>
    <row r="683" spans="1:41" ht="15.75" customHeight="1">
      <c r="A683" s="12"/>
      <c r="B683" s="3"/>
      <c r="C683" s="12"/>
      <c r="D683" s="3"/>
      <c r="E683" s="3"/>
      <c r="F683" s="5"/>
      <c r="G683" s="3"/>
      <c r="H683" s="3"/>
      <c r="I683" s="3"/>
      <c r="J683" s="3"/>
      <c r="K683" s="3"/>
      <c r="L683" s="3"/>
      <c r="M683" s="3"/>
      <c r="N683" s="3"/>
      <c r="O683" s="3"/>
      <c r="P683" s="3"/>
      <c r="Q683" s="3"/>
      <c r="R683" s="5"/>
      <c r="S683" s="3"/>
      <c r="T683" s="3"/>
      <c r="U683" s="3"/>
      <c r="V683" s="3"/>
      <c r="W683" s="3"/>
      <c r="X683" s="3"/>
      <c r="Y683" s="3"/>
      <c r="Z683" s="3"/>
      <c r="AA683" s="3"/>
      <c r="AB683" s="34"/>
      <c r="AC683" s="34"/>
      <c r="AD683" s="34"/>
      <c r="AE683" s="3"/>
      <c r="AF683" s="3"/>
      <c r="AG683" s="3"/>
      <c r="AH683" s="3"/>
      <c r="AI683" s="3"/>
      <c r="AJ683" s="3"/>
      <c r="AK683" s="3"/>
      <c r="AL683" s="3"/>
      <c r="AM683" s="3"/>
      <c r="AN683" s="3"/>
      <c r="AO683" s="3"/>
    </row>
    <row r="684" spans="1:41" ht="15.75" customHeight="1">
      <c r="A684" s="12"/>
      <c r="B684" s="3"/>
      <c r="C684" s="12"/>
      <c r="D684" s="3"/>
      <c r="E684" s="3"/>
      <c r="F684" s="5"/>
      <c r="G684" s="3"/>
      <c r="H684" s="3"/>
      <c r="I684" s="3"/>
      <c r="J684" s="3"/>
      <c r="K684" s="3"/>
      <c r="L684" s="3"/>
      <c r="M684" s="3"/>
      <c r="N684" s="3"/>
      <c r="O684" s="3"/>
      <c r="P684" s="3"/>
      <c r="Q684" s="3"/>
      <c r="R684" s="5"/>
      <c r="S684" s="3"/>
      <c r="T684" s="3"/>
      <c r="U684" s="3"/>
      <c r="V684" s="3"/>
      <c r="W684" s="3"/>
      <c r="X684" s="3"/>
      <c r="Y684" s="3"/>
      <c r="Z684" s="3"/>
      <c r="AA684" s="3"/>
      <c r="AB684" s="34"/>
      <c r="AC684" s="34"/>
      <c r="AD684" s="34"/>
      <c r="AE684" s="3"/>
      <c r="AF684" s="3"/>
      <c r="AG684" s="3"/>
      <c r="AH684" s="3"/>
      <c r="AI684" s="3"/>
      <c r="AJ684" s="3"/>
      <c r="AK684" s="3"/>
      <c r="AL684" s="3"/>
      <c r="AM684" s="3"/>
      <c r="AN684" s="3"/>
      <c r="AO684" s="3"/>
    </row>
    <row r="685" spans="1:41" ht="15.75" customHeight="1">
      <c r="A685" s="12"/>
      <c r="B685" s="3"/>
      <c r="C685" s="12"/>
      <c r="D685" s="3"/>
      <c r="E685" s="3"/>
      <c r="F685" s="5"/>
      <c r="G685" s="3"/>
      <c r="H685" s="3"/>
      <c r="I685" s="3"/>
      <c r="J685" s="3"/>
      <c r="K685" s="3"/>
      <c r="L685" s="3"/>
      <c r="M685" s="3"/>
      <c r="N685" s="3"/>
      <c r="O685" s="3"/>
      <c r="P685" s="3"/>
      <c r="Q685" s="3"/>
      <c r="R685" s="5"/>
      <c r="S685" s="3"/>
      <c r="T685" s="3"/>
      <c r="U685" s="3"/>
      <c r="V685" s="3"/>
      <c r="W685" s="3"/>
      <c r="X685" s="3"/>
      <c r="Y685" s="3"/>
      <c r="Z685" s="3"/>
      <c r="AA685" s="3"/>
      <c r="AB685" s="34"/>
      <c r="AC685" s="34"/>
      <c r="AD685" s="34"/>
      <c r="AE685" s="3"/>
      <c r="AF685" s="3"/>
      <c r="AG685" s="3"/>
      <c r="AH685" s="3"/>
      <c r="AI685" s="3"/>
      <c r="AJ685" s="3"/>
      <c r="AK685" s="3"/>
      <c r="AL685" s="3"/>
      <c r="AM685" s="3"/>
      <c r="AN685" s="3"/>
      <c r="AO685" s="3"/>
    </row>
    <row r="686" spans="1:41" ht="15.75" customHeight="1">
      <c r="A686" s="12"/>
      <c r="B686" s="3"/>
      <c r="C686" s="12"/>
      <c r="D686" s="3"/>
      <c r="E686" s="3"/>
      <c r="F686" s="5"/>
      <c r="G686" s="3"/>
      <c r="H686" s="3"/>
      <c r="I686" s="3"/>
      <c r="J686" s="3"/>
      <c r="K686" s="3"/>
      <c r="L686" s="3"/>
      <c r="M686" s="3"/>
      <c r="N686" s="3"/>
      <c r="O686" s="3"/>
      <c r="P686" s="3"/>
      <c r="Q686" s="3"/>
      <c r="R686" s="5"/>
      <c r="S686" s="3"/>
      <c r="T686" s="3"/>
      <c r="U686" s="3"/>
      <c r="V686" s="3"/>
      <c r="W686" s="3"/>
      <c r="X686" s="3"/>
      <c r="Y686" s="3"/>
      <c r="Z686" s="3"/>
      <c r="AA686" s="3"/>
      <c r="AB686" s="34"/>
      <c r="AC686" s="34"/>
      <c r="AD686" s="34"/>
      <c r="AE686" s="3"/>
      <c r="AF686" s="3"/>
      <c r="AG686" s="3"/>
      <c r="AH686" s="3"/>
      <c r="AI686" s="3"/>
      <c r="AJ686" s="3"/>
      <c r="AK686" s="3"/>
      <c r="AL686" s="3"/>
      <c r="AM686" s="3"/>
      <c r="AN686" s="3"/>
      <c r="AO686" s="3"/>
    </row>
    <row r="687" spans="1:41" ht="15.75" customHeight="1">
      <c r="A687" s="12"/>
      <c r="B687" s="3"/>
      <c r="C687" s="12"/>
      <c r="D687" s="3"/>
      <c r="E687" s="3"/>
      <c r="F687" s="5"/>
      <c r="G687" s="3"/>
      <c r="H687" s="3"/>
      <c r="I687" s="3"/>
      <c r="J687" s="3"/>
      <c r="K687" s="3"/>
      <c r="L687" s="3"/>
      <c r="M687" s="3"/>
      <c r="N687" s="3"/>
      <c r="O687" s="3"/>
      <c r="P687" s="3"/>
      <c r="Q687" s="3"/>
      <c r="R687" s="5"/>
      <c r="S687" s="3"/>
      <c r="T687" s="3"/>
      <c r="U687" s="3"/>
      <c r="V687" s="3"/>
      <c r="W687" s="3"/>
      <c r="X687" s="3"/>
      <c r="Y687" s="3"/>
      <c r="Z687" s="3"/>
      <c r="AA687" s="3"/>
      <c r="AB687" s="34"/>
      <c r="AC687" s="34"/>
      <c r="AD687" s="34"/>
      <c r="AE687" s="3"/>
      <c r="AF687" s="3"/>
      <c r="AG687" s="3"/>
      <c r="AH687" s="3"/>
      <c r="AI687" s="3"/>
      <c r="AJ687" s="3"/>
      <c r="AK687" s="3"/>
      <c r="AL687" s="3"/>
      <c r="AM687" s="3"/>
      <c r="AN687" s="3"/>
      <c r="AO687" s="3"/>
    </row>
    <row r="688" spans="1:41" ht="15.75" customHeight="1">
      <c r="A688" s="12"/>
      <c r="B688" s="3"/>
      <c r="C688" s="12"/>
      <c r="D688" s="3"/>
      <c r="E688" s="3"/>
      <c r="F688" s="5"/>
      <c r="G688" s="3"/>
      <c r="H688" s="3"/>
      <c r="I688" s="3"/>
      <c r="J688" s="3"/>
      <c r="K688" s="3"/>
      <c r="L688" s="3"/>
      <c r="M688" s="3"/>
      <c r="N688" s="3"/>
      <c r="O688" s="3"/>
      <c r="P688" s="3"/>
      <c r="Q688" s="3"/>
      <c r="R688" s="5"/>
      <c r="S688" s="3"/>
      <c r="T688" s="3"/>
      <c r="U688" s="3"/>
      <c r="V688" s="3"/>
      <c r="W688" s="3"/>
      <c r="X688" s="3"/>
      <c r="Y688" s="3"/>
      <c r="Z688" s="3"/>
      <c r="AA688" s="3"/>
      <c r="AB688" s="34"/>
      <c r="AC688" s="34"/>
      <c r="AD688" s="34"/>
      <c r="AE688" s="3"/>
      <c r="AF688" s="3"/>
      <c r="AG688" s="3"/>
      <c r="AH688" s="3"/>
      <c r="AI688" s="3"/>
      <c r="AJ688" s="3"/>
      <c r="AK688" s="3"/>
      <c r="AL688" s="3"/>
      <c r="AM688" s="3"/>
      <c r="AN688" s="3"/>
      <c r="AO688" s="3"/>
    </row>
    <row r="689" spans="1:41" ht="15.75" customHeight="1">
      <c r="A689" s="12"/>
      <c r="B689" s="3"/>
      <c r="C689" s="12"/>
      <c r="D689" s="3"/>
      <c r="E689" s="3"/>
      <c r="F689" s="5"/>
      <c r="G689" s="3"/>
      <c r="H689" s="3"/>
      <c r="I689" s="3"/>
      <c r="J689" s="3"/>
      <c r="K689" s="3"/>
      <c r="L689" s="3"/>
      <c r="M689" s="3"/>
      <c r="N689" s="3"/>
      <c r="O689" s="3"/>
      <c r="P689" s="3"/>
      <c r="Q689" s="3"/>
      <c r="R689" s="5"/>
      <c r="S689" s="3"/>
      <c r="T689" s="3"/>
      <c r="U689" s="3"/>
      <c r="V689" s="3"/>
      <c r="W689" s="3"/>
      <c r="X689" s="3"/>
      <c r="Y689" s="3"/>
      <c r="Z689" s="3"/>
      <c r="AA689" s="3"/>
      <c r="AB689" s="34"/>
      <c r="AC689" s="34"/>
      <c r="AD689" s="34"/>
      <c r="AE689" s="3"/>
      <c r="AF689" s="3"/>
      <c r="AG689" s="3"/>
      <c r="AH689" s="3"/>
      <c r="AI689" s="3"/>
      <c r="AJ689" s="3"/>
      <c r="AK689" s="3"/>
      <c r="AL689" s="3"/>
      <c r="AM689" s="3"/>
      <c r="AN689" s="3"/>
      <c r="AO689" s="3"/>
    </row>
    <row r="690" spans="1:41" ht="15.75" customHeight="1">
      <c r="A690" s="12"/>
      <c r="B690" s="3"/>
      <c r="C690" s="12"/>
      <c r="D690" s="3"/>
      <c r="E690" s="3"/>
      <c r="F690" s="5"/>
      <c r="G690" s="3"/>
      <c r="H690" s="3"/>
      <c r="I690" s="3"/>
      <c r="J690" s="3"/>
      <c r="K690" s="3"/>
      <c r="L690" s="3"/>
      <c r="M690" s="3"/>
      <c r="N690" s="3"/>
      <c r="O690" s="3"/>
      <c r="P690" s="3"/>
      <c r="Q690" s="3"/>
      <c r="R690" s="5"/>
      <c r="S690" s="3"/>
      <c r="T690" s="3"/>
      <c r="U690" s="3"/>
      <c r="V690" s="3"/>
      <c r="W690" s="3"/>
      <c r="X690" s="3"/>
      <c r="Y690" s="3"/>
      <c r="Z690" s="3"/>
      <c r="AA690" s="3"/>
      <c r="AB690" s="34"/>
      <c r="AC690" s="34"/>
      <c r="AD690" s="34"/>
      <c r="AE690" s="3"/>
      <c r="AF690" s="3"/>
      <c r="AG690" s="3"/>
      <c r="AH690" s="3"/>
      <c r="AI690" s="3"/>
      <c r="AJ690" s="3"/>
      <c r="AK690" s="3"/>
      <c r="AL690" s="3"/>
      <c r="AM690" s="3"/>
      <c r="AN690" s="3"/>
      <c r="AO690" s="3"/>
    </row>
    <row r="691" spans="1:41" ht="15.75" customHeight="1">
      <c r="A691" s="12"/>
      <c r="B691" s="3"/>
      <c r="C691" s="12"/>
      <c r="D691" s="3"/>
      <c r="E691" s="3"/>
      <c r="F691" s="5"/>
      <c r="G691" s="3"/>
      <c r="H691" s="3"/>
      <c r="I691" s="3"/>
      <c r="J691" s="3"/>
      <c r="K691" s="3"/>
      <c r="L691" s="3"/>
      <c r="M691" s="3"/>
      <c r="N691" s="3"/>
      <c r="O691" s="3"/>
      <c r="P691" s="3"/>
      <c r="Q691" s="3"/>
      <c r="R691" s="5"/>
      <c r="S691" s="3"/>
      <c r="T691" s="3"/>
      <c r="U691" s="3"/>
      <c r="V691" s="3"/>
      <c r="W691" s="3"/>
      <c r="X691" s="3"/>
      <c r="Y691" s="3"/>
      <c r="Z691" s="3"/>
      <c r="AA691" s="3"/>
      <c r="AB691" s="34"/>
      <c r="AC691" s="34"/>
      <c r="AD691" s="34"/>
      <c r="AE691" s="3"/>
      <c r="AF691" s="3"/>
      <c r="AG691" s="3"/>
      <c r="AH691" s="3"/>
      <c r="AI691" s="3"/>
      <c r="AJ691" s="3"/>
      <c r="AK691" s="3"/>
      <c r="AL691" s="3"/>
      <c r="AM691" s="3"/>
      <c r="AN691" s="3"/>
      <c r="AO691" s="3"/>
    </row>
    <row r="692" spans="1:41" ht="15.75" customHeight="1">
      <c r="A692" s="12"/>
      <c r="B692" s="3"/>
      <c r="C692" s="12"/>
      <c r="D692" s="3"/>
      <c r="E692" s="3"/>
      <c r="F692" s="5"/>
      <c r="G692" s="3"/>
      <c r="H692" s="3"/>
      <c r="I692" s="3"/>
      <c r="J692" s="3"/>
      <c r="K692" s="3"/>
      <c r="L692" s="3"/>
      <c r="M692" s="3"/>
      <c r="N692" s="3"/>
      <c r="O692" s="3"/>
      <c r="P692" s="3"/>
      <c r="Q692" s="3"/>
      <c r="R692" s="5"/>
      <c r="S692" s="3"/>
      <c r="T692" s="3"/>
      <c r="U692" s="3"/>
      <c r="V692" s="3"/>
      <c r="W692" s="3"/>
      <c r="X692" s="3"/>
      <c r="Y692" s="3"/>
      <c r="Z692" s="3"/>
      <c r="AA692" s="3"/>
      <c r="AB692" s="34"/>
      <c r="AC692" s="34"/>
      <c r="AD692" s="34"/>
      <c r="AE692" s="3"/>
      <c r="AF692" s="3"/>
      <c r="AG692" s="3"/>
      <c r="AH692" s="3"/>
      <c r="AI692" s="3"/>
      <c r="AJ692" s="3"/>
      <c r="AK692" s="3"/>
      <c r="AL692" s="3"/>
      <c r="AM692" s="3"/>
      <c r="AN692" s="3"/>
      <c r="AO692" s="3"/>
    </row>
    <row r="693" spans="1:41" ht="15.75" customHeight="1">
      <c r="A693" s="12"/>
      <c r="B693" s="3"/>
      <c r="C693" s="12"/>
      <c r="D693" s="3"/>
      <c r="E693" s="3"/>
      <c r="F693" s="5"/>
      <c r="G693" s="3"/>
      <c r="H693" s="3"/>
      <c r="I693" s="3"/>
      <c r="J693" s="3"/>
      <c r="K693" s="3"/>
      <c r="L693" s="3"/>
      <c r="M693" s="3"/>
      <c r="N693" s="3"/>
      <c r="O693" s="3"/>
      <c r="P693" s="3"/>
      <c r="Q693" s="3"/>
      <c r="R693" s="5"/>
      <c r="S693" s="3"/>
      <c r="T693" s="3"/>
      <c r="U693" s="3"/>
      <c r="V693" s="3"/>
      <c r="W693" s="3"/>
      <c r="X693" s="3"/>
      <c r="Y693" s="3"/>
      <c r="Z693" s="3"/>
      <c r="AA693" s="3"/>
      <c r="AB693" s="34"/>
      <c r="AC693" s="34"/>
      <c r="AD693" s="34"/>
      <c r="AE693" s="3"/>
      <c r="AF693" s="3"/>
      <c r="AG693" s="3"/>
      <c r="AH693" s="3"/>
      <c r="AI693" s="3"/>
      <c r="AJ693" s="3"/>
      <c r="AK693" s="3"/>
      <c r="AL693" s="3"/>
      <c r="AM693" s="3"/>
      <c r="AN693" s="3"/>
      <c r="AO693" s="3"/>
    </row>
    <row r="694" spans="1:41" ht="15.75" customHeight="1">
      <c r="A694" s="12"/>
      <c r="B694" s="3"/>
      <c r="C694" s="12"/>
      <c r="D694" s="3"/>
      <c r="E694" s="3"/>
      <c r="F694" s="5"/>
      <c r="G694" s="3"/>
      <c r="H694" s="3"/>
      <c r="I694" s="3"/>
      <c r="J694" s="3"/>
      <c r="K694" s="3"/>
      <c r="L694" s="3"/>
      <c r="M694" s="3"/>
      <c r="N694" s="3"/>
      <c r="O694" s="3"/>
      <c r="P694" s="3"/>
      <c r="Q694" s="3"/>
      <c r="R694" s="5"/>
      <c r="S694" s="3"/>
      <c r="T694" s="3"/>
      <c r="U694" s="3"/>
      <c r="V694" s="3"/>
      <c r="W694" s="3"/>
      <c r="X694" s="3"/>
      <c r="Y694" s="3"/>
      <c r="Z694" s="3"/>
      <c r="AA694" s="3"/>
      <c r="AB694" s="34"/>
      <c r="AC694" s="34"/>
      <c r="AD694" s="34"/>
      <c r="AE694" s="3"/>
      <c r="AF694" s="3"/>
      <c r="AG694" s="3"/>
      <c r="AH694" s="3"/>
      <c r="AI694" s="3"/>
      <c r="AJ694" s="3"/>
      <c r="AK694" s="3"/>
      <c r="AL694" s="3"/>
      <c r="AM694" s="3"/>
      <c r="AN694" s="3"/>
      <c r="AO694" s="3"/>
    </row>
    <row r="695" spans="1:41" ht="15.75" customHeight="1">
      <c r="A695" s="12"/>
      <c r="B695" s="3"/>
      <c r="C695" s="12"/>
      <c r="D695" s="3"/>
      <c r="E695" s="3"/>
      <c r="F695" s="5"/>
      <c r="G695" s="3"/>
      <c r="H695" s="3"/>
      <c r="I695" s="3"/>
      <c r="J695" s="3"/>
      <c r="K695" s="3"/>
      <c r="L695" s="3"/>
      <c r="M695" s="3"/>
      <c r="N695" s="3"/>
      <c r="O695" s="3"/>
      <c r="P695" s="3"/>
      <c r="Q695" s="3"/>
      <c r="R695" s="5"/>
      <c r="S695" s="3"/>
      <c r="T695" s="3"/>
      <c r="U695" s="3"/>
      <c r="V695" s="3"/>
      <c r="W695" s="3"/>
      <c r="X695" s="3"/>
      <c r="Y695" s="3"/>
      <c r="Z695" s="3"/>
      <c r="AA695" s="3"/>
      <c r="AB695" s="34"/>
      <c r="AC695" s="34"/>
      <c r="AD695" s="34"/>
      <c r="AE695" s="3"/>
      <c r="AF695" s="3"/>
      <c r="AG695" s="3"/>
      <c r="AH695" s="3"/>
      <c r="AI695" s="3"/>
      <c r="AJ695" s="3"/>
      <c r="AK695" s="3"/>
      <c r="AL695" s="3"/>
      <c r="AM695" s="3"/>
      <c r="AN695" s="3"/>
      <c r="AO695" s="3"/>
    </row>
    <row r="696" spans="1:41" ht="15.75" customHeight="1">
      <c r="A696" s="12"/>
      <c r="B696" s="3"/>
      <c r="C696" s="12"/>
      <c r="D696" s="3"/>
      <c r="E696" s="3"/>
      <c r="F696" s="5"/>
      <c r="G696" s="3"/>
      <c r="H696" s="3"/>
      <c r="I696" s="3"/>
      <c r="J696" s="3"/>
      <c r="K696" s="3"/>
      <c r="L696" s="3"/>
      <c r="M696" s="3"/>
      <c r="N696" s="3"/>
      <c r="O696" s="3"/>
      <c r="P696" s="3"/>
      <c r="Q696" s="3"/>
      <c r="R696" s="5"/>
      <c r="S696" s="3"/>
      <c r="T696" s="3"/>
      <c r="U696" s="3"/>
      <c r="V696" s="3"/>
      <c r="W696" s="3"/>
      <c r="X696" s="3"/>
      <c r="Y696" s="3"/>
      <c r="Z696" s="3"/>
      <c r="AA696" s="3"/>
      <c r="AB696" s="34"/>
      <c r="AC696" s="34"/>
      <c r="AD696" s="34"/>
      <c r="AE696" s="3"/>
      <c r="AF696" s="3"/>
      <c r="AG696" s="3"/>
      <c r="AH696" s="3"/>
      <c r="AI696" s="3"/>
      <c r="AJ696" s="3"/>
      <c r="AK696" s="3"/>
      <c r="AL696" s="3"/>
      <c r="AM696" s="3"/>
      <c r="AN696" s="3"/>
      <c r="AO696" s="3"/>
    </row>
    <row r="697" spans="1:41" ht="15.75" customHeight="1">
      <c r="A697" s="12"/>
      <c r="B697" s="3"/>
      <c r="C697" s="12"/>
      <c r="D697" s="3"/>
      <c r="E697" s="3"/>
      <c r="F697" s="5"/>
      <c r="G697" s="3"/>
      <c r="H697" s="3"/>
      <c r="I697" s="3"/>
      <c r="J697" s="3"/>
      <c r="K697" s="3"/>
      <c r="L697" s="3"/>
      <c r="M697" s="3"/>
      <c r="N697" s="3"/>
      <c r="O697" s="3"/>
      <c r="P697" s="3"/>
      <c r="Q697" s="3"/>
      <c r="R697" s="5"/>
      <c r="S697" s="3"/>
      <c r="T697" s="3"/>
      <c r="U697" s="3"/>
      <c r="V697" s="3"/>
      <c r="W697" s="3"/>
      <c r="X697" s="3"/>
      <c r="Y697" s="3"/>
      <c r="Z697" s="3"/>
      <c r="AA697" s="3"/>
      <c r="AB697" s="34"/>
      <c r="AC697" s="34"/>
      <c r="AD697" s="34"/>
      <c r="AE697" s="3"/>
      <c r="AF697" s="3"/>
      <c r="AG697" s="3"/>
      <c r="AH697" s="3"/>
      <c r="AI697" s="3"/>
      <c r="AJ697" s="3"/>
      <c r="AK697" s="3"/>
      <c r="AL697" s="3"/>
      <c r="AM697" s="3"/>
      <c r="AN697" s="3"/>
      <c r="AO697" s="3"/>
    </row>
    <row r="698" spans="1:41" ht="15.75" customHeight="1">
      <c r="A698" s="12"/>
      <c r="B698" s="3"/>
      <c r="C698" s="12"/>
      <c r="D698" s="3"/>
      <c r="E698" s="3"/>
      <c r="F698" s="5"/>
      <c r="G698" s="3"/>
      <c r="H698" s="3"/>
      <c r="I698" s="3"/>
      <c r="J698" s="3"/>
      <c r="K698" s="3"/>
      <c r="L698" s="3"/>
      <c r="M698" s="3"/>
      <c r="N698" s="3"/>
      <c r="O698" s="3"/>
      <c r="P698" s="3"/>
      <c r="Q698" s="3"/>
      <c r="R698" s="5"/>
      <c r="S698" s="3"/>
      <c r="T698" s="3"/>
      <c r="U698" s="3"/>
      <c r="V698" s="3"/>
      <c r="W698" s="3"/>
      <c r="X698" s="3"/>
      <c r="Y698" s="3"/>
      <c r="Z698" s="3"/>
      <c r="AA698" s="3"/>
      <c r="AB698" s="34"/>
      <c r="AC698" s="34"/>
      <c r="AD698" s="34"/>
      <c r="AE698" s="3"/>
      <c r="AF698" s="3"/>
      <c r="AG698" s="3"/>
      <c r="AH698" s="3"/>
      <c r="AI698" s="3"/>
      <c r="AJ698" s="3"/>
      <c r="AK698" s="3"/>
      <c r="AL698" s="3"/>
      <c r="AM698" s="3"/>
      <c r="AN698" s="3"/>
      <c r="AO698" s="3"/>
    </row>
    <row r="699" spans="1:41" ht="15.75" customHeight="1">
      <c r="A699" s="12"/>
      <c r="B699" s="3"/>
      <c r="C699" s="12"/>
      <c r="D699" s="3"/>
      <c r="E699" s="3"/>
      <c r="F699" s="5"/>
      <c r="G699" s="3"/>
      <c r="H699" s="3"/>
      <c r="I699" s="3"/>
      <c r="J699" s="3"/>
      <c r="K699" s="3"/>
      <c r="L699" s="3"/>
      <c r="M699" s="3"/>
      <c r="N699" s="3"/>
      <c r="O699" s="3"/>
      <c r="P699" s="3"/>
      <c r="Q699" s="3"/>
      <c r="R699" s="5"/>
      <c r="S699" s="3"/>
      <c r="T699" s="3"/>
      <c r="U699" s="3"/>
      <c r="V699" s="3"/>
      <c r="W699" s="3"/>
      <c r="X699" s="3"/>
      <c r="Y699" s="3"/>
      <c r="Z699" s="3"/>
      <c r="AA699" s="3"/>
      <c r="AB699" s="34"/>
      <c r="AC699" s="34"/>
      <c r="AD699" s="34"/>
      <c r="AE699" s="3"/>
      <c r="AF699" s="3"/>
      <c r="AG699" s="3"/>
      <c r="AH699" s="3"/>
      <c r="AI699" s="3"/>
      <c r="AJ699" s="3"/>
      <c r="AK699" s="3"/>
      <c r="AL699" s="3"/>
      <c r="AM699" s="3"/>
      <c r="AN699" s="3"/>
      <c r="AO699" s="3"/>
    </row>
    <row r="700" spans="1:41" ht="15.75" customHeight="1">
      <c r="A700" s="12"/>
      <c r="B700" s="3"/>
      <c r="C700" s="12"/>
      <c r="D700" s="3"/>
      <c r="E700" s="3"/>
      <c r="F700" s="5"/>
      <c r="G700" s="3"/>
      <c r="H700" s="3"/>
      <c r="I700" s="3"/>
      <c r="J700" s="3"/>
      <c r="K700" s="3"/>
      <c r="L700" s="3"/>
      <c r="M700" s="3"/>
      <c r="N700" s="3"/>
      <c r="O700" s="3"/>
      <c r="P700" s="3"/>
      <c r="Q700" s="3"/>
      <c r="R700" s="5"/>
      <c r="S700" s="3"/>
      <c r="T700" s="3"/>
      <c r="U700" s="3"/>
      <c r="V700" s="3"/>
      <c r="W700" s="3"/>
      <c r="X700" s="3"/>
      <c r="Y700" s="3"/>
      <c r="Z700" s="3"/>
      <c r="AA700" s="3"/>
      <c r="AB700" s="34"/>
      <c r="AC700" s="34"/>
      <c r="AD700" s="34"/>
      <c r="AE700" s="3"/>
      <c r="AF700" s="3"/>
      <c r="AG700" s="3"/>
      <c r="AH700" s="3"/>
      <c r="AI700" s="3"/>
      <c r="AJ700" s="3"/>
      <c r="AK700" s="3"/>
      <c r="AL700" s="3"/>
      <c r="AM700" s="3"/>
      <c r="AN700" s="3"/>
      <c r="AO700" s="3"/>
    </row>
    <row r="701" spans="1:41" ht="15.75" customHeight="1">
      <c r="A701" s="12"/>
      <c r="B701" s="3"/>
      <c r="C701" s="12"/>
      <c r="D701" s="3"/>
      <c r="E701" s="3"/>
      <c r="F701" s="5"/>
      <c r="G701" s="3"/>
      <c r="H701" s="3"/>
      <c r="I701" s="3"/>
      <c r="J701" s="3"/>
      <c r="K701" s="3"/>
      <c r="L701" s="3"/>
      <c r="M701" s="3"/>
      <c r="N701" s="3"/>
      <c r="O701" s="3"/>
      <c r="P701" s="3"/>
      <c r="Q701" s="3"/>
      <c r="R701" s="5"/>
      <c r="S701" s="3"/>
      <c r="T701" s="3"/>
      <c r="U701" s="3"/>
      <c r="V701" s="3"/>
      <c r="W701" s="3"/>
      <c r="X701" s="3"/>
      <c r="Y701" s="3"/>
      <c r="Z701" s="3"/>
      <c r="AA701" s="3"/>
      <c r="AB701" s="34"/>
      <c r="AC701" s="34"/>
      <c r="AD701" s="34"/>
      <c r="AE701" s="3"/>
      <c r="AF701" s="3"/>
      <c r="AG701" s="3"/>
      <c r="AH701" s="3"/>
      <c r="AI701" s="3"/>
      <c r="AJ701" s="3"/>
      <c r="AK701" s="3"/>
      <c r="AL701" s="3"/>
      <c r="AM701" s="3"/>
      <c r="AN701" s="3"/>
      <c r="AO701" s="3"/>
    </row>
    <row r="702" spans="1:41" ht="15.75" customHeight="1">
      <c r="A702" s="12"/>
      <c r="B702" s="3"/>
      <c r="C702" s="12"/>
      <c r="D702" s="3"/>
      <c r="E702" s="3"/>
      <c r="F702" s="5"/>
      <c r="G702" s="3"/>
      <c r="H702" s="3"/>
      <c r="I702" s="3"/>
      <c r="J702" s="3"/>
      <c r="K702" s="3"/>
      <c r="L702" s="3"/>
      <c r="M702" s="3"/>
      <c r="N702" s="3"/>
      <c r="O702" s="3"/>
      <c r="P702" s="3"/>
      <c r="Q702" s="3"/>
      <c r="R702" s="5"/>
      <c r="S702" s="3"/>
      <c r="T702" s="3"/>
      <c r="U702" s="3"/>
      <c r="V702" s="3"/>
      <c r="W702" s="3"/>
      <c r="X702" s="3"/>
      <c r="Y702" s="3"/>
      <c r="Z702" s="3"/>
      <c r="AA702" s="3"/>
      <c r="AB702" s="34"/>
      <c r="AC702" s="34"/>
      <c r="AD702" s="34"/>
      <c r="AE702" s="3"/>
      <c r="AF702" s="3"/>
      <c r="AG702" s="3"/>
      <c r="AH702" s="3"/>
      <c r="AI702" s="3"/>
      <c r="AJ702" s="3"/>
      <c r="AK702" s="3"/>
      <c r="AL702" s="3"/>
      <c r="AM702" s="3"/>
      <c r="AN702" s="3"/>
      <c r="AO702" s="3"/>
    </row>
    <row r="703" spans="1:41" ht="15.75" customHeight="1">
      <c r="A703" s="12"/>
      <c r="B703" s="3"/>
      <c r="C703" s="12"/>
      <c r="D703" s="3"/>
      <c r="E703" s="3"/>
      <c r="F703" s="5"/>
      <c r="G703" s="3"/>
      <c r="H703" s="3"/>
      <c r="I703" s="3"/>
      <c r="J703" s="3"/>
      <c r="K703" s="3"/>
      <c r="L703" s="3"/>
      <c r="M703" s="3"/>
      <c r="N703" s="3"/>
      <c r="O703" s="3"/>
      <c r="P703" s="3"/>
      <c r="Q703" s="3"/>
      <c r="R703" s="5"/>
      <c r="S703" s="3"/>
      <c r="T703" s="3"/>
      <c r="U703" s="3"/>
      <c r="V703" s="3"/>
      <c r="W703" s="3"/>
      <c r="X703" s="3"/>
      <c r="Y703" s="3"/>
      <c r="Z703" s="3"/>
      <c r="AA703" s="3"/>
      <c r="AB703" s="34"/>
      <c r="AC703" s="34"/>
      <c r="AD703" s="34"/>
      <c r="AE703" s="3"/>
      <c r="AF703" s="3"/>
      <c r="AG703" s="3"/>
      <c r="AH703" s="3"/>
      <c r="AI703" s="3"/>
      <c r="AJ703" s="3"/>
      <c r="AK703" s="3"/>
      <c r="AL703" s="3"/>
      <c r="AM703" s="3"/>
      <c r="AN703" s="3"/>
      <c r="AO703" s="3"/>
    </row>
    <row r="704" spans="1:41" ht="15.75" customHeight="1">
      <c r="A704" s="12"/>
      <c r="B704" s="3"/>
      <c r="C704" s="12"/>
      <c r="D704" s="3"/>
      <c r="E704" s="3"/>
      <c r="F704" s="5"/>
      <c r="G704" s="3"/>
      <c r="H704" s="3"/>
      <c r="I704" s="3"/>
      <c r="J704" s="3"/>
      <c r="K704" s="3"/>
      <c r="L704" s="3"/>
      <c r="M704" s="3"/>
      <c r="N704" s="3"/>
      <c r="O704" s="3"/>
      <c r="P704" s="3"/>
      <c r="Q704" s="3"/>
      <c r="R704" s="5"/>
      <c r="S704" s="3"/>
      <c r="T704" s="3"/>
      <c r="U704" s="3"/>
      <c r="V704" s="3"/>
      <c r="W704" s="3"/>
      <c r="X704" s="3"/>
      <c r="Y704" s="3"/>
      <c r="Z704" s="3"/>
      <c r="AA704" s="3"/>
      <c r="AB704" s="34"/>
      <c r="AC704" s="34"/>
      <c r="AD704" s="34"/>
      <c r="AE704" s="3"/>
      <c r="AF704" s="3"/>
      <c r="AG704" s="3"/>
      <c r="AH704" s="3"/>
      <c r="AI704" s="3"/>
      <c r="AJ704" s="3"/>
      <c r="AK704" s="3"/>
      <c r="AL704" s="3"/>
      <c r="AM704" s="3"/>
      <c r="AN704" s="3"/>
      <c r="AO704" s="3"/>
    </row>
    <row r="705" spans="1:41" ht="15.75" customHeight="1">
      <c r="A705" s="12"/>
      <c r="B705" s="3"/>
      <c r="C705" s="12"/>
      <c r="D705" s="3"/>
      <c r="E705" s="3"/>
      <c r="F705" s="5"/>
      <c r="G705" s="3"/>
      <c r="H705" s="3"/>
      <c r="I705" s="3"/>
      <c r="J705" s="3"/>
      <c r="K705" s="3"/>
      <c r="L705" s="3"/>
      <c r="M705" s="3"/>
      <c r="N705" s="3"/>
      <c r="O705" s="3"/>
      <c r="P705" s="3"/>
      <c r="Q705" s="3"/>
      <c r="R705" s="5"/>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spans="1:41" ht="15.75" customHeight="1">
      <c r="A706" s="12"/>
      <c r="B706" s="3"/>
      <c r="C706" s="12"/>
      <c r="D706" s="3"/>
      <c r="E706" s="3"/>
      <c r="F706" s="5"/>
      <c r="G706" s="3"/>
      <c r="H706" s="3"/>
      <c r="I706" s="3"/>
      <c r="J706" s="3"/>
      <c r="K706" s="3"/>
      <c r="L706" s="3"/>
      <c r="M706" s="3"/>
      <c r="N706" s="3"/>
      <c r="O706" s="3"/>
      <c r="P706" s="3"/>
      <c r="Q706" s="3"/>
      <c r="R706" s="5"/>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spans="1:41" ht="15.75" customHeight="1">
      <c r="A707" s="12"/>
      <c r="B707" s="3"/>
      <c r="C707" s="12"/>
      <c r="D707" s="3"/>
      <c r="E707" s="3"/>
      <c r="F707" s="5"/>
      <c r="G707" s="3"/>
      <c r="H707" s="3"/>
      <c r="I707" s="3"/>
      <c r="J707" s="3"/>
      <c r="K707" s="3"/>
      <c r="L707" s="3"/>
      <c r="M707" s="3"/>
      <c r="N707" s="3"/>
      <c r="O707" s="3"/>
      <c r="P707" s="3"/>
      <c r="Q707" s="3"/>
      <c r="R707" s="5"/>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spans="1:41" ht="15.75" customHeight="1">
      <c r="A708" s="12"/>
      <c r="B708" s="3"/>
      <c r="C708" s="12"/>
      <c r="D708" s="3"/>
      <c r="E708" s="3"/>
      <c r="F708" s="5"/>
      <c r="G708" s="3"/>
      <c r="H708" s="3"/>
      <c r="I708" s="3"/>
      <c r="J708" s="3"/>
      <c r="K708" s="3"/>
      <c r="L708" s="3"/>
      <c r="M708" s="3"/>
      <c r="N708" s="3"/>
      <c r="O708" s="3"/>
      <c r="P708" s="3"/>
      <c r="Q708" s="3"/>
      <c r="R708" s="5"/>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spans="1:41" ht="15.75" customHeight="1">
      <c r="A709" s="12"/>
      <c r="B709" s="3"/>
      <c r="C709" s="12"/>
      <c r="D709" s="3"/>
      <c r="E709" s="3"/>
      <c r="F709" s="5"/>
      <c r="G709" s="3"/>
      <c r="H709" s="3"/>
      <c r="I709" s="3"/>
      <c r="J709" s="3"/>
      <c r="K709" s="3"/>
      <c r="L709" s="3"/>
      <c r="M709" s="3"/>
      <c r="N709" s="3"/>
      <c r="O709" s="3"/>
      <c r="P709" s="3"/>
      <c r="Q709" s="3"/>
      <c r="R709" s="5"/>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spans="1:41" ht="15.75" customHeight="1">
      <c r="A710" s="12"/>
      <c r="B710" s="3"/>
      <c r="C710" s="12"/>
      <c r="D710" s="3"/>
      <c r="E710" s="3"/>
      <c r="F710" s="5"/>
      <c r="G710" s="3"/>
      <c r="H710" s="3"/>
      <c r="I710" s="3"/>
      <c r="J710" s="3"/>
      <c r="K710" s="3"/>
      <c r="L710" s="3"/>
      <c r="M710" s="3"/>
      <c r="N710" s="3"/>
      <c r="O710" s="3"/>
      <c r="P710" s="3"/>
      <c r="Q710" s="3"/>
      <c r="R710" s="5"/>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spans="1:41" ht="15.75" customHeight="1">
      <c r="A711" s="12"/>
      <c r="B711" s="3"/>
      <c r="C711" s="12"/>
      <c r="D711" s="3"/>
      <c r="E711" s="3"/>
      <c r="F711" s="5"/>
      <c r="G711" s="3"/>
      <c r="H711" s="3"/>
      <c r="I711" s="3"/>
      <c r="J711" s="3"/>
      <c r="K711" s="3"/>
      <c r="L711" s="3"/>
      <c r="M711" s="3"/>
      <c r="N711" s="3"/>
      <c r="O711" s="3"/>
      <c r="P711" s="3"/>
      <c r="Q711" s="3"/>
      <c r="R711" s="5"/>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spans="1:41" ht="15.75" customHeight="1">
      <c r="A712" s="12"/>
      <c r="B712" s="3"/>
      <c r="C712" s="12"/>
      <c r="D712" s="3"/>
      <c r="E712" s="3"/>
      <c r="F712" s="5"/>
      <c r="G712" s="3"/>
      <c r="H712" s="3"/>
      <c r="I712" s="3"/>
      <c r="J712" s="3"/>
      <c r="K712" s="3"/>
      <c r="L712" s="3"/>
      <c r="M712" s="3"/>
      <c r="N712" s="3"/>
      <c r="O712" s="3"/>
      <c r="P712" s="3"/>
      <c r="Q712" s="3"/>
      <c r="R712" s="5"/>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spans="1:41" ht="15.75" customHeight="1">
      <c r="A713" s="12"/>
      <c r="B713" s="3"/>
      <c r="C713" s="12"/>
      <c r="D713" s="3"/>
      <c r="E713" s="3"/>
      <c r="F713" s="5"/>
      <c r="G713" s="3"/>
      <c r="H713" s="3"/>
      <c r="I713" s="3"/>
      <c r="J713" s="3"/>
      <c r="K713" s="3"/>
      <c r="L713" s="3"/>
      <c r="M713" s="3"/>
      <c r="N713" s="3"/>
      <c r="O713" s="3"/>
      <c r="P713" s="3"/>
      <c r="Q713" s="3"/>
      <c r="R713" s="5"/>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spans="1:41" ht="15.75" customHeight="1">
      <c r="A714" s="12"/>
      <c r="B714" s="3"/>
      <c r="C714" s="12"/>
      <c r="D714" s="3"/>
      <c r="E714" s="3"/>
      <c r="F714" s="5"/>
      <c r="G714" s="3"/>
      <c r="H714" s="3"/>
      <c r="I714" s="3"/>
      <c r="J714" s="3"/>
      <c r="K714" s="3"/>
      <c r="L714" s="3"/>
      <c r="M714" s="3"/>
      <c r="N714" s="3"/>
      <c r="O714" s="3"/>
      <c r="P714" s="3"/>
      <c r="Q714" s="3"/>
      <c r="R714" s="5"/>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spans="1:41" ht="15.75" customHeight="1">
      <c r="A715" s="12"/>
      <c r="B715" s="3"/>
      <c r="C715" s="12"/>
      <c r="D715" s="3"/>
      <c r="E715" s="3"/>
      <c r="F715" s="5"/>
      <c r="G715" s="3"/>
      <c r="H715" s="3"/>
      <c r="I715" s="3"/>
      <c r="J715" s="3"/>
      <c r="K715" s="3"/>
      <c r="L715" s="3"/>
      <c r="M715" s="3"/>
      <c r="N715" s="3"/>
      <c r="O715" s="3"/>
      <c r="P715" s="3"/>
      <c r="Q715" s="3"/>
      <c r="R715" s="5"/>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spans="1:41" ht="15.75" customHeight="1">
      <c r="A716" s="12"/>
      <c r="B716" s="3"/>
      <c r="C716" s="12"/>
      <c r="D716" s="3"/>
      <c r="E716" s="3"/>
      <c r="F716" s="5"/>
      <c r="G716" s="3"/>
      <c r="H716" s="3"/>
      <c r="I716" s="3"/>
      <c r="J716" s="3"/>
      <c r="K716" s="3"/>
      <c r="L716" s="3"/>
      <c r="M716" s="3"/>
      <c r="N716" s="3"/>
      <c r="O716" s="3"/>
      <c r="P716" s="3"/>
      <c r="Q716" s="3"/>
      <c r="R716" s="5"/>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spans="1:41" ht="15.75" customHeight="1">
      <c r="A717" s="12"/>
      <c r="B717" s="3"/>
      <c r="C717" s="12"/>
      <c r="D717" s="3"/>
      <c r="E717" s="3"/>
      <c r="F717" s="5"/>
      <c r="G717" s="3"/>
      <c r="H717" s="3"/>
      <c r="I717" s="3"/>
      <c r="J717" s="3"/>
      <c r="K717" s="3"/>
      <c r="L717" s="3"/>
      <c r="M717" s="3"/>
      <c r="N717" s="3"/>
      <c r="O717" s="3"/>
      <c r="P717" s="3"/>
      <c r="Q717" s="3"/>
      <c r="R717" s="5"/>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spans="1:41" ht="15.75" customHeight="1">
      <c r="A718" s="12"/>
      <c r="B718" s="3"/>
      <c r="C718" s="12"/>
      <c r="D718" s="3"/>
      <c r="E718" s="3"/>
      <c r="F718" s="5"/>
      <c r="G718" s="3"/>
      <c r="H718" s="3"/>
      <c r="I718" s="3"/>
      <c r="J718" s="3"/>
      <c r="K718" s="3"/>
      <c r="L718" s="3"/>
      <c r="M718" s="3"/>
      <c r="N718" s="3"/>
      <c r="O718" s="3"/>
      <c r="P718" s="3"/>
      <c r="Q718" s="3"/>
      <c r="R718" s="5"/>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spans="1:41" ht="15.75" customHeight="1">
      <c r="A719" s="12"/>
      <c r="B719" s="3"/>
      <c r="C719" s="12"/>
      <c r="D719" s="3"/>
      <c r="E719" s="3"/>
      <c r="F719" s="5"/>
      <c r="G719" s="3"/>
      <c r="H719" s="3"/>
      <c r="I719" s="3"/>
      <c r="J719" s="3"/>
      <c r="K719" s="3"/>
      <c r="L719" s="3"/>
      <c r="M719" s="3"/>
      <c r="N719" s="3"/>
      <c r="O719" s="3"/>
      <c r="P719" s="3"/>
      <c r="Q719" s="3"/>
      <c r="R719" s="5"/>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spans="1:41" ht="15.75" customHeight="1">
      <c r="A720" s="12"/>
      <c r="B720" s="3"/>
      <c r="C720" s="12"/>
      <c r="D720" s="3"/>
      <c r="E720" s="3"/>
      <c r="F720" s="5"/>
      <c r="G720" s="3"/>
      <c r="H720" s="3"/>
      <c r="I720" s="3"/>
      <c r="J720" s="3"/>
      <c r="K720" s="3"/>
      <c r="L720" s="3"/>
      <c r="M720" s="3"/>
      <c r="N720" s="3"/>
      <c r="O720" s="3"/>
      <c r="P720" s="3"/>
      <c r="Q720" s="3"/>
      <c r="R720" s="5"/>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spans="1:41" ht="15.75" customHeight="1">
      <c r="A721" s="12"/>
      <c r="B721" s="3"/>
      <c r="C721" s="12"/>
      <c r="D721" s="3"/>
      <c r="E721" s="3"/>
      <c r="F721" s="5"/>
      <c r="G721" s="3"/>
      <c r="H721" s="3"/>
      <c r="I721" s="3"/>
      <c r="J721" s="3"/>
      <c r="K721" s="3"/>
      <c r="L721" s="3"/>
      <c r="M721" s="3"/>
      <c r="N721" s="3"/>
      <c r="O721" s="3"/>
      <c r="P721" s="3"/>
      <c r="Q721" s="3"/>
      <c r="R721" s="5"/>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spans="1:41" ht="15.75" customHeight="1">
      <c r="A722" s="12"/>
      <c r="B722" s="3"/>
      <c r="C722" s="12"/>
      <c r="D722" s="3"/>
      <c r="E722" s="3"/>
      <c r="F722" s="5"/>
      <c r="G722" s="3"/>
      <c r="H722" s="3"/>
      <c r="I722" s="3"/>
      <c r="J722" s="3"/>
      <c r="K722" s="3"/>
      <c r="L722" s="3"/>
      <c r="M722" s="3"/>
      <c r="N722" s="3"/>
      <c r="O722" s="3"/>
      <c r="P722" s="3"/>
      <c r="Q722" s="3"/>
      <c r="R722" s="5"/>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spans="1:41" ht="15.75" customHeight="1">
      <c r="A723" s="12"/>
      <c r="B723" s="3"/>
      <c r="C723" s="12"/>
      <c r="D723" s="3"/>
      <c r="E723" s="3"/>
      <c r="F723" s="5"/>
      <c r="G723" s="3"/>
      <c r="H723" s="3"/>
      <c r="I723" s="3"/>
      <c r="J723" s="3"/>
      <c r="K723" s="3"/>
      <c r="L723" s="3"/>
      <c r="M723" s="3"/>
      <c r="N723" s="3"/>
      <c r="O723" s="3"/>
      <c r="P723" s="3"/>
      <c r="Q723" s="3"/>
      <c r="R723" s="5"/>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spans="1:41" ht="15.75" customHeight="1">
      <c r="A724" s="12"/>
      <c r="B724" s="3"/>
      <c r="C724" s="12"/>
      <c r="D724" s="3"/>
      <c r="E724" s="3"/>
      <c r="F724" s="5"/>
      <c r="G724" s="3"/>
      <c r="H724" s="3"/>
      <c r="I724" s="3"/>
      <c r="J724" s="3"/>
      <c r="K724" s="3"/>
      <c r="L724" s="3"/>
      <c r="M724" s="3"/>
      <c r="N724" s="3"/>
      <c r="O724" s="3"/>
      <c r="P724" s="3"/>
      <c r="Q724" s="3"/>
      <c r="R724" s="5"/>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spans="1:41" ht="15.75" customHeight="1">
      <c r="A725" s="12"/>
      <c r="B725" s="3"/>
      <c r="C725" s="12"/>
      <c r="D725" s="3"/>
      <c r="E725" s="3"/>
      <c r="F725" s="5"/>
      <c r="G725" s="3"/>
      <c r="H725" s="3"/>
      <c r="I725" s="3"/>
      <c r="J725" s="3"/>
      <c r="K725" s="3"/>
      <c r="L725" s="3"/>
      <c r="M725" s="3"/>
      <c r="N725" s="3"/>
      <c r="O725" s="3"/>
      <c r="P725" s="3"/>
      <c r="Q725" s="3"/>
      <c r="R725" s="5"/>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spans="1:41" ht="15.75" customHeight="1">
      <c r="A726" s="12"/>
      <c r="B726" s="3"/>
      <c r="C726" s="12"/>
      <c r="D726" s="3"/>
      <c r="E726" s="3"/>
      <c r="F726" s="5"/>
      <c r="G726" s="3"/>
      <c r="H726" s="3"/>
      <c r="I726" s="3"/>
      <c r="J726" s="3"/>
      <c r="K726" s="3"/>
      <c r="L726" s="3"/>
      <c r="M726" s="3"/>
      <c r="N726" s="3"/>
      <c r="O726" s="3"/>
      <c r="P726" s="3"/>
      <c r="Q726" s="3"/>
      <c r="R726" s="5"/>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spans="1:41" ht="15.75" customHeight="1">
      <c r="A727" s="12"/>
      <c r="B727" s="3"/>
      <c r="C727" s="12"/>
      <c r="D727" s="3"/>
      <c r="E727" s="3"/>
      <c r="F727" s="5"/>
      <c r="G727" s="3"/>
      <c r="H727" s="3"/>
      <c r="I727" s="3"/>
      <c r="J727" s="3"/>
      <c r="K727" s="3"/>
      <c r="L727" s="3"/>
      <c r="M727" s="3"/>
      <c r="N727" s="3"/>
      <c r="O727" s="3"/>
      <c r="P727" s="3"/>
      <c r="Q727" s="3"/>
      <c r="R727" s="5"/>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spans="1:41" ht="15.75" customHeight="1">
      <c r="A728" s="12"/>
      <c r="B728" s="3"/>
      <c r="C728" s="12"/>
      <c r="D728" s="3"/>
      <c r="E728" s="3"/>
      <c r="F728" s="5"/>
      <c r="G728" s="3"/>
      <c r="H728" s="3"/>
      <c r="I728" s="3"/>
      <c r="J728" s="3"/>
      <c r="K728" s="3"/>
      <c r="L728" s="3"/>
      <c r="M728" s="3"/>
      <c r="N728" s="3"/>
      <c r="O728" s="3"/>
      <c r="P728" s="3"/>
      <c r="Q728" s="3"/>
      <c r="R728" s="5"/>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spans="1:41" ht="15.75" customHeight="1">
      <c r="A729" s="12"/>
      <c r="B729" s="3"/>
      <c r="C729" s="12"/>
      <c r="D729" s="3"/>
      <c r="E729" s="3"/>
      <c r="F729" s="5"/>
      <c r="G729" s="3"/>
      <c r="H729" s="3"/>
      <c r="I729" s="3"/>
      <c r="J729" s="3"/>
      <c r="K729" s="3"/>
      <c r="L729" s="3"/>
      <c r="M729" s="3"/>
      <c r="N729" s="3"/>
      <c r="O729" s="3"/>
      <c r="P729" s="3"/>
      <c r="Q729" s="3"/>
      <c r="R729" s="5"/>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spans="1:41" ht="15.75" customHeight="1">
      <c r="A730" s="12"/>
      <c r="B730" s="3"/>
      <c r="C730" s="12"/>
      <c r="D730" s="3"/>
      <c r="E730" s="3"/>
      <c r="F730" s="5"/>
      <c r="G730" s="3"/>
      <c r="H730" s="3"/>
      <c r="I730" s="3"/>
      <c r="J730" s="3"/>
      <c r="K730" s="3"/>
      <c r="L730" s="3"/>
      <c r="M730" s="3"/>
      <c r="N730" s="3"/>
      <c r="O730" s="3"/>
      <c r="P730" s="3"/>
      <c r="Q730" s="3"/>
      <c r="R730" s="5"/>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spans="1:41" ht="15.75" customHeight="1">
      <c r="A731" s="12"/>
      <c r="B731" s="3"/>
      <c r="C731" s="12"/>
      <c r="D731" s="3"/>
      <c r="E731" s="3"/>
      <c r="F731" s="5"/>
      <c r="G731" s="3"/>
      <c r="H731" s="3"/>
      <c r="I731" s="3"/>
      <c r="J731" s="3"/>
      <c r="K731" s="3"/>
      <c r="L731" s="3"/>
      <c r="M731" s="3"/>
      <c r="N731" s="3"/>
      <c r="O731" s="3"/>
      <c r="P731" s="3"/>
      <c r="Q731" s="3"/>
      <c r="R731" s="5"/>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spans="1:41" ht="15.75" customHeight="1">
      <c r="A732" s="12"/>
      <c r="B732" s="3"/>
      <c r="C732" s="12"/>
      <c r="D732" s="3"/>
      <c r="E732" s="3"/>
      <c r="F732" s="5"/>
      <c r="G732" s="3"/>
      <c r="H732" s="3"/>
      <c r="I732" s="3"/>
      <c r="J732" s="3"/>
      <c r="K732" s="3"/>
      <c r="L732" s="3"/>
      <c r="M732" s="3"/>
      <c r="N732" s="3"/>
      <c r="O732" s="3"/>
      <c r="P732" s="3"/>
      <c r="Q732" s="3"/>
      <c r="R732" s="5"/>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spans="1:41" ht="15.75" customHeight="1">
      <c r="A733" s="12"/>
      <c r="B733" s="3"/>
      <c r="C733" s="12"/>
      <c r="D733" s="3"/>
      <c r="E733" s="3"/>
      <c r="F733" s="5"/>
      <c r="G733" s="3"/>
      <c r="H733" s="3"/>
      <c r="I733" s="3"/>
      <c r="J733" s="3"/>
      <c r="K733" s="3"/>
      <c r="L733" s="3"/>
      <c r="M733" s="3"/>
      <c r="N733" s="3"/>
      <c r="O733" s="3"/>
      <c r="P733" s="3"/>
      <c r="Q733" s="3"/>
      <c r="R733" s="5"/>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spans="1:41" ht="15.75" customHeight="1">
      <c r="A734" s="12"/>
      <c r="B734" s="3"/>
      <c r="C734" s="12"/>
      <c r="D734" s="3"/>
      <c r="E734" s="3"/>
      <c r="F734" s="5"/>
      <c r="G734" s="3"/>
      <c r="H734" s="3"/>
      <c r="I734" s="3"/>
      <c r="J734" s="3"/>
      <c r="K734" s="3"/>
      <c r="L734" s="3"/>
      <c r="M734" s="3"/>
      <c r="N734" s="3"/>
      <c r="O734" s="3"/>
      <c r="P734" s="3"/>
      <c r="Q734" s="3"/>
      <c r="R734" s="5"/>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spans="1:41" ht="15.75" customHeight="1">
      <c r="A735" s="12"/>
      <c r="B735" s="3"/>
      <c r="C735" s="12"/>
      <c r="D735" s="3"/>
      <c r="E735" s="3"/>
      <c r="F735" s="5"/>
      <c r="G735" s="3"/>
      <c r="H735" s="3"/>
      <c r="I735" s="3"/>
      <c r="J735" s="3"/>
      <c r="K735" s="3"/>
      <c r="L735" s="3"/>
      <c r="M735" s="3"/>
      <c r="N735" s="3"/>
      <c r="O735" s="3"/>
      <c r="P735" s="3"/>
      <c r="Q735" s="3"/>
      <c r="R735" s="5"/>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spans="1:41" ht="15.75" customHeight="1">
      <c r="A736" s="12"/>
      <c r="B736" s="3"/>
      <c r="C736" s="12"/>
      <c r="D736" s="3"/>
      <c r="E736" s="3"/>
      <c r="F736" s="5"/>
      <c r="G736" s="3"/>
      <c r="H736" s="3"/>
      <c r="I736" s="3"/>
      <c r="J736" s="3"/>
      <c r="K736" s="3"/>
      <c r="L736" s="3"/>
      <c r="M736" s="3"/>
      <c r="N736" s="3"/>
      <c r="O736" s="3"/>
      <c r="P736" s="3"/>
      <c r="Q736" s="3"/>
      <c r="R736" s="5"/>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spans="1:41" ht="15.75" customHeight="1">
      <c r="A737" s="12"/>
      <c r="B737" s="3"/>
      <c r="C737" s="12"/>
      <c r="D737" s="3"/>
      <c r="E737" s="3"/>
      <c r="F737" s="5"/>
      <c r="G737" s="3"/>
      <c r="H737" s="3"/>
      <c r="I737" s="3"/>
      <c r="J737" s="3"/>
      <c r="K737" s="3"/>
      <c r="L737" s="3"/>
      <c r="M737" s="3"/>
      <c r="N737" s="3"/>
      <c r="O737" s="3"/>
      <c r="P737" s="3"/>
      <c r="Q737" s="3"/>
      <c r="R737" s="5"/>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spans="1:41" ht="15.75" customHeight="1">
      <c r="A738" s="12"/>
      <c r="B738" s="3"/>
      <c r="C738" s="12"/>
      <c r="D738" s="3"/>
      <c r="E738" s="3"/>
      <c r="F738" s="5"/>
      <c r="G738" s="3"/>
      <c r="H738" s="3"/>
      <c r="I738" s="3"/>
      <c r="J738" s="3"/>
      <c r="K738" s="3"/>
      <c r="L738" s="3"/>
      <c r="M738" s="3"/>
      <c r="N738" s="3"/>
      <c r="O738" s="3"/>
      <c r="P738" s="3"/>
      <c r="Q738" s="3"/>
      <c r="R738" s="5"/>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spans="1:41" ht="15.75" customHeight="1">
      <c r="A739" s="12"/>
      <c r="B739" s="3"/>
      <c r="C739" s="12"/>
      <c r="D739" s="3"/>
      <c r="E739" s="3"/>
      <c r="F739" s="5"/>
      <c r="G739" s="3"/>
      <c r="H739" s="3"/>
      <c r="I739" s="3"/>
      <c r="J739" s="3"/>
      <c r="K739" s="3"/>
      <c r="L739" s="3"/>
      <c r="M739" s="3"/>
      <c r="N739" s="3"/>
      <c r="O739" s="3"/>
      <c r="P739" s="3"/>
      <c r="Q739" s="3"/>
      <c r="R739" s="5"/>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spans="1:41" ht="15.75" customHeight="1">
      <c r="A740" s="12"/>
      <c r="B740" s="3"/>
      <c r="C740" s="12"/>
      <c r="D740" s="3"/>
      <c r="E740" s="3"/>
      <c r="F740" s="5"/>
      <c r="G740" s="3"/>
      <c r="H740" s="3"/>
      <c r="I740" s="3"/>
      <c r="J740" s="3"/>
      <c r="K740" s="3"/>
      <c r="L740" s="3"/>
      <c r="M740" s="3"/>
      <c r="N740" s="3"/>
      <c r="O740" s="3"/>
      <c r="P740" s="3"/>
      <c r="Q740" s="3"/>
      <c r="R740" s="5"/>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spans="1:41" ht="15.75" customHeight="1">
      <c r="A741" s="12"/>
      <c r="B741" s="3"/>
      <c r="C741" s="12"/>
      <c r="D741" s="3"/>
      <c r="E741" s="3"/>
      <c r="F741" s="5"/>
      <c r="G741" s="3"/>
      <c r="H741" s="3"/>
      <c r="I741" s="3"/>
      <c r="J741" s="3"/>
      <c r="K741" s="3"/>
      <c r="L741" s="3"/>
      <c r="M741" s="3"/>
      <c r="N741" s="3"/>
      <c r="O741" s="3"/>
      <c r="P741" s="3"/>
      <c r="Q741" s="3"/>
      <c r="R741" s="5"/>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spans="1:41" ht="15.75" customHeight="1">
      <c r="A742" s="12"/>
      <c r="B742" s="3"/>
      <c r="C742" s="12"/>
      <c r="D742" s="3"/>
      <c r="E742" s="3"/>
      <c r="F742" s="5"/>
      <c r="G742" s="3"/>
      <c r="H742" s="3"/>
      <c r="I742" s="3"/>
      <c r="J742" s="3"/>
      <c r="K742" s="3"/>
      <c r="L742" s="3"/>
      <c r="M742" s="3"/>
      <c r="N742" s="3"/>
      <c r="O742" s="3"/>
      <c r="P742" s="3"/>
      <c r="Q742" s="3"/>
      <c r="R742" s="5"/>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spans="1:41" ht="15.75" customHeight="1">
      <c r="A743" s="12"/>
      <c r="B743" s="3"/>
      <c r="C743" s="12"/>
      <c r="D743" s="3"/>
      <c r="E743" s="3"/>
      <c r="F743" s="5"/>
      <c r="G743" s="3"/>
      <c r="H743" s="3"/>
      <c r="I743" s="3"/>
      <c r="J743" s="3"/>
      <c r="K743" s="3"/>
      <c r="L743" s="3"/>
      <c r="M743" s="3"/>
      <c r="N743" s="3"/>
      <c r="O743" s="3"/>
      <c r="P743" s="3"/>
      <c r="Q743" s="3"/>
      <c r="R743" s="5"/>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spans="1:41" ht="15.75" customHeight="1">
      <c r="A744" s="12"/>
      <c r="B744" s="3"/>
      <c r="C744" s="12"/>
      <c r="D744" s="3"/>
      <c r="E744" s="3"/>
      <c r="F744" s="5"/>
      <c r="G744" s="3"/>
      <c r="H744" s="3"/>
      <c r="I744" s="3"/>
      <c r="J744" s="3"/>
      <c r="K744" s="3"/>
      <c r="L744" s="3"/>
      <c r="M744" s="3"/>
      <c r="N744" s="3"/>
      <c r="O744" s="3"/>
      <c r="P744" s="3"/>
      <c r="Q744" s="3"/>
      <c r="R744" s="5"/>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spans="1:41" ht="15.75" customHeight="1">
      <c r="A745" s="12"/>
      <c r="B745" s="3"/>
      <c r="C745" s="12"/>
      <c r="D745" s="3"/>
      <c r="E745" s="3"/>
      <c r="F745" s="5"/>
      <c r="G745" s="3"/>
      <c r="H745" s="3"/>
      <c r="I745" s="3"/>
      <c r="J745" s="3"/>
      <c r="K745" s="3"/>
      <c r="L745" s="3"/>
      <c r="M745" s="3"/>
      <c r="N745" s="3"/>
      <c r="O745" s="3"/>
      <c r="P745" s="3"/>
      <c r="Q745" s="3"/>
      <c r="R745" s="5"/>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spans="1:41" ht="15.75" customHeight="1">
      <c r="A746" s="12"/>
      <c r="B746" s="3"/>
      <c r="C746" s="12"/>
      <c r="D746" s="3"/>
      <c r="E746" s="3"/>
      <c r="F746" s="5"/>
      <c r="G746" s="3"/>
      <c r="H746" s="3"/>
      <c r="I746" s="3"/>
      <c r="J746" s="3"/>
      <c r="K746" s="3"/>
      <c r="L746" s="3"/>
      <c r="M746" s="3"/>
      <c r="N746" s="3"/>
      <c r="O746" s="3"/>
      <c r="P746" s="3"/>
      <c r="Q746" s="3"/>
      <c r="R746" s="5"/>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spans="1:41" ht="15.75" customHeight="1">
      <c r="A747" s="12"/>
      <c r="B747" s="3"/>
      <c r="C747" s="12"/>
      <c r="D747" s="3"/>
      <c r="E747" s="3"/>
      <c r="F747" s="5"/>
      <c r="G747" s="3"/>
      <c r="H747" s="3"/>
      <c r="I747" s="3"/>
      <c r="J747" s="3"/>
      <c r="K747" s="3"/>
      <c r="L747" s="3"/>
      <c r="M747" s="3"/>
      <c r="N747" s="3"/>
      <c r="O747" s="3"/>
      <c r="P747" s="3"/>
      <c r="Q747" s="3"/>
      <c r="R747" s="5"/>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spans="1:41" ht="15.75" customHeight="1">
      <c r="A748" s="12"/>
      <c r="B748" s="3"/>
      <c r="C748" s="12"/>
      <c r="D748" s="3"/>
      <c r="E748" s="3"/>
      <c r="F748" s="5"/>
      <c r="G748" s="3"/>
      <c r="H748" s="3"/>
      <c r="I748" s="3"/>
      <c r="J748" s="3"/>
      <c r="K748" s="3"/>
      <c r="L748" s="3"/>
      <c r="M748" s="3"/>
      <c r="N748" s="3"/>
      <c r="O748" s="3"/>
      <c r="P748" s="3"/>
      <c r="Q748" s="3"/>
      <c r="R748" s="5"/>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spans="1:41" ht="15.75" customHeight="1">
      <c r="A749" s="12"/>
      <c r="B749" s="3"/>
      <c r="C749" s="12"/>
      <c r="D749" s="3"/>
      <c r="E749" s="3"/>
      <c r="F749" s="5"/>
      <c r="G749" s="3"/>
      <c r="H749" s="3"/>
      <c r="I749" s="3"/>
      <c r="J749" s="3"/>
      <c r="K749" s="3"/>
      <c r="L749" s="3"/>
      <c r="M749" s="3"/>
      <c r="N749" s="3"/>
      <c r="O749" s="3"/>
      <c r="P749" s="3"/>
      <c r="Q749" s="3"/>
      <c r="R749" s="5"/>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spans="1:41" ht="15.75" customHeight="1">
      <c r="A750" s="12"/>
      <c r="B750" s="3"/>
      <c r="C750" s="12"/>
      <c r="D750" s="3"/>
      <c r="E750" s="3"/>
      <c r="F750" s="5"/>
      <c r="G750" s="3"/>
      <c r="H750" s="3"/>
      <c r="I750" s="3"/>
      <c r="J750" s="3"/>
      <c r="K750" s="3"/>
      <c r="L750" s="3"/>
      <c r="M750" s="3"/>
      <c r="N750" s="3"/>
      <c r="O750" s="3"/>
      <c r="P750" s="3"/>
      <c r="Q750" s="3"/>
      <c r="R750" s="5"/>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spans="1:41" ht="15.75" customHeight="1">
      <c r="A751" s="12"/>
      <c r="B751" s="3"/>
      <c r="C751" s="12"/>
      <c r="D751" s="3"/>
      <c r="E751" s="3"/>
      <c r="F751" s="5"/>
      <c r="G751" s="3"/>
      <c r="H751" s="3"/>
      <c r="I751" s="3"/>
      <c r="J751" s="3"/>
      <c r="K751" s="3"/>
      <c r="L751" s="3"/>
      <c r="M751" s="3"/>
      <c r="N751" s="3"/>
      <c r="O751" s="3"/>
      <c r="P751" s="3"/>
      <c r="Q751" s="3"/>
      <c r="R751" s="5"/>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spans="1:41" ht="15.75" customHeight="1">
      <c r="A752" s="12"/>
      <c r="B752" s="3"/>
      <c r="C752" s="12"/>
      <c r="D752" s="3"/>
      <c r="E752" s="3"/>
      <c r="F752" s="5"/>
      <c r="G752" s="3"/>
      <c r="H752" s="3"/>
      <c r="I752" s="3"/>
      <c r="J752" s="3"/>
      <c r="K752" s="3"/>
      <c r="L752" s="3"/>
      <c r="M752" s="3"/>
      <c r="N752" s="3"/>
      <c r="O752" s="3"/>
      <c r="P752" s="3"/>
      <c r="Q752" s="3"/>
      <c r="R752" s="5"/>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spans="1:41" ht="15.75" customHeight="1">
      <c r="A753" s="12"/>
      <c r="B753" s="3"/>
      <c r="C753" s="12"/>
      <c r="D753" s="3"/>
      <c r="E753" s="3"/>
      <c r="F753" s="5"/>
      <c r="G753" s="3"/>
      <c r="H753" s="3"/>
      <c r="I753" s="3"/>
      <c r="J753" s="3"/>
      <c r="K753" s="3"/>
      <c r="L753" s="3"/>
      <c r="M753" s="3"/>
      <c r="N753" s="3"/>
      <c r="O753" s="3"/>
      <c r="P753" s="3"/>
      <c r="Q753" s="3"/>
      <c r="R753" s="5"/>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spans="1:41" ht="15.75" customHeight="1">
      <c r="A754" s="12"/>
      <c r="B754" s="3"/>
      <c r="C754" s="12"/>
      <c r="D754" s="3"/>
      <c r="E754" s="3"/>
      <c r="F754" s="5"/>
      <c r="G754" s="3"/>
      <c r="H754" s="3"/>
      <c r="I754" s="3"/>
      <c r="J754" s="3"/>
      <c r="K754" s="3"/>
      <c r="L754" s="3"/>
      <c r="M754" s="3"/>
      <c r="N754" s="3"/>
      <c r="O754" s="3"/>
      <c r="P754" s="3"/>
      <c r="Q754" s="3"/>
      <c r="R754" s="5"/>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spans="1:41" ht="15.75" customHeight="1">
      <c r="A755" s="12"/>
      <c r="B755" s="3"/>
      <c r="C755" s="12"/>
      <c r="D755" s="3"/>
      <c r="E755" s="3"/>
      <c r="F755" s="5"/>
      <c r="G755" s="3"/>
      <c r="H755" s="3"/>
      <c r="I755" s="3"/>
      <c r="J755" s="3"/>
      <c r="K755" s="3"/>
      <c r="L755" s="3"/>
      <c r="M755" s="3"/>
      <c r="N755" s="3"/>
      <c r="O755" s="3"/>
      <c r="P755" s="3"/>
      <c r="Q755" s="3"/>
      <c r="R755" s="5"/>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spans="1:41" ht="15.75" customHeight="1">
      <c r="A756" s="12"/>
      <c r="B756" s="3"/>
      <c r="C756" s="12"/>
      <c r="D756" s="3"/>
      <c r="E756" s="3"/>
      <c r="F756" s="5"/>
      <c r="G756" s="3"/>
      <c r="H756" s="3"/>
      <c r="I756" s="3"/>
      <c r="J756" s="3"/>
      <c r="K756" s="3"/>
      <c r="L756" s="3"/>
      <c r="M756" s="3"/>
      <c r="N756" s="3"/>
      <c r="O756" s="3"/>
      <c r="P756" s="3"/>
      <c r="Q756" s="3"/>
      <c r="R756" s="5"/>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spans="1:41" ht="15.75" customHeight="1">
      <c r="A757" s="12"/>
      <c r="B757" s="3"/>
      <c r="C757" s="12"/>
      <c r="D757" s="3"/>
      <c r="E757" s="3"/>
      <c r="F757" s="5"/>
      <c r="G757" s="3"/>
      <c r="H757" s="3"/>
      <c r="I757" s="3"/>
      <c r="J757" s="3"/>
      <c r="K757" s="3"/>
      <c r="L757" s="3"/>
      <c r="M757" s="3"/>
      <c r="N757" s="3"/>
      <c r="O757" s="3"/>
      <c r="P757" s="3"/>
      <c r="Q757" s="3"/>
      <c r="R757" s="5"/>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spans="1:41" ht="15.75" customHeight="1">
      <c r="A758" s="12"/>
      <c r="B758" s="3"/>
      <c r="C758" s="12"/>
      <c r="D758" s="3"/>
      <c r="E758" s="3"/>
      <c r="F758" s="5"/>
      <c r="G758" s="3"/>
      <c r="H758" s="3"/>
      <c r="I758" s="3"/>
      <c r="J758" s="3"/>
      <c r="K758" s="3"/>
      <c r="L758" s="3"/>
      <c r="M758" s="3"/>
      <c r="N758" s="3"/>
      <c r="O758" s="3"/>
      <c r="P758" s="3"/>
      <c r="Q758" s="3"/>
      <c r="R758" s="5"/>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spans="1:41" ht="15.75" customHeight="1">
      <c r="A759" s="12"/>
      <c r="B759" s="3"/>
      <c r="C759" s="12"/>
      <c r="D759" s="3"/>
      <c r="E759" s="3"/>
      <c r="F759" s="5"/>
      <c r="G759" s="3"/>
      <c r="H759" s="3"/>
      <c r="I759" s="3"/>
      <c r="J759" s="3"/>
      <c r="K759" s="3"/>
      <c r="L759" s="3"/>
      <c r="M759" s="3"/>
      <c r="N759" s="3"/>
      <c r="O759" s="3"/>
      <c r="P759" s="3"/>
      <c r="Q759" s="3"/>
      <c r="R759" s="5"/>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spans="1:41" ht="15.75" customHeight="1">
      <c r="A760" s="12"/>
      <c r="B760" s="3"/>
      <c r="C760" s="12"/>
      <c r="D760" s="3"/>
      <c r="E760" s="3"/>
      <c r="F760" s="5"/>
      <c r="G760" s="3"/>
      <c r="H760" s="3"/>
      <c r="I760" s="3"/>
      <c r="J760" s="3"/>
      <c r="K760" s="3"/>
      <c r="L760" s="3"/>
      <c r="M760" s="3"/>
      <c r="N760" s="3"/>
      <c r="O760" s="3"/>
      <c r="P760" s="3"/>
      <c r="Q760" s="3"/>
      <c r="R760" s="5"/>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spans="1:41" ht="15.75" customHeight="1">
      <c r="A761" s="12"/>
      <c r="B761" s="3"/>
      <c r="C761" s="12"/>
      <c r="D761" s="3"/>
      <c r="E761" s="3"/>
      <c r="F761" s="5"/>
      <c r="G761" s="3"/>
      <c r="H761" s="3"/>
      <c r="I761" s="3"/>
      <c r="J761" s="3"/>
      <c r="K761" s="3"/>
      <c r="L761" s="3"/>
      <c r="M761" s="3"/>
      <c r="N761" s="3"/>
      <c r="O761" s="3"/>
      <c r="P761" s="3"/>
      <c r="Q761" s="3"/>
      <c r="R761" s="5"/>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spans="1:41" ht="15.75" customHeight="1">
      <c r="A762" s="12"/>
      <c r="B762" s="3"/>
      <c r="C762" s="12"/>
      <c r="D762" s="3"/>
      <c r="E762" s="3"/>
      <c r="F762" s="5"/>
      <c r="G762" s="3"/>
      <c r="H762" s="3"/>
      <c r="I762" s="3"/>
      <c r="J762" s="3"/>
      <c r="K762" s="3"/>
      <c r="L762" s="3"/>
      <c r="M762" s="3"/>
      <c r="N762" s="3"/>
      <c r="O762" s="3"/>
      <c r="P762" s="3"/>
      <c r="Q762" s="3"/>
      <c r="R762" s="5"/>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spans="1:41" ht="15.75" customHeight="1">
      <c r="A763" s="12"/>
      <c r="B763" s="3"/>
      <c r="C763" s="12"/>
      <c r="D763" s="3"/>
      <c r="E763" s="3"/>
      <c r="F763" s="5"/>
      <c r="G763" s="3"/>
      <c r="H763" s="3"/>
      <c r="I763" s="3"/>
      <c r="J763" s="3"/>
      <c r="K763" s="3"/>
      <c r="L763" s="3"/>
      <c r="M763" s="3"/>
      <c r="N763" s="3"/>
      <c r="O763" s="3"/>
      <c r="P763" s="3"/>
      <c r="Q763" s="3"/>
      <c r="R763" s="5"/>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spans="1:41" ht="15.75" customHeight="1">
      <c r="A764" s="12"/>
      <c r="B764" s="3"/>
      <c r="C764" s="12"/>
      <c r="D764" s="3"/>
      <c r="E764" s="3"/>
      <c r="F764" s="5"/>
      <c r="G764" s="3"/>
      <c r="H764" s="3"/>
      <c r="I764" s="3"/>
      <c r="J764" s="3"/>
      <c r="K764" s="3"/>
      <c r="L764" s="3"/>
      <c r="M764" s="3"/>
      <c r="N764" s="3"/>
      <c r="O764" s="3"/>
      <c r="P764" s="3"/>
      <c r="Q764" s="3"/>
      <c r="R764" s="5"/>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spans="1:41" ht="15.75" customHeight="1">
      <c r="A765" s="12"/>
      <c r="B765" s="3"/>
      <c r="C765" s="12"/>
      <c r="D765" s="3"/>
      <c r="E765" s="3"/>
      <c r="F765" s="5"/>
      <c r="G765" s="3"/>
      <c r="H765" s="3"/>
      <c r="I765" s="3"/>
      <c r="J765" s="3"/>
      <c r="K765" s="3"/>
      <c r="L765" s="3"/>
      <c r="M765" s="3"/>
      <c r="N765" s="3"/>
      <c r="O765" s="3"/>
      <c r="P765" s="3"/>
      <c r="Q765" s="3"/>
      <c r="R765" s="5"/>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spans="1:41" ht="15.75" customHeight="1">
      <c r="A766" s="12"/>
      <c r="B766" s="3"/>
      <c r="C766" s="12"/>
      <c r="D766" s="3"/>
      <c r="E766" s="3"/>
      <c r="F766" s="5"/>
      <c r="G766" s="3"/>
      <c r="H766" s="3"/>
      <c r="I766" s="3"/>
      <c r="J766" s="3"/>
      <c r="K766" s="3"/>
      <c r="L766" s="3"/>
      <c r="M766" s="3"/>
      <c r="N766" s="3"/>
      <c r="O766" s="3"/>
      <c r="P766" s="3"/>
      <c r="Q766" s="3"/>
      <c r="R766" s="5"/>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spans="1:41" ht="15.75" customHeight="1">
      <c r="A767" s="12"/>
      <c r="B767" s="3"/>
      <c r="C767" s="12"/>
      <c r="D767" s="3"/>
      <c r="E767" s="3"/>
      <c r="F767" s="5"/>
      <c r="G767" s="3"/>
      <c r="H767" s="3"/>
      <c r="I767" s="3"/>
      <c r="J767" s="3"/>
      <c r="K767" s="3"/>
      <c r="L767" s="3"/>
      <c r="M767" s="3"/>
      <c r="N767" s="3"/>
      <c r="O767" s="3"/>
      <c r="P767" s="3"/>
      <c r="Q767" s="3"/>
      <c r="R767" s="5"/>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spans="1:41" ht="15.75" customHeight="1">
      <c r="A768" s="12"/>
      <c r="B768" s="3"/>
      <c r="C768" s="12"/>
      <c r="D768" s="3"/>
      <c r="E768" s="3"/>
      <c r="F768" s="5"/>
      <c r="G768" s="3"/>
      <c r="H768" s="3"/>
      <c r="I768" s="3"/>
      <c r="J768" s="3"/>
      <c r="K768" s="3"/>
      <c r="L768" s="3"/>
      <c r="M768" s="3"/>
      <c r="N768" s="3"/>
      <c r="O768" s="3"/>
      <c r="P768" s="3"/>
      <c r="Q768" s="3"/>
      <c r="R768" s="5"/>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spans="1:41" ht="15.75" customHeight="1">
      <c r="A769" s="12"/>
      <c r="B769" s="3"/>
      <c r="C769" s="12"/>
      <c r="D769" s="3"/>
      <c r="E769" s="3"/>
      <c r="F769" s="5"/>
      <c r="G769" s="3"/>
      <c r="H769" s="3"/>
      <c r="I769" s="3"/>
      <c r="J769" s="3"/>
      <c r="K769" s="3"/>
      <c r="L769" s="3"/>
      <c r="M769" s="3"/>
      <c r="N769" s="3"/>
      <c r="O769" s="3"/>
      <c r="P769" s="3"/>
      <c r="Q769" s="3"/>
      <c r="R769" s="5"/>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spans="1:41" ht="15.75" customHeight="1">
      <c r="A770" s="12"/>
      <c r="B770" s="3"/>
      <c r="C770" s="12"/>
      <c r="D770" s="3"/>
      <c r="E770" s="3"/>
      <c r="F770" s="5"/>
      <c r="G770" s="3"/>
      <c r="H770" s="3"/>
      <c r="I770" s="3"/>
      <c r="J770" s="3"/>
      <c r="K770" s="3"/>
      <c r="L770" s="3"/>
      <c r="M770" s="3"/>
      <c r="N770" s="3"/>
      <c r="O770" s="3"/>
      <c r="P770" s="3"/>
      <c r="Q770" s="3"/>
      <c r="R770" s="5"/>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spans="1:41" ht="15.75" customHeight="1">
      <c r="A771" s="12"/>
      <c r="B771" s="3"/>
      <c r="C771" s="12"/>
      <c r="D771" s="3"/>
      <c r="E771" s="3"/>
      <c r="F771" s="5"/>
      <c r="G771" s="3"/>
      <c r="H771" s="3"/>
      <c r="I771" s="3"/>
      <c r="J771" s="3"/>
      <c r="K771" s="3"/>
      <c r="L771" s="3"/>
      <c r="M771" s="3"/>
      <c r="N771" s="3"/>
      <c r="O771" s="3"/>
      <c r="P771" s="3"/>
      <c r="Q771" s="3"/>
      <c r="R771" s="5"/>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spans="1:41" ht="15.75" customHeight="1">
      <c r="A772" s="12"/>
      <c r="B772" s="3"/>
      <c r="C772" s="12"/>
      <c r="D772" s="3"/>
      <c r="E772" s="3"/>
      <c r="F772" s="5"/>
      <c r="G772" s="3"/>
      <c r="H772" s="3"/>
      <c r="I772" s="3"/>
      <c r="J772" s="3"/>
      <c r="K772" s="3"/>
      <c r="L772" s="3"/>
      <c r="M772" s="3"/>
      <c r="N772" s="3"/>
      <c r="O772" s="3"/>
      <c r="P772" s="3"/>
      <c r="Q772" s="3"/>
      <c r="R772" s="5"/>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spans="1:41" ht="15.75" customHeight="1">
      <c r="A773" s="12"/>
      <c r="B773" s="3"/>
      <c r="C773" s="12"/>
      <c r="D773" s="3"/>
      <c r="E773" s="3"/>
      <c r="F773" s="5"/>
      <c r="G773" s="3"/>
      <c r="H773" s="3"/>
      <c r="I773" s="3"/>
      <c r="J773" s="3"/>
      <c r="K773" s="3"/>
      <c r="L773" s="3"/>
      <c r="M773" s="3"/>
      <c r="N773" s="3"/>
      <c r="O773" s="3"/>
      <c r="P773" s="3"/>
      <c r="Q773" s="3"/>
      <c r="R773" s="5"/>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spans="1:41" ht="15.75" customHeight="1">
      <c r="A774" s="12"/>
      <c r="B774" s="3"/>
      <c r="C774" s="12"/>
      <c r="D774" s="3"/>
      <c r="E774" s="3"/>
      <c r="F774" s="5"/>
      <c r="G774" s="3"/>
      <c r="H774" s="3"/>
      <c r="I774" s="3"/>
      <c r="J774" s="3"/>
      <c r="K774" s="3"/>
      <c r="L774" s="3"/>
      <c r="M774" s="3"/>
      <c r="N774" s="3"/>
      <c r="O774" s="3"/>
      <c r="P774" s="3"/>
      <c r="Q774" s="3"/>
      <c r="R774" s="5"/>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spans="1:41" ht="15.75" customHeight="1">
      <c r="A775" s="12"/>
      <c r="B775" s="3"/>
      <c r="C775" s="12"/>
      <c r="D775" s="3"/>
      <c r="E775" s="3"/>
      <c r="F775" s="5"/>
      <c r="G775" s="3"/>
      <c r="H775" s="3"/>
      <c r="I775" s="3"/>
      <c r="J775" s="3"/>
      <c r="K775" s="3"/>
      <c r="L775" s="3"/>
      <c r="M775" s="3"/>
      <c r="N775" s="3"/>
      <c r="O775" s="3"/>
      <c r="P775" s="3"/>
      <c r="Q775" s="3"/>
      <c r="R775" s="5"/>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spans="1:41" ht="15.75" customHeight="1">
      <c r="A776" s="12"/>
      <c r="B776" s="3"/>
      <c r="C776" s="12"/>
      <c r="D776" s="3"/>
      <c r="E776" s="3"/>
      <c r="F776" s="5"/>
      <c r="G776" s="3"/>
      <c r="H776" s="3"/>
      <c r="I776" s="3"/>
      <c r="J776" s="3"/>
      <c r="K776" s="3"/>
      <c r="L776" s="3"/>
      <c r="M776" s="3"/>
      <c r="N776" s="3"/>
      <c r="O776" s="3"/>
      <c r="P776" s="3"/>
      <c r="Q776" s="3"/>
      <c r="R776" s="5"/>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spans="1:41" ht="15.75" customHeight="1">
      <c r="A777" s="12"/>
      <c r="B777" s="3"/>
      <c r="C777" s="12"/>
      <c r="D777" s="3"/>
      <c r="E777" s="3"/>
      <c r="F777" s="5"/>
      <c r="G777" s="3"/>
      <c r="H777" s="3"/>
      <c r="I777" s="3"/>
      <c r="J777" s="3"/>
      <c r="K777" s="3"/>
      <c r="L777" s="3"/>
      <c r="M777" s="3"/>
      <c r="N777" s="3"/>
      <c r="O777" s="3"/>
      <c r="P777" s="3"/>
      <c r="Q777" s="3"/>
      <c r="R777" s="5"/>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spans="1:41" ht="15.75" customHeight="1">
      <c r="A778" s="12"/>
      <c r="B778" s="3"/>
      <c r="C778" s="12"/>
      <c r="D778" s="3"/>
      <c r="E778" s="3"/>
      <c r="F778" s="5"/>
      <c r="G778" s="3"/>
      <c r="H778" s="3"/>
      <c r="I778" s="3"/>
      <c r="J778" s="3"/>
      <c r="K778" s="3"/>
      <c r="L778" s="3"/>
      <c r="M778" s="3"/>
      <c r="N778" s="3"/>
      <c r="O778" s="3"/>
      <c r="P778" s="3"/>
      <c r="Q778" s="3"/>
      <c r="R778" s="5"/>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spans="1:41" ht="15.75" customHeight="1">
      <c r="A779" s="12"/>
      <c r="B779" s="3"/>
      <c r="C779" s="12"/>
      <c r="D779" s="3"/>
      <c r="E779" s="3"/>
      <c r="F779" s="5"/>
      <c r="G779" s="3"/>
      <c r="H779" s="3"/>
      <c r="I779" s="3"/>
      <c r="J779" s="3"/>
      <c r="K779" s="3"/>
      <c r="L779" s="3"/>
      <c r="M779" s="3"/>
      <c r="N779" s="3"/>
      <c r="O779" s="3"/>
      <c r="P779" s="3"/>
      <c r="Q779" s="3"/>
      <c r="R779" s="5"/>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spans="1:41" ht="15.75" customHeight="1">
      <c r="A780" s="12"/>
      <c r="B780" s="3"/>
      <c r="C780" s="12"/>
      <c r="D780" s="3"/>
      <c r="E780" s="3"/>
      <c r="F780" s="5"/>
      <c r="G780" s="3"/>
      <c r="H780" s="3"/>
      <c r="I780" s="3"/>
      <c r="J780" s="3"/>
      <c r="K780" s="3"/>
      <c r="L780" s="3"/>
      <c r="M780" s="3"/>
      <c r="N780" s="3"/>
      <c r="O780" s="3"/>
      <c r="P780" s="3"/>
      <c r="Q780" s="3"/>
      <c r="R780" s="5"/>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spans="1:41" ht="15.75" customHeight="1">
      <c r="A781" s="12"/>
      <c r="B781" s="3"/>
      <c r="C781" s="12"/>
      <c r="D781" s="3"/>
      <c r="E781" s="3"/>
      <c r="F781" s="5"/>
      <c r="G781" s="3"/>
      <c r="H781" s="3"/>
      <c r="I781" s="3"/>
      <c r="J781" s="3"/>
      <c r="K781" s="3"/>
      <c r="L781" s="3"/>
      <c r="M781" s="3"/>
      <c r="N781" s="3"/>
      <c r="O781" s="3"/>
      <c r="P781" s="3"/>
      <c r="Q781" s="3"/>
      <c r="R781" s="5"/>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spans="1:41" ht="15.75" customHeight="1">
      <c r="A782" s="12"/>
      <c r="B782" s="3"/>
      <c r="C782" s="12"/>
      <c r="D782" s="3"/>
      <c r="E782" s="3"/>
      <c r="F782" s="5"/>
      <c r="G782" s="3"/>
      <c r="H782" s="3"/>
      <c r="I782" s="3"/>
      <c r="J782" s="3"/>
      <c r="K782" s="3"/>
      <c r="L782" s="3"/>
      <c r="M782" s="3"/>
      <c r="N782" s="3"/>
      <c r="O782" s="3"/>
      <c r="P782" s="3"/>
      <c r="Q782" s="3"/>
      <c r="R782" s="5"/>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spans="1:41" ht="15.75" customHeight="1">
      <c r="A783" s="12"/>
      <c r="B783" s="3"/>
      <c r="C783" s="12"/>
      <c r="D783" s="3"/>
      <c r="E783" s="3"/>
      <c r="F783" s="5"/>
      <c r="G783" s="3"/>
      <c r="H783" s="3"/>
      <c r="I783" s="3"/>
      <c r="J783" s="3"/>
      <c r="K783" s="3"/>
      <c r="L783" s="3"/>
      <c r="M783" s="3"/>
      <c r="N783" s="3"/>
      <c r="O783" s="3"/>
      <c r="P783" s="3"/>
      <c r="Q783" s="3"/>
      <c r="R783" s="5"/>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spans="1:41" ht="15.75" customHeight="1">
      <c r="A784" s="12"/>
      <c r="B784" s="3"/>
      <c r="C784" s="12"/>
      <c r="D784" s="3"/>
      <c r="E784" s="3"/>
      <c r="F784" s="5"/>
      <c r="G784" s="3"/>
      <c r="H784" s="3"/>
      <c r="I784" s="3"/>
      <c r="J784" s="3"/>
      <c r="K784" s="3"/>
      <c r="L784" s="3"/>
      <c r="M784" s="3"/>
      <c r="N784" s="3"/>
      <c r="O784" s="3"/>
      <c r="P784" s="3"/>
      <c r="Q784" s="3"/>
      <c r="R784" s="5"/>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spans="1:41" ht="15.75" customHeight="1">
      <c r="A785" s="12"/>
      <c r="B785" s="3"/>
      <c r="C785" s="12"/>
      <c r="D785" s="3"/>
      <c r="E785" s="3"/>
      <c r="F785" s="5"/>
      <c r="G785" s="3"/>
      <c r="H785" s="3"/>
      <c r="I785" s="3"/>
      <c r="J785" s="3"/>
      <c r="K785" s="3"/>
      <c r="L785" s="3"/>
      <c r="M785" s="3"/>
      <c r="N785" s="3"/>
      <c r="O785" s="3"/>
      <c r="P785" s="3"/>
      <c r="Q785" s="3"/>
      <c r="R785" s="5"/>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spans="1:41" ht="15.75" customHeight="1">
      <c r="A786" s="12"/>
      <c r="B786" s="3"/>
      <c r="C786" s="12"/>
      <c r="D786" s="3"/>
      <c r="E786" s="3"/>
      <c r="F786" s="5"/>
      <c r="G786" s="3"/>
      <c r="H786" s="3"/>
      <c r="I786" s="3"/>
      <c r="J786" s="3"/>
      <c r="K786" s="3"/>
      <c r="L786" s="3"/>
      <c r="M786" s="3"/>
      <c r="N786" s="3"/>
      <c r="O786" s="3"/>
      <c r="P786" s="3"/>
      <c r="Q786" s="3"/>
      <c r="R786" s="5"/>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spans="1:41" ht="15.75" customHeight="1">
      <c r="A787" s="12"/>
      <c r="B787" s="3"/>
      <c r="C787" s="12"/>
      <c r="D787" s="3"/>
      <c r="E787" s="3"/>
      <c r="F787" s="5"/>
      <c r="G787" s="3"/>
      <c r="H787" s="3"/>
      <c r="I787" s="3"/>
      <c r="J787" s="3"/>
      <c r="K787" s="3"/>
      <c r="L787" s="3"/>
      <c r="M787" s="3"/>
      <c r="N787" s="3"/>
      <c r="O787" s="3"/>
      <c r="P787" s="3"/>
      <c r="Q787" s="3"/>
      <c r="R787" s="5"/>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spans="1:41" ht="15.75" customHeight="1">
      <c r="A788" s="12"/>
      <c r="B788" s="3"/>
      <c r="C788" s="12"/>
      <c r="D788" s="3"/>
      <c r="E788" s="3"/>
      <c r="F788" s="5"/>
      <c r="G788" s="3"/>
      <c r="H788" s="3"/>
      <c r="I788" s="3"/>
      <c r="J788" s="3"/>
      <c r="K788" s="3"/>
      <c r="L788" s="3"/>
      <c r="M788" s="3"/>
      <c r="N788" s="3"/>
      <c r="O788" s="3"/>
      <c r="P788" s="3"/>
      <c r="Q788" s="3"/>
      <c r="R788" s="5"/>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spans="1:41" ht="15.75" customHeight="1">
      <c r="A789" s="12"/>
      <c r="B789" s="3"/>
      <c r="C789" s="12"/>
      <c r="D789" s="3"/>
      <c r="E789" s="3"/>
      <c r="F789" s="5"/>
      <c r="G789" s="3"/>
      <c r="H789" s="3"/>
      <c r="I789" s="3"/>
      <c r="J789" s="3"/>
      <c r="K789" s="3"/>
      <c r="L789" s="3"/>
      <c r="M789" s="3"/>
      <c r="N789" s="3"/>
      <c r="O789" s="3"/>
      <c r="P789" s="3"/>
      <c r="Q789" s="3"/>
      <c r="R789" s="5"/>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spans="1:41" ht="15.75" customHeight="1">
      <c r="A790" s="12"/>
      <c r="B790" s="3"/>
      <c r="C790" s="12"/>
      <c r="D790" s="3"/>
      <c r="E790" s="3"/>
      <c r="F790" s="5"/>
      <c r="G790" s="3"/>
      <c r="H790" s="3"/>
      <c r="I790" s="3"/>
      <c r="J790" s="3"/>
      <c r="K790" s="3"/>
      <c r="L790" s="3"/>
      <c r="M790" s="3"/>
      <c r="N790" s="3"/>
      <c r="O790" s="3"/>
      <c r="P790" s="3"/>
      <c r="Q790" s="3"/>
      <c r="R790" s="5"/>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spans="1:41" ht="15.75" customHeight="1">
      <c r="A791" s="12"/>
      <c r="B791" s="3"/>
      <c r="C791" s="12"/>
      <c r="D791" s="3"/>
      <c r="E791" s="3"/>
      <c r="F791" s="5"/>
      <c r="G791" s="3"/>
      <c r="H791" s="3"/>
      <c r="I791" s="3"/>
      <c r="J791" s="3"/>
      <c r="K791" s="3"/>
      <c r="L791" s="3"/>
      <c r="M791" s="3"/>
      <c r="N791" s="3"/>
      <c r="O791" s="3"/>
      <c r="P791" s="3"/>
      <c r="Q791" s="3"/>
      <c r="R791" s="5"/>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spans="1:41" ht="15.75" customHeight="1">
      <c r="A792" s="12"/>
      <c r="B792" s="3"/>
      <c r="C792" s="12"/>
      <c r="D792" s="3"/>
      <c r="E792" s="3"/>
      <c r="F792" s="5"/>
      <c r="G792" s="3"/>
      <c r="H792" s="3"/>
      <c r="I792" s="3"/>
      <c r="J792" s="3"/>
      <c r="K792" s="3"/>
      <c r="L792" s="3"/>
      <c r="M792" s="3"/>
      <c r="N792" s="3"/>
      <c r="O792" s="3"/>
      <c r="P792" s="3"/>
      <c r="Q792" s="3"/>
      <c r="R792" s="5"/>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spans="1:41" ht="15.75" customHeight="1">
      <c r="A793" s="12"/>
      <c r="B793" s="3"/>
      <c r="C793" s="12"/>
      <c r="D793" s="3"/>
      <c r="E793" s="3"/>
      <c r="F793" s="5"/>
      <c r="G793" s="3"/>
      <c r="H793" s="3"/>
      <c r="I793" s="3"/>
      <c r="J793" s="3"/>
      <c r="K793" s="3"/>
      <c r="L793" s="3"/>
      <c r="M793" s="3"/>
      <c r="N793" s="3"/>
      <c r="O793" s="3"/>
      <c r="P793" s="3"/>
      <c r="Q793" s="3"/>
      <c r="R793" s="5"/>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spans="1:41" ht="15.75" customHeight="1">
      <c r="A794" s="12"/>
      <c r="B794" s="3"/>
      <c r="C794" s="12"/>
      <c r="D794" s="3"/>
      <c r="E794" s="3"/>
      <c r="F794" s="5"/>
      <c r="G794" s="3"/>
      <c r="H794" s="3"/>
      <c r="I794" s="3"/>
      <c r="J794" s="3"/>
      <c r="K794" s="3"/>
      <c r="L794" s="3"/>
      <c r="M794" s="3"/>
      <c r="N794" s="3"/>
      <c r="O794" s="3"/>
      <c r="P794" s="3"/>
      <c r="Q794" s="3"/>
      <c r="R794" s="5"/>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spans="1:41" ht="15.75" customHeight="1">
      <c r="A795" s="12"/>
      <c r="B795" s="3"/>
      <c r="C795" s="12"/>
      <c r="D795" s="3"/>
      <c r="E795" s="3"/>
      <c r="F795" s="5"/>
      <c r="G795" s="3"/>
      <c r="H795" s="3"/>
      <c r="I795" s="3"/>
      <c r="J795" s="3"/>
      <c r="K795" s="3"/>
      <c r="L795" s="3"/>
      <c r="M795" s="3"/>
      <c r="N795" s="3"/>
      <c r="O795" s="3"/>
      <c r="P795" s="3"/>
      <c r="Q795" s="3"/>
      <c r="R795" s="5"/>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spans="1:41" ht="15.75" customHeight="1">
      <c r="A796" s="12"/>
      <c r="B796" s="3"/>
      <c r="C796" s="12"/>
      <c r="D796" s="3"/>
      <c r="E796" s="3"/>
      <c r="F796" s="5"/>
      <c r="G796" s="3"/>
      <c r="H796" s="3"/>
      <c r="I796" s="3"/>
      <c r="J796" s="3"/>
      <c r="K796" s="3"/>
      <c r="L796" s="3"/>
      <c r="M796" s="3"/>
      <c r="N796" s="3"/>
      <c r="O796" s="3"/>
      <c r="P796" s="3"/>
      <c r="Q796" s="3"/>
      <c r="R796" s="5"/>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spans="1:41" ht="15.75" customHeight="1">
      <c r="A797" s="12"/>
      <c r="B797" s="3"/>
      <c r="C797" s="12"/>
      <c r="D797" s="3"/>
      <c r="E797" s="3"/>
      <c r="F797" s="5"/>
      <c r="G797" s="3"/>
      <c r="H797" s="3"/>
      <c r="I797" s="3"/>
      <c r="J797" s="3"/>
      <c r="K797" s="3"/>
      <c r="L797" s="3"/>
      <c r="M797" s="3"/>
      <c r="N797" s="3"/>
      <c r="O797" s="3"/>
      <c r="P797" s="3"/>
      <c r="Q797" s="3"/>
      <c r="R797" s="5"/>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spans="1:41" ht="15.75" customHeight="1">
      <c r="A798" s="12"/>
      <c r="B798" s="3"/>
      <c r="C798" s="12"/>
      <c r="D798" s="3"/>
      <c r="E798" s="3"/>
      <c r="F798" s="5"/>
      <c r="G798" s="3"/>
      <c r="H798" s="3"/>
      <c r="I798" s="3"/>
      <c r="J798" s="3"/>
      <c r="K798" s="3"/>
      <c r="L798" s="3"/>
      <c r="M798" s="3"/>
      <c r="N798" s="3"/>
      <c r="O798" s="3"/>
      <c r="P798" s="3"/>
      <c r="Q798" s="3"/>
      <c r="R798" s="5"/>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spans="1:41" ht="15.75" customHeight="1">
      <c r="A799" s="12"/>
      <c r="B799" s="3"/>
      <c r="C799" s="12"/>
      <c r="D799" s="3"/>
      <c r="E799" s="3"/>
      <c r="F799" s="5"/>
      <c r="G799" s="3"/>
      <c r="H799" s="3"/>
      <c r="I799" s="3"/>
      <c r="J799" s="3"/>
      <c r="K799" s="3"/>
      <c r="L799" s="3"/>
      <c r="M799" s="3"/>
      <c r="N799" s="3"/>
      <c r="O799" s="3"/>
      <c r="P799" s="3"/>
      <c r="Q799" s="3"/>
      <c r="R799" s="5"/>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spans="1:41" ht="15.75" customHeight="1">
      <c r="A800" s="12"/>
      <c r="B800" s="3"/>
      <c r="C800" s="12"/>
      <c r="D800" s="3"/>
      <c r="E800" s="3"/>
      <c r="F800" s="5"/>
      <c r="G800" s="3"/>
      <c r="H800" s="3"/>
      <c r="I800" s="3"/>
      <c r="J800" s="3"/>
      <c r="K800" s="3"/>
      <c r="L800" s="3"/>
      <c r="M800" s="3"/>
      <c r="N800" s="3"/>
      <c r="O800" s="3"/>
      <c r="P800" s="3"/>
      <c r="Q800" s="3"/>
      <c r="R800" s="5"/>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spans="1:41" ht="15.75" customHeight="1">
      <c r="A801" s="12"/>
      <c r="B801" s="3"/>
      <c r="C801" s="12"/>
      <c r="D801" s="3"/>
      <c r="E801" s="3"/>
      <c r="F801" s="5"/>
      <c r="G801" s="3"/>
      <c r="H801" s="3"/>
      <c r="I801" s="3"/>
      <c r="J801" s="3"/>
      <c r="K801" s="3"/>
      <c r="L801" s="3"/>
      <c r="M801" s="3"/>
      <c r="N801" s="3"/>
      <c r="O801" s="3"/>
      <c r="P801" s="3"/>
      <c r="Q801" s="3"/>
      <c r="R801" s="5"/>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spans="1:41" ht="15.75" customHeight="1">
      <c r="A802" s="12"/>
      <c r="B802" s="3"/>
      <c r="C802" s="12"/>
      <c r="D802" s="3"/>
      <c r="E802" s="3"/>
      <c r="F802" s="5"/>
      <c r="G802" s="3"/>
      <c r="H802" s="3"/>
      <c r="I802" s="3"/>
      <c r="J802" s="3"/>
      <c r="K802" s="3"/>
      <c r="L802" s="3"/>
      <c r="M802" s="3"/>
      <c r="N802" s="3"/>
      <c r="O802" s="3"/>
      <c r="P802" s="3"/>
      <c r="Q802" s="3"/>
      <c r="R802" s="5"/>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spans="1:41" ht="15.75" customHeight="1">
      <c r="A803" s="12"/>
      <c r="B803" s="3"/>
      <c r="C803" s="12"/>
      <c r="D803" s="3"/>
      <c r="E803" s="3"/>
      <c r="F803" s="5"/>
      <c r="G803" s="3"/>
      <c r="H803" s="3"/>
      <c r="I803" s="3"/>
      <c r="J803" s="3"/>
      <c r="K803" s="3"/>
      <c r="L803" s="3"/>
      <c r="M803" s="3"/>
      <c r="N803" s="3"/>
      <c r="O803" s="3"/>
      <c r="P803" s="3"/>
      <c r="Q803" s="3"/>
      <c r="R803" s="5"/>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spans="1:41" ht="15.75" customHeight="1">
      <c r="A804" s="12"/>
      <c r="B804" s="3"/>
      <c r="C804" s="12"/>
      <c r="D804" s="3"/>
      <c r="E804" s="3"/>
      <c r="F804" s="5"/>
      <c r="G804" s="3"/>
      <c r="H804" s="3"/>
      <c r="I804" s="3"/>
      <c r="J804" s="3"/>
      <c r="K804" s="3"/>
      <c r="L804" s="3"/>
      <c r="M804" s="3"/>
      <c r="N804" s="3"/>
      <c r="O804" s="3"/>
      <c r="P804" s="3"/>
      <c r="Q804" s="3"/>
      <c r="R804" s="5"/>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spans="1:41" ht="15.75" customHeight="1">
      <c r="A805" s="12"/>
      <c r="B805" s="3"/>
      <c r="C805" s="12"/>
      <c r="D805" s="3"/>
      <c r="E805" s="3"/>
      <c r="F805" s="5"/>
      <c r="G805" s="3"/>
      <c r="H805" s="3"/>
      <c r="I805" s="3"/>
      <c r="J805" s="3"/>
      <c r="K805" s="3"/>
      <c r="L805" s="3"/>
      <c r="M805" s="3"/>
      <c r="N805" s="3"/>
      <c r="O805" s="3"/>
      <c r="P805" s="3"/>
      <c r="Q805" s="3"/>
      <c r="R805" s="5"/>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spans="1:41" ht="15.75" customHeight="1">
      <c r="A806" s="12"/>
      <c r="B806" s="3"/>
      <c r="C806" s="12"/>
      <c r="D806" s="3"/>
      <c r="E806" s="3"/>
      <c r="F806" s="5"/>
      <c r="G806" s="3"/>
      <c r="H806" s="3"/>
      <c r="I806" s="3"/>
      <c r="J806" s="3"/>
      <c r="K806" s="3"/>
      <c r="L806" s="3"/>
      <c r="M806" s="3"/>
      <c r="N806" s="3"/>
      <c r="O806" s="3"/>
      <c r="P806" s="3"/>
      <c r="Q806" s="3"/>
      <c r="R806" s="5"/>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spans="1:41" ht="15.75" customHeight="1">
      <c r="A807" s="12"/>
      <c r="B807" s="3"/>
      <c r="C807" s="12"/>
      <c r="D807" s="3"/>
      <c r="E807" s="3"/>
      <c r="F807" s="5"/>
      <c r="G807" s="3"/>
      <c r="H807" s="3"/>
      <c r="I807" s="3"/>
      <c r="J807" s="3"/>
      <c r="K807" s="3"/>
      <c r="L807" s="3"/>
      <c r="M807" s="3"/>
      <c r="N807" s="3"/>
      <c r="O807" s="3"/>
      <c r="P807" s="3"/>
      <c r="Q807" s="3"/>
      <c r="R807" s="5"/>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spans="1:41" ht="15.75" customHeight="1">
      <c r="A808" s="12"/>
      <c r="B808" s="3"/>
      <c r="C808" s="12"/>
      <c r="D808" s="3"/>
      <c r="E808" s="3"/>
      <c r="F808" s="5"/>
      <c r="G808" s="3"/>
      <c r="H808" s="3"/>
      <c r="I808" s="3"/>
      <c r="J808" s="3"/>
      <c r="K808" s="3"/>
      <c r="L808" s="3"/>
      <c r="M808" s="3"/>
      <c r="N808" s="3"/>
      <c r="O808" s="3"/>
      <c r="P808" s="3"/>
      <c r="Q808" s="3"/>
      <c r="R808" s="5"/>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spans="1:41" ht="15.75" customHeight="1">
      <c r="A809" s="12"/>
      <c r="B809" s="3"/>
      <c r="C809" s="12"/>
      <c r="D809" s="3"/>
      <c r="E809" s="3"/>
      <c r="F809" s="5"/>
      <c r="G809" s="3"/>
      <c r="H809" s="3"/>
      <c r="I809" s="3"/>
      <c r="J809" s="3"/>
      <c r="K809" s="3"/>
      <c r="L809" s="3"/>
      <c r="M809" s="3"/>
      <c r="N809" s="3"/>
      <c r="O809" s="3"/>
      <c r="P809" s="3"/>
      <c r="Q809" s="3"/>
      <c r="R809" s="5"/>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spans="1:41" ht="15.75" customHeight="1">
      <c r="A810" s="12"/>
      <c r="B810" s="3"/>
      <c r="C810" s="12"/>
      <c r="D810" s="3"/>
      <c r="E810" s="3"/>
      <c r="F810" s="5"/>
      <c r="G810" s="3"/>
      <c r="H810" s="3"/>
      <c r="I810" s="3"/>
      <c r="J810" s="3"/>
      <c r="K810" s="3"/>
      <c r="L810" s="3"/>
      <c r="M810" s="3"/>
      <c r="N810" s="3"/>
      <c r="O810" s="3"/>
      <c r="P810" s="3"/>
      <c r="Q810" s="3"/>
      <c r="R810" s="5"/>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spans="1:41" ht="15.75" customHeight="1">
      <c r="A811" s="12"/>
      <c r="B811" s="3"/>
      <c r="C811" s="12"/>
      <c r="D811" s="3"/>
      <c r="E811" s="3"/>
      <c r="F811" s="5"/>
      <c r="G811" s="3"/>
      <c r="H811" s="3"/>
      <c r="I811" s="3"/>
      <c r="J811" s="3"/>
      <c r="K811" s="3"/>
      <c r="L811" s="3"/>
      <c r="M811" s="3"/>
      <c r="N811" s="3"/>
      <c r="O811" s="3"/>
      <c r="P811" s="3"/>
      <c r="Q811" s="3"/>
      <c r="R811" s="5"/>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spans="1:41" ht="15.75" customHeight="1">
      <c r="A812" s="12"/>
      <c r="B812" s="3"/>
      <c r="C812" s="12"/>
      <c r="D812" s="3"/>
      <c r="E812" s="3"/>
      <c r="F812" s="5"/>
      <c r="G812" s="3"/>
      <c r="H812" s="3"/>
      <c r="I812" s="3"/>
      <c r="J812" s="3"/>
      <c r="K812" s="3"/>
      <c r="L812" s="3"/>
      <c r="M812" s="3"/>
      <c r="N812" s="3"/>
      <c r="O812" s="3"/>
      <c r="P812" s="3"/>
      <c r="Q812" s="3"/>
      <c r="R812" s="5"/>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spans="1:41" ht="15.75" customHeight="1">
      <c r="A813" s="12"/>
      <c r="B813" s="3"/>
      <c r="C813" s="12"/>
      <c r="D813" s="3"/>
      <c r="E813" s="3"/>
      <c r="F813" s="5"/>
      <c r="G813" s="3"/>
      <c r="H813" s="3"/>
      <c r="I813" s="3"/>
      <c r="J813" s="3"/>
      <c r="K813" s="3"/>
      <c r="L813" s="3"/>
      <c r="M813" s="3"/>
      <c r="N813" s="3"/>
      <c r="O813" s="3"/>
      <c r="P813" s="3"/>
      <c r="Q813" s="3"/>
      <c r="R813" s="5"/>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spans="1:41" ht="15.75" customHeight="1">
      <c r="A814" s="12"/>
      <c r="B814" s="3"/>
      <c r="C814" s="12"/>
      <c r="D814" s="3"/>
      <c r="E814" s="3"/>
      <c r="F814" s="5"/>
      <c r="G814" s="3"/>
      <c r="H814" s="3"/>
      <c r="I814" s="3"/>
      <c r="J814" s="3"/>
      <c r="K814" s="3"/>
      <c r="L814" s="3"/>
      <c r="M814" s="3"/>
      <c r="N814" s="3"/>
      <c r="O814" s="3"/>
      <c r="P814" s="3"/>
      <c r="Q814" s="3"/>
      <c r="R814" s="5"/>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spans="1:41" ht="15.75" customHeight="1">
      <c r="A815" s="12"/>
      <c r="B815" s="3"/>
      <c r="C815" s="12"/>
      <c r="D815" s="3"/>
      <c r="E815" s="3"/>
      <c r="F815" s="5"/>
      <c r="G815" s="3"/>
      <c r="H815" s="3"/>
      <c r="I815" s="3"/>
      <c r="J815" s="3"/>
      <c r="K815" s="3"/>
      <c r="L815" s="3"/>
      <c r="M815" s="3"/>
      <c r="N815" s="3"/>
      <c r="O815" s="3"/>
      <c r="P815" s="3"/>
      <c r="Q815" s="3"/>
      <c r="R815" s="5"/>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spans="1:41" ht="15.75" customHeight="1">
      <c r="A816" s="12"/>
      <c r="B816" s="3"/>
      <c r="C816" s="12"/>
      <c r="D816" s="3"/>
      <c r="E816" s="3"/>
      <c r="F816" s="5"/>
      <c r="G816" s="3"/>
      <c r="H816" s="3"/>
      <c r="I816" s="3"/>
      <c r="J816" s="3"/>
      <c r="K816" s="3"/>
      <c r="L816" s="3"/>
      <c r="M816" s="3"/>
      <c r="N816" s="3"/>
      <c r="O816" s="3"/>
      <c r="P816" s="3"/>
      <c r="Q816" s="3"/>
      <c r="R816" s="5"/>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spans="1:41" ht="15.75" customHeight="1">
      <c r="A817" s="12"/>
      <c r="B817" s="3"/>
      <c r="C817" s="12"/>
      <c r="D817" s="3"/>
      <c r="E817" s="3"/>
      <c r="F817" s="5"/>
      <c r="G817" s="3"/>
      <c r="H817" s="3"/>
      <c r="I817" s="3"/>
      <c r="J817" s="3"/>
      <c r="K817" s="3"/>
      <c r="L817" s="3"/>
      <c r="M817" s="3"/>
      <c r="N817" s="3"/>
      <c r="O817" s="3"/>
      <c r="P817" s="3"/>
      <c r="Q817" s="3"/>
      <c r="R817" s="5"/>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spans="1:41" ht="15.75" customHeight="1">
      <c r="A818" s="12"/>
      <c r="B818" s="3"/>
      <c r="C818" s="12"/>
      <c r="D818" s="3"/>
      <c r="E818" s="3"/>
      <c r="F818" s="5"/>
      <c r="G818" s="3"/>
      <c r="H818" s="3"/>
      <c r="I818" s="3"/>
      <c r="J818" s="3"/>
      <c r="K818" s="3"/>
      <c r="L818" s="3"/>
      <c r="M818" s="3"/>
      <c r="N818" s="3"/>
      <c r="O818" s="3"/>
      <c r="P818" s="3"/>
      <c r="Q818" s="3"/>
      <c r="R818" s="5"/>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spans="1:41" ht="15.75" customHeight="1">
      <c r="A819" s="12"/>
      <c r="B819" s="3"/>
      <c r="C819" s="12"/>
      <c r="D819" s="3"/>
      <c r="E819" s="3"/>
      <c r="F819" s="5"/>
      <c r="G819" s="3"/>
      <c r="H819" s="3"/>
      <c r="I819" s="3"/>
      <c r="J819" s="3"/>
      <c r="K819" s="3"/>
      <c r="L819" s="3"/>
      <c r="M819" s="3"/>
      <c r="N819" s="3"/>
      <c r="O819" s="3"/>
      <c r="P819" s="3"/>
      <c r="Q819" s="3"/>
      <c r="R819" s="5"/>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spans="1:41" ht="15.75" customHeight="1">
      <c r="A820" s="12"/>
      <c r="B820" s="3"/>
      <c r="C820" s="12"/>
      <c r="D820" s="3"/>
      <c r="E820" s="3"/>
      <c r="F820" s="5"/>
      <c r="G820" s="3"/>
      <c r="H820" s="3"/>
      <c r="I820" s="3"/>
      <c r="J820" s="3"/>
      <c r="K820" s="3"/>
      <c r="L820" s="3"/>
      <c r="M820" s="3"/>
      <c r="N820" s="3"/>
      <c r="O820" s="3"/>
      <c r="P820" s="3"/>
      <c r="Q820" s="3"/>
      <c r="R820" s="5"/>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spans="1:41" ht="15.75" customHeight="1">
      <c r="A821" s="12"/>
      <c r="B821" s="3"/>
      <c r="C821" s="12"/>
      <c r="D821" s="3"/>
      <c r="E821" s="3"/>
      <c r="F821" s="5"/>
      <c r="G821" s="3"/>
      <c r="H821" s="3"/>
      <c r="I821" s="3"/>
      <c r="J821" s="3"/>
      <c r="K821" s="3"/>
      <c r="L821" s="3"/>
      <c r="M821" s="3"/>
      <c r="N821" s="3"/>
      <c r="O821" s="3"/>
      <c r="P821" s="3"/>
      <c r="Q821" s="3"/>
      <c r="R821" s="5"/>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spans="1:41" ht="15.75" customHeight="1">
      <c r="A822" s="12"/>
      <c r="B822" s="3"/>
      <c r="C822" s="12"/>
      <c r="D822" s="3"/>
      <c r="E822" s="3"/>
      <c r="F822" s="5"/>
      <c r="G822" s="3"/>
      <c r="H822" s="3"/>
      <c r="I822" s="3"/>
      <c r="J822" s="3"/>
      <c r="K822" s="3"/>
      <c r="L822" s="3"/>
      <c r="M822" s="3"/>
      <c r="N822" s="3"/>
      <c r="O822" s="3"/>
      <c r="P822" s="3"/>
      <c r="Q822" s="3"/>
      <c r="R822" s="5"/>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spans="1:41" ht="15.75" customHeight="1">
      <c r="A823" s="12"/>
      <c r="B823" s="3"/>
      <c r="C823" s="12"/>
      <c r="D823" s="3"/>
      <c r="E823" s="3"/>
      <c r="F823" s="5"/>
      <c r="G823" s="3"/>
      <c r="H823" s="3"/>
      <c r="I823" s="3"/>
      <c r="J823" s="3"/>
      <c r="K823" s="3"/>
      <c r="L823" s="3"/>
      <c r="M823" s="3"/>
      <c r="N823" s="3"/>
      <c r="O823" s="3"/>
      <c r="P823" s="3"/>
      <c r="Q823" s="3"/>
      <c r="R823" s="5"/>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spans="1:41" ht="15.75" customHeight="1">
      <c r="A824" s="12"/>
      <c r="B824" s="3"/>
      <c r="C824" s="12"/>
      <c r="D824" s="3"/>
      <c r="E824" s="3"/>
      <c r="F824" s="5"/>
      <c r="G824" s="3"/>
      <c r="H824" s="3"/>
      <c r="I824" s="3"/>
      <c r="J824" s="3"/>
      <c r="K824" s="3"/>
      <c r="L824" s="3"/>
      <c r="M824" s="3"/>
      <c r="N824" s="3"/>
      <c r="O824" s="3"/>
      <c r="P824" s="3"/>
      <c r="Q824" s="3"/>
      <c r="R824" s="5"/>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spans="1:41" ht="15.75" customHeight="1">
      <c r="A825" s="12"/>
      <c r="B825" s="3"/>
      <c r="C825" s="12"/>
      <c r="D825" s="3"/>
      <c r="E825" s="3"/>
      <c r="F825" s="5"/>
      <c r="G825" s="3"/>
      <c r="H825" s="3"/>
      <c r="I825" s="3"/>
      <c r="J825" s="3"/>
      <c r="K825" s="3"/>
      <c r="L825" s="3"/>
      <c r="M825" s="3"/>
      <c r="N825" s="3"/>
      <c r="O825" s="3"/>
      <c r="P825" s="3"/>
      <c r="Q825" s="3"/>
      <c r="R825" s="5"/>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spans="1:41" ht="15.75" customHeight="1">
      <c r="A826" s="12"/>
      <c r="B826" s="3"/>
      <c r="C826" s="12"/>
      <c r="D826" s="3"/>
      <c r="E826" s="3"/>
      <c r="F826" s="5"/>
      <c r="G826" s="3"/>
      <c r="H826" s="3"/>
      <c r="I826" s="3"/>
      <c r="J826" s="3"/>
      <c r="K826" s="3"/>
      <c r="L826" s="3"/>
      <c r="M826" s="3"/>
      <c r="N826" s="3"/>
      <c r="O826" s="3"/>
      <c r="P826" s="3"/>
      <c r="Q826" s="3"/>
      <c r="R826" s="5"/>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spans="1:41" ht="15.75" customHeight="1">
      <c r="A827" s="12"/>
      <c r="B827" s="3"/>
      <c r="C827" s="12"/>
      <c r="D827" s="3"/>
      <c r="E827" s="3"/>
      <c r="F827" s="5"/>
      <c r="G827" s="3"/>
      <c r="H827" s="3"/>
      <c r="I827" s="3"/>
      <c r="J827" s="3"/>
      <c r="K827" s="3"/>
      <c r="L827" s="3"/>
      <c r="M827" s="3"/>
      <c r="N827" s="3"/>
      <c r="O827" s="3"/>
      <c r="P827" s="3"/>
      <c r="Q827" s="3"/>
      <c r="R827" s="5"/>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spans="1:41" ht="15.75" customHeight="1">
      <c r="A828" s="12"/>
      <c r="B828" s="3"/>
      <c r="C828" s="12"/>
      <c r="D828" s="3"/>
      <c r="E828" s="3"/>
      <c r="F828" s="5"/>
      <c r="G828" s="3"/>
      <c r="H828" s="3"/>
      <c r="I828" s="3"/>
      <c r="J828" s="3"/>
      <c r="K828" s="3"/>
      <c r="L828" s="3"/>
      <c r="M828" s="3"/>
      <c r="N828" s="3"/>
      <c r="O828" s="3"/>
      <c r="P828" s="3"/>
      <c r="Q828" s="3"/>
      <c r="R828" s="5"/>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spans="1:41" ht="15.75" customHeight="1">
      <c r="A829" s="12"/>
      <c r="B829" s="3"/>
      <c r="C829" s="12"/>
      <c r="D829" s="3"/>
      <c r="E829" s="3"/>
      <c r="F829" s="5"/>
      <c r="G829" s="3"/>
      <c r="H829" s="3"/>
      <c r="I829" s="3"/>
      <c r="J829" s="3"/>
      <c r="K829" s="3"/>
      <c r="L829" s="3"/>
      <c r="M829" s="3"/>
      <c r="N829" s="3"/>
      <c r="O829" s="3"/>
      <c r="P829" s="3"/>
      <c r="Q829" s="3"/>
      <c r="R829" s="5"/>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spans="1:41" ht="15.75" customHeight="1">
      <c r="A830" s="12"/>
      <c r="B830" s="3"/>
      <c r="C830" s="12"/>
      <c r="D830" s="3"/>
      <c r="E830" s="3"/>
      <c r="F830" s="5"/>
      <c r="G830" s="3"/>
      <c r="H830" s="3"/>
      <c r="I830" s="3"/>
      <c r="J830" s="3"/>
      <c r="K830" s="3"/>
      <c r="L830" s="3"/>
      <c r="M830" s="3"/>
      <c r="N830" s="3"/>
      <c r="O830" s="3"/>
      <c r="P830" s="3"/>
      <c r="Q830" s="3"/>
      <c r="R830" s="5"/>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spans="1:41" ht="15.75" customHeight="1">
      <c r="A831" s="12"/>
      <c r="B831" s="3"/>
      <c r="C831" s="12"/>
      <c r="D831" s="3"/>
      <c r="E831" s="3"/>
      <c r="F831" s="5"/>
      <c r="G831" s="3"/>
      <c r="H831" s="3"/>
      <c r="I831" s="3"/>
      <c r="J831" s="3"/>
      <c r="K831" s="3"/>
      <c r="L831" s="3"/>
      <c r="M831" s="3"/>
      <c r="N831" s="3"/>
      <c r="O831" s="3"/>
      <c r="P831" s="3"/>
      <c r="Q831" s="3"/>
      <c r="R831" s="5"/>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spans="1:41" ht="15.75" customHeight="1">
      <c r="A832" s="12"/>
      <c r="B832" s="3"/>
      <c r="C832" s="12"/>
      <c r="D832" s="3"/>
      <c r="E832" s="3"/>
      <c r="F832" s="5"/>
      <c r="G832" s="3"/>
      <c r="H832" s="3"/>
      <c r="I832" s="3"/>
      <c r="J832" s="3"/>
      <c r="K832" s="3"/>
      <c r="L832" s="3"/>
      <c r="M832" s="3"/>
      <c r="N832" s="3"/>
      <c r="O832" s="3"/>
      <c r="P832" s="3"/>
      <c r="Q832" s="3"/>
      <c r="R832" s="5"/>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spans="1:41" ht="15.75" customHeight="1">
      <c r="A833" s="12"/>
      <c r="B833" s="3"/>
      <c r="C833" s="12"/>
      <c r="D833" s="3"/>
      <c r="E833" s="3"/>
      <c r="F833" s="5"/>
      <c r="G833" s="3"/>
      <c r="H833" s="3"/>
      <c r="I833" s="3"/>
      <c r="J833" s="3"/>
      <c r="K833" s="3"/>
      <c r="L833" s="3"/>
      <c r="M833" s="3"/>
      <c r="N833" s="3"/>
      <c r="O833" s="3"/>
      <c r="P833" s="3"/>
      <c r="Q833" s="3"/>
      <c r="R833" s="5"/>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spans="1:41" ht="15.75" customHeight="1">
      <c r="A834" s="12"/>
      <c r="B834" s="3"/>
      <c r="C834" s="12"/>
      <c r="D834" s="3"/>
      <c r="E834" s="3"/>
      <c r="F834" s="5"/>
      <c r="G834" s="3"/>
      <c r="H834" s="3"/>
      <c r="I834" s="3"/>
      <c r="J834" s="3"/>
      <c r="K834" s="3"/>
      <c r="L834" s="3"/>
      <c r="M834" s="3"/>
      <c r="N834" s="3"/>
      <c r="O834" s="3"/>
      <c r="P834" s="3"/>
      <c r="Q834" s="3"/>
      <c r="R834" s="5"/>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spans="1:41" ht="15.75" customHeight="1">
      <c r="A835" s="12"/>
      <c r="B835" s="3"/>
      <c r="C835" s="12"/>
      <c r="D835" s="3"/>
      <c r="E835" s="3"/>
      <c r="F835" s="5"/>
      <c r="G835" s="3"/>
      <c r="H835" s="3"/>
      <c r="I835" s="3"/>
      <c r="J835" s="3"/>
      <c r="K835" s="3"/>
      <c r="L835" s="3"/>
      <c r="M835" s="3"/>
      <c r="N835" s="3"/>
      <c r="O835" s="3"/>
      <c r="P835" s="3"/>
      <c r="Q835" s="3"/>
      <c r="R835" s="5"/>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spans="1:41" ht="15.75" customHeight="1">
      <c r="A836" s="12"/>
      <c r="B836" s="3"/>
      <c r="C836" s="12"/>
      <c r="D836" s="3"/>
      <c r="E836" s="3"/>
      <c r="F836" s="5"/>
      <c r="G836" s="3"/>
      <c r="H836" s="3"/>
      <c r="I836" s="3"/>
      <c r="J836" s="3"/>
      <c r="K836" s="3"/>
      <c r="L836" s="3"/>
      <c r="M836" s="3"/>
      <c r="N836" s="3"/>
      <c r="O836" s="3"/>
      <c r="P836" s="3"/>
      <c r="Q836" s="3"/>
      <c r="R836" s="5"/>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spans="1:41" ht="15.75" customHeight="1">
      <c r="A837" s="12"/>
      <c r="B837" s="3"/>
      <c r="C837" s="12"/>
      <c r="D837" s="3"/>
      <c r="E837" s="3"/>
      <c r="F837" s="5"/>
      <c r="G837" s="3"/>
      <c r="H837" s="3"/>
      <c r="I837" s="3"/>
      <c r="J837" s="3"/>
      <c r="K837" s="3"/>
      <c r="L837" s="3"/>
      <c r="M837" s="3"/>
      <c r="N837" s="3"/>
      <c r="O837" s="3"/>
      <c r="P837" s="3"/>
      <c r="Q837" s="3"/>
      <c r="R837" s="5"/>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spans="1:41" ht="15.75" customHeight="1">
      <c r="A838" s="12"/>
      <c r="B838" s="3"/>
      <c r="C838" s="12"/>
      <c r="D838" s="3"/>
      <c r="E838" s="3"/>
      <c r="F838" s="5"/>
      <c r="G838" s="3"/>
      <c r="H838" s="3"/>
      <c r="I838" s="3"/>
      <c r="J838" s="3"/>
      <c r="K838" s="3"/>
      <c r="L838" s="3"/>
      <c r="M838" s="3"/>
      <c r="N838" s="3"/>
      <c r="O838" s="3"/>
      <c r="P838" s="3"/>
      <c r="Q838" s="3"/>
      <c r="R838" s="5"/>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spans="1:41" ht="15.75" customHeight="1">
      <c r="A839" s="12"/>
      <c r="B839" s="3"/>
      <c r="C839" s="12"/>
      <c r="D839" s="3"/>
      <c r="E839" s="3"/>
      <c r="F839" s="5"/>
      <c r="G839" s="3"/>
      <c r="H839" s="3"/>
      <c r="I839" s="3"/>
      <c r="J839" s="3"/>
      <c r="K839" s="3"/>
      <c r="L839" s="3"/>
      <c r="M839" s="3"/>
      <c r="N839" s="3"/>
      <c r="O839" s="3"/>
      <c r="P839" s="3"/>
      <c r="Q839" s="3"/>
      <c r="R839" s="5"/>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spans="1:41" ht="15.75" customHeight="1">
      <c r="A840" s="12"/>
      <c r="B840" s="3"/>
      <c r="C840" s="12"/>
      <c r="D840" s="3"/>
      <c r="E840" s="3"/>
      <c r="F840" s="5"/>
      <c r="G840" s="3"/>
      <c r="H840" s="3"/>
      <c r="I840" s="3"/>
      <c r="J840" s="3"/>
      <c r="K840" s="3"/>
      <c r="L840" s="3"/>
      <c r="M840" s="3"/>
      <c r="N840" s="3"/>
      <c r="O840" s="3"/>
      <c r="P840" s="3"/>
      <c r="Q840" s="3"/>
      <c r="R840" s="5"/>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spans="1:41" ht="15.75" customHeight="1">
      <c r="A841" s="12"/>
      <c r="B841" s="3"/>
      <c r="C841" s="12"/>
      <c r="D841" s="3"/>
      <c r="E841" s="3"/>
      <c r="F841" s="5"/>
      <c r="G841" s="3"/>
      <c r="H841" s="3"/>
      <c r="I841" s="3"/>
      <c r="J841" s="3"/>
      <c r="K841" s="3"/>
      <c r="L841" s="3"/>
      <c r="M841" s="3"/>
      <c r="N841" s="3"/>
      <c r="O841" s="3"/>
      <c r="P841" s="3"/>
      <c r="Q841" s="3"/>
      <c r="R841" s="5"/>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spans="1:41" ht="15.75" customHeight="1">
      <c r="A842" s="12"/>
      <c r="B842" s="3"/>
      <c r="C842" s="12"/>
      <c r="D842" s="3"/>
      <c r="E842" s="3"/>
      <c r="F842" s="5"/>
      <c r="G842" s="3"/>
      <c r="H842" s="3"/>
      <c r="I842" s="3"/>
      <c r="J842" s="3"/>
      <c r="K842" s="3"/>
      <c r="L842" s="3"/>
      <c r="M842" s="3"/>
      <c r="N842" s="3"/>
      <c r="O842" s="3"/>
      <c r="P842" s="3"/>
      <c r="Q842" s="3"/>
      <c r="R842" s="5"/>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spans="1:41" ht="15.75" customHeight="1">
      <c r="A843" s="12"/>
      <c r="B843" s="3"/>
      <c r="C843" s="12"/>
      <c r="D843" s="3"/>
      <c r="E843" s="3"/>
      <c r="F843" s="5"/>
      <c r="G843" s="3"/>
      <c r="H843" s="3"/>
      <c r="I843" s="3"/>
      <c r="J843" s="3"/>
      <c r="K843" s="3"/>
      <c r="L843" s="3"/>
      <c r="M843" s="3"/>
      <c r="N843" s="3"/>
      <c r="O843" s="3"/>
      <c r="P843" s="3"/>
      <c r="Q843" s="3"/>
      <c r="R843" s="5"/>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spans="1:41" ht="15.75" customHeight="1">
      <c r="A844" s="12"/>
      <c r="B844" s="3"/>
      <c r="C844" s="12"/>
      <c r="D844" s="3"/>
      <c r="E844" s="3"/>
      <c r="F844" s="5"/>
      <c r="G844" s="3"/>
      <c r="H844" s="3"/>
      <c r="I844" s="3"/>
      <c r="J844" s="3"/>
      <c r="K844" s="3"/>
      <c r="L844" s="3"/>
      <c r="M844" s="3"/>
      <c r="N844" s="3"/>
      <c r="O844" s="3"/>
      <c r="P844" s="3"/>
      <c r="Q844" s="3"/>
      <c r="R844" s="5"/>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spans="1:41" ht="15.75" customHeight="1">
      <c r="A845" s="12"/>
      <c r="B845" s="3"/>
      <c r="C845" s="12"/>
      <c r="D845" s="3"/>
      <c r="E845" s="3"/>
      <c r="F845" s="5"/>
      <c r="G845" s="3"/>
      <c r="H845" s="3"/>
      <c r="I845" s="3"/>
      <c r="J845" s="3"/>
      <c r="K845" s="3"/>
      <c r="L845" s="3"/>
      <c r="M845" s="3"/>
      <c r="N845" s="3"/>
      <c r="O845" s="3"/>
      <c r="P845" s="3"/>
      <c r="Q845" s="3"/>
      <c r="R845" s="5"/>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spans="1:41" ht="15.75" customHeight="1">
      <c r="A846" s="12"/>
      <c r="B846" s="3"/>
      <c r="C846" s="12"/>
      <c r="D846" s="3"/>
      <c r="E846" s="3"/>
      <c r="F846" s="5"/>
      <c r="G846" s="3"/>
      <c r="H846" s="3"/>
      <c r="I846" s="3"/>
      <c r="J846" s="3"/>
      <c r="K846" s="3"/>
      <c r="L846" s="3"/>
      <c r="M846" s="3"/>
      <c r="N846" s="3"/>
      <c r="O846" s="3"/>
      <c r="P846" s="3"/>
      <c r="Q846" s="3"/>
      <c r="R846" s="5"/>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spans="1:41" ht="15.75" customHeight="1">
      <c r="A847" s="12"/>
      <c r="B847" s="3"/>
      <c r="C847" s="12"/>
      <c r="D847" s="3"/>
      <c r="E847" s="3"/>
      <c r="F847" s="5"/>
      <c r="G847" s="3"/>
      <c r="H847" s="3"/>
      <c r="I847" s="3"/>
      <c r="J847" s="3"/>
      <c r="K847" s="3"/>
      <c r="L847" s="3"/>
      <c r="M847" s="3"/>
      <c r="N847" s="3"/>
      <c r="O847" s="3"/>
      <c r="P847" s="3"/>
      <c r="Q847" s="3"/>
      <c r="R847" s="5"/>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spans="1:41" ht="15.75" customHeight="1">
      <c r="A848" s="12"/>
      <c r="B848" s="3"/>
      <c r="C848" s="12"/>
      <c r="D848" s="3"/>
      <c r="E848" s="3"/>
      <c r="F848" s="5"/>
      <c r="G848" s="3"/>
      <c r="H848" s="3"/>
      <c r="I848" s="3"/>
      <c r="J848" s="3"/>
      <c r="K848" s="3"/>
      <c r="L848" s="3"/>
      <c r="M848" s="3"/>
      <c r="N848" s="3"/>
      <c r="O848" s="3"/>
      <c r="P848" s="3"/>
      <c r="Q848" s="3"/>
      <c r="R848" s="5"/>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spans="1:41" ht="15.75" customHeight="1">
      <c r="A849" s="12"/>
      <c r="B849" s="3"/>
      <c r="C849" s="12"/>
      <c r="D849" s="3"/>
      <c r="E849" s="3"/>
      <c r="F849" s="5"/>
      <c r="G849" s="3"/>
      <c r="H849" s="3"/>
      <c r="I849" s="3"/>
      <c r="J849" s="3"/>
      <c r="K849" s="3"/>
      <c r="L849" s="3"/>
      <c r="M849" s="3"/>
      <c r="N849" s="3"/>
      <c r="O849" s="3"/>
      <c r="P849" s="3"/>
      <c r="Q849" s="3"/>
      <c r="R849" s="5"/>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spans="1:41" ht="15.75" customHeight="1">
      <c r="A850" s="12"/>
      <c r="B850" s="3"/>
      <c r="C850" s="12"/>
      <c r="D850" s="3"/>
      <c r="E850" s="3"/>
      <c r="F850" s="5"/>
      <c r="G850" s="3"/>
      <c r="H850" s="3"/>
      <c r="I850" s="3"/>
      <c r="J850" s="3"/>
      <c r="K850" s="3"/>
      <c r="L850" s="3"/>
      <c r="M850" s="3"/>
      <c r="N850" s="3"/>
      <c r="O850" s="3"/>
      <c r="P850" s="3"/>
      <c r="Q850" s="3"/>
      <c r="R850" s="5"/>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spans="1:41" ht="15.75" customHeight="1">
      <c r="A851" s="12"/>
      <c r="B851" s="3"/>
      <c r="C851" s="12"/>
      <c r="D851" s="3"/>
      <c r="E851" s="3"/>
      <c r="F851" s="5"/>
      <c r="G851" s="3"/>
      <c r="H851" s="3"/>
      <c r="I851" s="3"/>
      <c r="J851" s="3"/>
      <c r="K851" s="3"/>
      <c r="L851" s="3"/>
      <c r="M851" s="3"/>
      <c r="N851" s="3"/>
      <c r="O851" s="3"/>
      <c r="P851" s="3"/>
      <c r="Q851" s="3"/>
      <c r="R851" s="5"/>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spans="1:41" ht="15.75" customHeight="1">
      <c r="A852" s="12"/>
      <c r="B852" s="3"/>
      <c r="C852" s="12"/>
      <c r="D852" s="3"/>
      <c r="E852" s="3"/>
      <c r="F852" s="5"/>
      <c r="G852" s="3"/>
      <c r="H852" s="3"/>
      <c r="I852" s="3"/>
      <c r="J852" s="3"/>
      <c r="K852" s="3"/>
      <c r="L852" s="3"/>
      <c r="M852" s="3"/>
      <c r="N852" s="3"/>
      <c r="O852" s="3"/>
      <c r="P852" s="3"/>
      <c r="Q852" s="3"/>
      <c r="R852" s="5"/>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spans="1:41" ht="15.75" customHeight="1">
      <c r="A853" s="12"/>
      <c r="B853" s="3"/>
      <c r="C853" s="12"/>
      <c r="D853" s="3"/>
      <c r="E853" s="3"/>
      <c r="F853" s="5"/>
      <c r="G853" s="3"/>
      <c r="H853" s="3"/>
      <c r="I853" s="3"/>
      <c r="J853" s="3"/>
      <c r="K853" s="3"/>
      <c r="L853" s="3"/>
      <c r="M853" s="3"/>
      <c r="N853" s="3"/>
      <c r="O853" s="3"/>
      <c r="P853" s="3"/>
      <c r="Q853" s="3"/>
      <c r="R853" s="5"/>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spans="1:41" ht="15.75" customHeight="1">
      <c r="A854" s="12"/>
      <c r="B854" s="3"/>
      <c r="C854" s="12"/>
      <c r="D854" s="3"/>
      <c r="E854" s="3"/>
      <c r="F854" s="5"/>
      <c r="G854" s="3"/>
      <c r="H854" s="3"/>
      <c r="I854" s="3"/>
      <c r="J854" s="3"/>
      <c r="K854" s="3"/>
      <c r="L854" s="3"/>
      <c r="M854" s="3"/>
      <c r="N854" s="3"/>
      <c r="O854" s="3"/>
      <c r="P854" s="3"/>
      <c r="Q854" s="3"/>
      <c r="R854" s="5"/>
      <c r="S854" s="3"/>
      <c r="T854" s="3"/>
      <c r="U854" s="3"/>
      <c r="V854" s="3"/>
      <c r="W854" s="3"/>
      <c r="X854" s="3"/>
      <c r="Y854" s="3"/>
      <c r="Z854" s="3"/>
      <c r="AA854" s="3"/>
      <c r="AB854" s="3"/>
      <c r="AC854" s="3"/>
      <c r="AD854" s="3"/>
      <c r="AE854" s="3"/>
      <c r="AF854" s="3"/>
      <c r="AG854" s="3"/>
      <c r="AH854" s="3"/>
      <c r="AI854" s="3"/>
      <c r="AJ854" s="3"/>
      <c r="AK854" s="3"/>
      <c r="AL854" s="3"/>
      <c r="AM854" s="3"/>
      <c r="AN854" s="3"/>
      <c r="AO854" s="3"/>
    </row>
  </sheetData>
  <customSheetViews>
    <customSheetView guid="{FCAF690B-A1CB-4C23-90B1-52725D85E739}" filter="1" showAutoFilter="1">
      <pageMargins left="0.7" right="0.7" top="0.75" bottom="0.75" header="0.3" footer="0.3"/>
      <autoFilter ref="C5:C96" xr:uid="{FAA5EE4B-20BE-472C-9705-6CD08506D996}"/>
    </customSheetView>
  </customSheetViews>
  <mergeCells count="6">
    <mergeCell ref="AB5:AD5"/>
    <mergeCell ref="A1:F3"/>
    <mergeCell ref="A4:D4"/>
    <mergeCell ref="E4:F4"/>
    <mergeCell ref="G4:P4"/>
    <mergeCell ref="W4:Y4"/>
  </mergeCells>
  <conditionalFormatting sqref="A110">
    <cfRule type="expression" dxfId="38" priority="1">
      <formula>COUNTIF(E:E,A110)&gt;1</formula>
    </cfRule>
    <cfRule type="expression" dxfId="37" priority="2">
      <formula>AND(COUNTIF($E$6:E1138,A110)&gt;0,COUNTIF($AB:$AB,A110)&gt;0)</formula>
    </cfRule>
  </conditionalFormatting>
  <conditionalFormatting sqref="E6:E36 E38:E250">
    <cfRule type="expression" dxfId="36" priority="3">
      <formula>COUNTIF(E:E,E6)&gt;1</formula>
    </cfRule>
    <cfRule type="expression" dxfId="35" priority="4">
      <formula>AND(COUNTIF($E$6:E1034,E6)&gt;0,COUNTIF($AB:$AB,E6)&gt;0)</formula>
    </cfRule>
  </conditionalFormatting>
  <conditionalFormatting sqref="E172 X6:X232 Y193 X234:X245">
    <cfRule type="expression" dxfId="34" priority="6">
      <formula>COUNTIF(AQ:AQ,#REF!)&gt;1</formula>
    </cfRule>
  </conditionalFormatting>
  <conditionalFormatting sqref="X6:X232 E172 Y193 X234:X245">
    <cfRule type="expression" dxfId="33" priority="7">
      <formula>AND(COUNTIF($X$6:AQ868,#REF!)&gt;0,COUNTIF($AD:$AE,#REF!)&gt;0)</formula>
    </cfRule>
  </conditionalFormatting>
  <conditionalFormatting sqref="Y6 Y13:Y14 Y16 AD6:AO231">
    <cfRule type="expression" dxfId="32" priority="10">
      <formula>AND(COUNTIF($AD6:$AD1034,Y6)&gt;0,COUNTIF(T:$Y,Y6)&gt;0)</formula>
    </cfRule>
  </conditionalFormatting>
  <conditionalFormatting sqref="Y6:Y250 X21:X22">
    <cfRule type="expression" dxfId="31" priority="8">
      <formula>COUNTIF(Y:Y,Y6)&gt;1</formula>
    </cfRule>
    <cfRule type="expression" dxfId="30" priority="9">
      <formula>AND(COUNTIF($Y$6:Z844,#REF!)&gt;0,COUNTIF($AD:$AE,#REF!)&gt;0)</formula>
    </cfRule>
  </conditionalFormatting>
  <conditionalFormatting sqref="AB6:AB231">
    <cfRule type="expression" dxfId="29" priority="5">
      <formula>AND(COUNTIF($AB6:$AB1034,AB6)&gt;0,COUNTIF($E:E,AB6)&gt;0)</formula>
    </cfRule>
  </conditionalFormatting>
  <dataValidations count="17">
    <dataValidation type="custom" allowBlank="1" showInputMessage="1" prompt="Duplikasi!! judul yang anda masukkan sudah terdapat pada list sebelumnya" sqref="E6:E36 E38:E85 A110 E88:E164 E166:E171 E173:E196 E232:E245" xr:uid="{00000000-0002-0000-0000-000000000000}">
      <formula1>COUNTIF($E$6:$E1034,A6)=1</formula1>
    </dataValidation>
    <dataValidation type="custom" allowBlank="1" showInputMessage="1" prompt="Duplikasi!! judul yang anda masukkan sudah terdapat pada list sebelumnya" sqref="E86" xr:uid="{00000000-0002-0000-0000-000001000000}">
      <formula1>COUNTIF($E$6:$E1115,E86)=1</formula1>
    </dataValidation>
    <dataValidation type="custom" allowBlank="1" showInputMessage="1" prompt="Duplikasi!! judul yang anda masukkan sudah terdapat pada list sebelumnya" sqref="E197:E206" xr:uid="{00000000-0002-0000-0000-000002000000}">
      <formula1>COUNTIF($E$6:$E1222,E197)=1</formula1>
    </dataValidation>
    <dataValidation type="list" allowBlank="1" showInputMessage="1" showErrorMessage="1" prompt=" - " sqref="V6:V245" xr:uid="{00000000-0002-0000-0000-000003000000}">
      <formula1>reppi</formula1>
    </dataValidation>
    <dataValidation type="custom" allowBlank="1" showDropDown="1" showInputMessage="1" prompt="Duplikasi!! judul yang anda masukkan sudah terdapat pada list sebelumnya" sqref="AB6:AB89 AB91:AB109" xr:uid="{00000000-0002-0000-0000-000004000000}">
      <formula1>COUNTIF($E$6:$E1034,AB6)=1</formula1>
    </dataValidation>
    <dataValidation type="list" allowBlank="1" showErrorMessage="1" sqref="T160 F6:F245" xr:uid="{00000000-0002-0000-0000-000005000000}">
      <formula1>kelris</formula1>
    </dataValidation>
    <dataValidation type="list" allowBlank="1" showErrorMessage="1" sqref="G6:P245" xr:uid="{00000000-0002-0000-0000-000006000000}">
      <formula1>nmperiset</formula1>
    </dataValidation>
    <dataValidation type="list" allowBlank="1" showDropDown="1" showErrorMessage="1" sqref="D7:D245" xr:uid="{00000000-0002-0000-0000-000007000000}">
      <formula1>statuskelris</formula1>
    </dataValidation>
    <dataValidation type="list" allowBlank="1" showErrorMessage="1" sqref="U6:U245" xr:uid="{00000000-0002-0000-0000-000008000000}">
      <formula1>index</formula1>
    </dataValidation>
    <dataValidation type="custom" allowBlank="1" showDropDown="1" sqref="B6:B231" xr:uid="{00000000-0002-0000-0000-00000B000000}">
      <formula1>OR(NOT(ISERROR(DATEVALUE(B6))), AND(ISNUMBER(B6), LEFT(CELL("format", B6))="D"))</formula1>
    </dataValidation>
    <dataValidation type="list" allowBlank="1" showInputMessage="1" showErrorMessage="1" prompt=" - " sqref="R6:R245" xr:uid="{00000000-0002-0000-0000-00000C000000}">
      <formula1>jnspi</formula1>
    </dataValidation>
    <dataValidation type="list" allowBlank="1" showInputMessage="1" showErrorMessage="1" prompt=" - " sqref="S6:S245" xr:uid="{00000000-0002-0000-0000-00000D000000}">
      <formula1>statpi</formula1>
    </dataValidation>
    <dataValidation type="list" allowBlank="1" showErrorMessage="1" sqref="C6:C245" xr:uid="{00000000-0002-0000-0000-00000E000000}">
      <formula1>periodestamp</formula1>
    </dataValidation>
    <dataValidation type="custom" allowBlank="1" showInputMessage="1" prompt="Duplikasi!! judul yang anda masukkan sudah terdapat pada list sebelumnya" sqref="E207:E227" xr:uid="{00000000-0002-0000-0000-000012000000}">
      <formula1>COUNTIF($E$6:$E1216,E207)=1</formula1>
    </dataValidation>
    <dataValidation type="custom" allowBlank="1" showInputMessage="1" prompt="Duplikasi!! judul yang anda masukkan sudah terdapat pada list sebelumnya" sqref="E165" xr:uid="{00000000-0002-0000-0000-000014000000}">
      <formula1>COUNTIF($E$6:$E1193,#REF!)=1</formula1>
    </dataValidation>
    <dataValidation type="list" allowBlank="1" showInputMessage="1" showErrorMessage="1" prompt=" - " sqref="AC6:AC89" xr:uid="{00000000-0002-0000-0000-000015000000}">
      <formula1>#REF!</formula1>
    </dataValidation>
    <dataValidation type="custom" allowBlank="1" showInputMessage="1" prompt="Duplikasi!! judul yang anda masukkan sudah terdapat pada list sebelumnya" sqref="E228:E231" xr:uid="{00000000-0002-0000-0000-000018000000}">
      <formula1>COUNTIF($E$6:$E1225,E228)=1</formula1>
    </dataValidation>
  </dataValidations>
  <hyperlinks>
    <hyperlink ref="W6" r:id="rId1" xr:uid="{00000000-0004-0000-0000-000000000000}"/>
    <hyperlink ref="X6" r:id="rId2" xr:uid="{00000000-0004-0000-0000-000001000000}"/>
    <hyperlink ref="Y6" r:id="rId3" xr:uid="{00000000-0004-0000-0000-000002000000}"/>
    <hyperlink ref="AD6" r:id="rId4" xr:uid="{00000000-0004-0000-0000-000003000000}"/>
    <hyperlink ref="W7" r:id="rId5" xr:uid="{00000000-0004-0000-0000-000004000000}"/>
    <hyperlink ref="X7" r:id="rId6" xr:uid="{00000000-0004-0000-0000-000005000000}"/>
    <hyperlink ref="Y7" r:id="rId7" xr:uid="{00000000-0004-0000-0000-000006000000}"/>
    <hyperlink ref="AD7" r:id="rId8" xr:uid="{00000000-0004-0000-0000-000007000000}"/>
    <hyperlink ref="W8" r:id="rId9" xr:uid="{00000000-0004-0000-0000-000008000000}"/>
    <hyperlink ref="X8" r:id="rId10" xr:uid="{00000000-0004-0000-0000-000009000000}"/>
    <hyperlink ref="Y8" r:id="rId11" xr:uid="{00000000-0004-0000-0000-00000A000000}"/>
    <hyperlink ref="AD8" r:id="rId12" xr:uid="{00000000-0004-0000-0000-00000B000000}"/>
    <hyperlink ref="W9" r:id="rId13" xr:uid="{00000000-0004-0000-0000-00000C000000}"/>
    <hyperlink ref="X9" r:id="rId14" xr:uid="{00000000-0004-0000-0000-00000D000000}"/>
    <hyperlink ref="Y9" r:id="rId15" xr:uid="{00000000-0004-0000-0000-00000E000000}"/>
    <hyperlink ref="AD9" r:id="rId16" xr:uid="{00000000-0004-0000-0000-00000F000000}"/>
    <hyperlink ref="W10" r:id="rId17" xr:uid="{00000000-0004-0000-0000-000010000000}"/>
    <hyperlink ref="X10" r:id="rId18" xr:uid="{00000000-0004-0000-0000-000011000000}"/>
    <hyperlink ref="Y10" r:id="rId19" xr:uid="{00000000-0004-0000-0000-000012000000}"/>
    <hyperlink ref="AD10" r:id="rId20" xr:uid="{00000000-0004-0000-0000-000013000000}"/>
    <hyperlink ref="W11" r:id="rId21" xr:uid="{00000000-0004-0000-0000-000014000000}"/>
    <hyperlink ref="X11" r:id="rId22" xr:uid="{00000000-0004-0000-0000-000015000000}"/>
    <hyperlink ref="Y11" r:id="rId23" xr:uid="{00000000-0004-0000-0000-000016000000}"/>
    <hyperlink ref="AD11" r:id="rId24" xr:uid="{00000000-0004-0000-0000-000017000000}"/>
    <hyperlink ref="W12" r:id="rId25" xr:uid="{00000000-0004-0000-0000-000018000000}"/>
    <hyperlink ref="X12" r:id="rId26" xr:uid="{00000000-0004-0000-0000-000019000000}"/>
    <hyperlink ref="Y12" r:id="rId27" xr:uid="{00000000-0004-0000-0000-00001A000000}"/>
    <hyperlink ref="AD12" r:id="rId28" xr:uid="{00000000-0004-0000-0000-00001B000000}"/>
    <hyperlink ref="W13" r:id="rId29" xr:uid="{00000000-0004-0000-0000-00001C000000}"/>
    <hyperlink ref="X13" r:id="rId30" xr:uid="{00000000-0004-0000-0000-00001D000000}"/>
    <hyperlink ref="Y13" r:id="rId31" xr:uid="{00000000-0004-0000-0000-00001E000000}"/>
    <hyperlink ref="AD13" r:id="rId32" xr:uid="{00000000-0004-0000-0000-00001F000000}"/>
    <hyperlink ref="W14" r:id="rId33" xr:uid="{00000000-0004-0000-0000-000020000000}"/>
    <hyperlink ref="X14" r:id="rId34" xr:uid="{00000000-0004-0000-0000-000021000000}"/>
    <hyperlink ref="Y14" r:id="rId35" xr:uid="{00000000-0004-0000-0000-000022000000}"/>
    <hyperlink ref="AD14" r:id="rId36" xr:uid="{00000000-0004-0000-0000-000023000000}"/>
    <hyperlink ref="W15" r:id="rId37" xr:uid="{00000000-0004-0000-0000-000024000000}"/>
    <hyperlink ref="X15" r:id="rId38" xr:uid="{00000000-0004-0000-0000-000025000000}"/>
    <hyperlink ref="Y15" r:id="rId39" xr:uid="{00000000-0004-0000-0000-000026000000}"/>
    <hyperlink ref="AD15" r:id="rId40" xr:uid="{00000000-0004-0000-0000-000027000000}"/>
    <hyperlink ref="W16" r:id="rId41" xr:uid="{00000000-0004-0000-0000-000028000000}"/>
    <hyperlink ref="X16" r:id="rId42" xr:uid="{00000000-0004-0000-0000-000029000000}"/>
    <hyperlink ref="Y16" r:id="rId43" xr:uid="{00000000-0004-0000-0000-00002A000000}"/>
    <hyperlink ref="W17" r:id="rId44" xr:uid="{00000000-0004-0000-0000-00002B000000}"/>
    <hyperlink ref="X17" r:id="rId45" xr:uid="{00000000-0004-0000-0000-00002C000000}"/>
    <hyperlink ref="Y17" r:id="rId46" xr:uid="{00000000-0004-0000-0000-00002D000000}"/>
    <hyperlink ref="AD17" r:id="rId47" xr:uid="{00000000-0004-0000-0000-00002E000000}"/>
    <hyperlink ref="W18" r:id="rId48" xr:uid="{00000000-0004-0000-0000-00002F000000}"/>
    <hyperlink ref="AD18" r:id="rId49" xr:uid="{00000000-0004-0000-0000-000030000000}"/>
    <hyperlink ref="W19" r:id="rId50" xr:uid="{00000000-0004-0000-0000-000031000000}"/>
    <hyperlink ref="X19" r:id="rId51" xr:uid="{00000000-0004-0000-0000-000032000000}"/>
    <hyperlink ref="Y19" r:id="rId52" xr:uid="{00000000-0004-0000-0000-000033000000}"/>
    <hyperlink ref="AD19" r:id="rId53" xr:uid="{00000000-0004-0000-0000-000034000000}"/>
    <hyperlink ref="W20" r:id="rId54" xr:uid="{00000000-0004-0000-0000-000035000000}"/>
    <hyperlink ref="X20" r:id="rId55" xr:uid="{00000000-0004-0000-0000-000036000000}"/>
    <hyperlink ref="AD20" r:id="rId56" xr:uid="{00000000-0004-0000-0000-000037000000}"/>
    <hyperlink ref="W21" r:id="rId57" xr:uid="{00000000-0004-0000-0000-000038000000}"/>
    <hyperlink ref="X21" r:id="rId58" xr:uid="{00000000-0004-0000-0000-000039000000}"/>
    <hyperlink ref="Y21" r:id="rId59" xr:uid="{00000000-0004-0000-0000-00003A000000}"/>
    <hyperlink ref="AA21" r:id="rId60" xr:uid="{00000000-0004-0000-0000-00003B000000}"/>
    <hyperlink ref="AD21" r:id="rId61" xr:uid="{00000000-0004-0000-0000-00003C000000}"/>
    <hyperlink ref="W22" r:id="rId62" xr:uid="{00000000-0004-0000-0000-00003D000000}"/>
    <hyperlink ref="X22" r:id="rId63" xr:uid="{00000000-0004-0000-0000-00003E000000}"/>
    <hyperlink ref="Y22" r:id="rId64" xr:uid="{00000000-0004-0000-0000-00003F000000}"/>
    <hyperlink ref="AA22" r:id="rId65" xr:uid="{00000000-0004-0000-0000-000040000000}"/>
    <hyperlink ref="AD22" r:id="rId66" xr:uid="{00000000-0004-0000-0000-000041000000}"/>
    <hyperlink ref="W23" r:id="rId67" xr:uid="{00000000-0004-0000-0000-000042000000}"/>
    <hyperlink ref="X23" r:id="rId68" xr:uid="{00000000-0004-0000-0000-000043000000}"/>
    <hyperlink ref="Y23" r:id="rId69" xr:uid="{00000000-0004-0000-0000-000044000000}"/>
    <hyperlink ref="AD23" r:id="rId70" xr:uid="{00000000-0004-0000-0000-000045000000}"/>
    <hyperlink ref="W24" r:id="rId71" xr:uid="{00000000-0004-0000-0000-000046000000}"/>
    <hyperlink ref="X24" r:id="rId72" xr:uid="{00000000-0004-0000-0000-000047000000}"/>
    <hyperlink ref="Y24" r:id="rId73" xr:uid="{00000000-0004-0000-0000-000048000000}"/>
    <hyperlink ref="AD24" r:id="rId74" xr:uid="{00000000-0004-0000-0000-000049000000}"/>
    <hyperlink ref="W25" r:id="rId75" xr:uid="{00000000-0004-0000-0000-00004A000000}"/>
    <hyperlink ref="X25" r:id="rId76" xr:uid="{00000000-0004-0000-0000-00004B000000}"/>
    <hyperlink ref="Y25" r:id="rId77" xr:uid="{00000000-0004-0000-0000-00004C000000}"/>
    <hyperlink ref="AD25" r:id="rId78" xr:uid="{00000000-0004-0000-0000-00004D000000}"/>
    <hyperlink ref="W26" r:id="rId79" xr:uid="{00000000-0004-0000-0000-00004E000000}"/>
    <hyperlink ref="X26" r:id="rId80" xr:uid="{00000000-0004-0000-0000-00004F000000}"/>
    <hyperlink ref="Y26" r:id="rId81" xr:uid="{00000000-0004-0000-0000-000050000000}"/>
    <hyperlink ref="AD26" r:id="rId82" xr:uid="{00000000-0004-0000-0000-000051000000}"/>
    <hyperlink ref="W27" r:id="rId83" xr:uid="{00000000-0004-0000-0000-000052000000}"/>
    <hyperlink ref="X27" r:id="rId84" xr:uid="{00000000-0004-0000-0000-000053000000}"/>
    <hyperlink ref="Y27" r:id="rId85" xr:uid="{00000000-0004-0000-0000-000054000000}"/>
    <hyperlink ref="AD27" r:id="rId86" xr:uid="{00000000-0004-0000-0000-000055000000}"/>
    <hyperlink ref="W28" r:id="rId87" xr:uid="{00000000-0004-0000-0000-000056000000}"/>
    <hyperlink ref="X28" r:id="rId88" xr:uid="{00000000-0004-0000-0000-000057000000}"/>
    <hyperlink ref="Y28" r:id="rId89" xr:uid="{00000000-0004-0000-0000-000058000000}"/>
    <hyperlink ref="AD28" r:id="rId90" xr:uid="{00000000-0004-0000-0000-000059000000}"/>
    <hyperlink ref="W29" r:id="rId91" xr:uid="{00000000-0004-0000-0000-00005A000000}"/>
    <hyperlink ref="X29" r:id="rId92" xr:uid="{00000000-0004-0000-0000-00005B000000}"/>
    <hyperlink ref="Y29" r:id="rId93" xr:uid="{00000000-0004-0000-0000-00005C000000}"/>
    <hyperlink ref="AD29" r:id="rId94" xr:uid="{00000000-0004-0000-0000-00005D000000}"/>
    <hyperlink ref="W30" r:id="rId95" xr:uid="{00000000-0004-0000-0000-00005E000000}"/>
    <hyperlink ref="X30" r:id="rId96" xr:uid="{00000000-0004-0000-0000-00005F000000}"/>
    <hyperlink ref="Y30" r:id="rId97" xr:uid="{00000000-0004-0000-0000-000060000000}"/>
    <hyperlink ref="AD30" r:id="rId98" xr:uid="{00000000-0004-0000-0000-000061000000}"/>
    <hyperlink ref="W31" r:id="rId99" xr:uid="{00000000-0004-0000-0000-000062000000}"/>
    <hyperlink ref="X31" r:id="rId100" xr:uid="{00000000-0004-0000-0000-000063000000}"/>
    <hyperlink ref="Y31" r:id="rId101" xr:uid="{00000000-0004-0000-0000-000064000000}"/>
    <hyperlink ref="AD31" r:id="rId102" xr:uid="{00000000-0004-0000-0000-000065000000}"/>
    <hyperlink ref="W32" r:id="rId103" xr:uid="{00000000-0004-0000-0000-000066000000}"/>
    <hyperlink ref="X32" r:id="rId104" xr:uid="{00000000-0004-0000-0000-000067000000}"/>
    <hyperlink ref="Y32" r:id="rId105" xr:uid="{00000000-0004-0000-0000-000068000000}"/>
    <hyperlink ref="AD32" r:id="rId106" xr:uid="{00000000-0004-0000-0000-000069000000}"/>
    <hyperlink ref="W33" r:id="rId107" xr:uid="{00000000-0004-0000-0000-00006A000000}"/>
    <hyperlink ref="X33" r:id="rId108" xr:uid="{00000000-0004-0000-0000-00006B000000}"/>
    <hyperlink ref="Y33" r:id="rId109" xr:uid="{00000000-0004-0000-0000-00006C000000}"/>
    <hyperlink ref="AD33" r:id="rId110" xr:uid="{00000000-0004-0000-0000-00006D000000}"/>
    <hyperlink ref="W34" r:id="rId111" xr:uid="{00000000-0004-0000-0000-00006E000000}"/>
    <hyperlink ref="X34" r:id="rId112" xr:uid="{00000000-0004-0000-0000-00006F000000}"/>
    <hyperlink ref="Y34" r:id="rId113" xr:uid="{00000000-0004-0000-0000-000070000000}"/>
    <hyperlink ref="AD34" r:id="rId114" xr:uid="{00000000-0004-0000-0000-000071000000}"/>
    <hyperlink ref="W35" r:id="rId115" xr:uid="{00000000-0004-0000-0000-000072000000}"/>
    <hyperlink ref="X35" r:id="rId116" xr:uid="{00000000-0004-0000-0000-000073000000}"/>
    <hyperlink ref="Y35" r:id="rId117" xr:uid="{00000000-0004-0000-0000-000074000000}"/>
    <hyperlink ref="AD35" r:id="rId118" xr:uid="{00000000-0004-0000-0000-000075000000}"/>
    <hyperlink ref="W36" r:id="rId119" xr:uid="{00000000-0004-0000-0000-000076000000}"/>
    <hyperlink ref="X36" r:id="rId120" xr:uid="{00000000-0004-0000-0000-000077000000}"/>
    <hyperlink ref="Y36" r:id="rId121" xr:uid="{00000000-0004-0000-0000-000078000000}"/>
    <hyperlink ref="AD36" r:id="rId122" xr:uid="{00000000-0004-0000-0000-000079000000}"/>
    <hyperlink ref="W37" r:id="rId123" xr:uid="{00000000-0004-0000-0000-00007A000000}"/>
    <hyperlink ref="X37" r:id="rId124" xr:uid="{00000000-0004-0000-0000-00007B000000}"/>
    <hyperlink ref="Y37" r:id="rId125" xr:uid="{00000000-0004-0000-0000-00007C000000}"/>
    <hyperlink ref="AD37" r:id="rId126" xr:uid="{00000000-0004-0000-0000-00007D000000}"/>
    <hyperlink ref="W38" r:id="rId127" xr:uid="{00000000-0004-0000-0000-00007E000000}"/>
    <hyperlink ref="X38" r:id="rId128" xr:uid="{00000000-0004-0000-0000-00007F000000}"/>
    <hyperlink ref="Y38" r:id="rId129" xr:uid="{00000000-0004-0000-0000-000080000000}"/>
    <hyperlink ref="AD38" r:id="rId130" xr:uid="{00000000-0004-0000-0000-000081000000}"/>
    <hyperlink ref="W39" r:id="rId131" xr:uid="{00000000-0004-0000-0000-000082000000}"/>
    <hyperlink ref="X39" r:id="rId132" xr:uid="{00000000-0004-0000-0000-000083000000}"/>
    <hyperlink ref="Y39" r:id="rId133" xr:uid="{00000000-0004-0000-0000-000084000000}"/>
    <hyperlink ref="AD39" r:id="rId134" xr:uid="{00000000-0004-0000-0000-000085000000}"/>
    <hyperlink ref="W40" r:id="rId135" xr:uid="{00000000-0004-0000-0000-000086000000}"/>
    <hyperlink ref="X40" r:id="rId136" xr:uid="{00000000-0004-0000-0000-000087000000}"/>
    <hyperlink ref="Y40" r:id="rId137" xr:uid="{00000000-0004-0000-0000-000088000000}"/>
    <hyperlink ref="AD40" r:id="rId138" xr:uid="{00000000-0004-0000-0000-000089000000}"/>
    <hyperlink ref="W41" r:id="rId139" xr:uid="{00000000-0004-0000-0000-00008A000000}"/>
    <hyperlink ref="X41" r:id="rId140" xr:uid="{00000000-0004-0000-0000-00008B000000}"/>
    <hyperlink ref="Y41" r:id="rId141" xr:uid="{00000000-0004-0000-0000-00008C000000}"/>
    <hyperlink ref="AD41" r:id="rId142" xr:uid="{00000000-0004-0000-0000-00008D000000}"/>
    <hyperlink ref="W42" r:id="rId143" xr:uid="{00000000-0004-0000-0000-00008E000000}"/>
    <hyperlink ref="X42" r:id="rId144" xr:uid="{00000000-0004-0000-0000-00008F000000}"/>
    <hyperlink ref="Y42" r:id="rId145" xr:uid="{00000000-0004-0000-0000-000090000000}"/>
    <hyperlink ref="AD42" r:id="rId146" xr:uid="{00000000-0004-0000-0000-000091000000}"/>
    <hyperlink ref="W43" r:id="rId147" xr:uid="{00000000-0004-0000-0000-000092000000}"/>
    <hyperlink ref="X43" r:id="rId148" xr:uid="{00000000-0004-0000-0000-000093000000}"/>
    <hyperlink ref="AD43" r:id="rId149" xr:uid="{00000000-0004-0000-0000-000094000000}"/>
    <hyperlink ref="W44" r:id="rId150" xr:uid="{00000000-0004-0000-0000-000095000000}"/>
    <hyperlink ref="X44" r:id="rId151" xr:uid="{00000000-0004-0000-0000-000096000000}"/>
    <hyperlink ref="Y44" r:id="rId152" xr:uid="{00000000-0004-0000-0000-000097000000}"/>
    <hyperlink ref="AD44" r:id="rId153" xr:uid="{00000000-0004-0000-0000-000098000000}"/>
    <hyperlink ref="W45" r:id="rId154" xr:uid="{00000000-0004-0000-0000-000099000000}"/>
    <hyperlink ref="X45" r:id="rId155" xr:uid="{00000000-0004-0000-0000-00009A000000}"/>
    <hyperlink ref="Y45" r:id="rId156" xr:uid="{00000000-0004-0000-0000-00009B000000}"/>
    <hyperlink ref="AD45" r:id="rId157" xr:uid="{00000000-0004-0000-0000-00009C000000}"/>
    <hyperlink ref="W46" r:id="rId158" xr:uid="{00000000-0004-0000-0000-00009D000000}"/>
    <hyperlink ref="AD46" r:id="rId159" xr:uid="{00000000-0004-0000-0000-00009E000000}"/>
    <hyperlink ref="W47" r:id="rId160" xr:uid="{00000000-0004-0000-0000-00009F000000}"/>
    <hyperlink ref="X47" r:id="rId161" xr:uid="{00000000-0004-0000-0000-0000A0000000}"/>
    <hyperlink ref="Y47" r:id="rId162" xr:uid="{00000000-0004-0000-0000-0000A1000000}"/>
    <hyperlink ref="AD47" r:id="rId163" xr:uid="{00000000-0004-0000-0000-0000A2000000}"/>
    <hyperlink ref="W48" r:id="rId164" xr:uid="{00000000-0004-0000-0000-0000A3000000}"/>
    <hyperlink ref="AD48" r:id="rId165" xr:uid="{00000000-0004-0000-0000-0000A4000000}"/>
    <hyperlink ref="W49" r:id="rId166" xr:uid="{00000000-0004-0000-0000-0000A5000000}"/>
    <hyperlink ref="X49" r:id="rId167" xr:uid="{00000000-0004-0000-0000-0000A6000000}"/>
    <hyperlink ref="Y49" r:id="rId168" xr:uid="{00000000-0004-0000-0000-0000A7000000}"/>
    <hyperlink ref="AD49" r:id="rId169" xr:uid="{00000000-0004-0000-0000-0000A8000000}"/>
    <hyperlink ref="G50" r:id="rId170" xr:uid="{00000000-0004-0000-0000-0000A9000000}"/>
    <hyperlink ref="W50" r:id="rId171" xr:uid="{00000000-0004-0000-0000-0000AA000000}"/>
    <hyperlink ref="X50" r:id="rId172" xr:uid="{00000000-0004-0000-0000-0000AB000000}"/>
    <hyperlink ref="Y50" r:id="rId173" xr:uid="{00000000-0004-0000-0000-0000AC000000}"/>
    <hyperlink ref="AD50" r:id="rId174" xr:uid="{00000000-0004-0000-0000-0000AD000000}"/>
    <hyperlink ref="W51" r:id="rId175" xr:uid="{00000000-0004-0000-0000-0000AE000000}"/>
    <hyperlink ref="X51" r:id="rId176" xr:uid="{00000000-0004-0000-0000-0000AF000000}"/>
    <hyperlink ref="Y51" r:id="rId177" xr:uid="{00000000-0004-0000-0000-0000B0000000}"/>
    <hyperlink ref="AD51" r:id="rId178" xr:uid="{00000000-0004-0000-0000-0000B1000000}"/>
    <hyperlink ref="W52" r:id="rId179" xr:uid="{00000000-0004-0000-0000-0000B2000000}"/>
    <hyperlink ref="X52" r:id="rId180" xr:uid="{00000000-0004-0000-0000-0000B3000000}"/>
    <hyperlink ref="Y52" r:id="rId181" xr:uid="{00000000-0004-0000-0000-0000B4000000}"/>
    <hyperlink ref="AD52" r:id="rId182" xr:uid="{00000000-0004-0000-0000-0000B5000000}"/>
    <hyperlink ref="G53" r:id="rId183" xr:uid="{00000000-0004-0000-0000-0000B6000000}"/>
    <hyperlink ref="W53" r:id="rId184" xr:uid="{00000000-0004-0000-0000-0000B7000000}"/>
    <hyperlink ref="X53" r:id="rId185" xr:uid="{00000000-0004-0000-0000-0000B8000000}"/>
    <hyperlink ref="Y53" r:id="rId186" xr:uid="{00000000-0004-0000-0000-0000B9000000}"/>
    <hyperlink ref="AD53" r:id="rId187" xr:uid="{00000000-0004-0000-0000-0000BA000000}"/>
    <hyperlink ref="W54" r:id="rId188" xr:uid="{00000000-0004-0000-0000-0000BB000000}"/>
    <hyperlink ref="X54" r:id="rId189" xr:uid="{00000000-0004-0000-0000-0000BC000000}"/>
    <hyperlink ref="Y54" r:id="rId190" xr:uid="{00000000-0004-0000-0000-0000BD000000}"/>
    <hyperlink ref="AD54" r:id="rId191" xr:uid="{00000000-0004-0000-0000-0000BE000000}"/>
    <hyperlink ref="L55" r:id="rId192" xr:uid="{00000000-0004-0000-0000-0000BF000000}"/>
    <hyperlink ref="P55" r:id="rId193" xr:uid="{00000000-0004-0000-0000-0000C0000000}"/>
    <hyperlink ref="W55" r:id="rId194" xr:uid="{00000000-0004-0000-0000-0000C1000000}"/>
    <hyperlink ref="X55" r:id="rId195" xr:uid="{00000000-0004-0000-0000-0000C2000000}"/>
    <hyperlink ref="Y55" r:id="rId196" xr:uid="{00000000-0004-0000-0000-0000C3000000}"/>
    <hyperlink ref="AD55" r:id="rId197" xr:uid="{00000000-0004-0000-0000-0000C4000000}"/>
    <hyperlink ref="W56" r:id="rId198" xr:uid="{00000000-0004-0000-0000-0000C5000000}"/>
    <hyperlink ref="X56" r:id="rId199" xr:uid="{00000000-0004-0000-0000-0000C6000000}"/>
    <hyperlink ref="Y56" r:id="rId200" xr:uid="{00000000-0004-0000-0000-0000C7000000}"/>
    <hyperlink ref="AD56" r:id="rId201" xr:uid="{00000000-0004-0000-0000-0000C8000000}"/>
    <hyperlink ref="X57" r:id="rId202" xr:uid="{00000000-0004-0000-0000-0000C9000000}"/>
    <hyperlink ref="Y57" r:id="rId203" xr:uid="{00000000-0004-0000-0000-0000CA000000}"/>
    <hyperlink ref="AD57" r:id="rId204" xr:uid="{00000000-0004-0000-0000-0000CB000000}"/>
    <hyperlink ref="W58" r:id="rId205" xr:uid="{00000000-0004-0000-0000-0000CC000000}"/>
    <hyperlink ref="AD58" r:id="rId206" xr:uid="{00000000-0004-0000-0000-0000CD000000}"/>
    <hyperlink ref="W59" r:id="rId207" xr:uid="{00000000-0004-0000-0000-0000CE000000}"/>
    <hyperlink ref="AD59" r:id="rId208" xr:uid="{00000000-0004-0000-0000-0000CF000000}"/>
    <hyperlink ref="W60" r:id="rId209" xr:uid="{00000000-0004-0000-0000-0000D0000000}"/>
    <hyperlink ref="X60" r:id="rId210" xr:uid="{00000000-0004-0000-0000-0000D1000000}"/>
    <hyperlink ref="Y60" r:id="rId211" xr:uid="{00000000-0004-0000-0000-0000D2000000}"/>
    <hyperlink ref="AD60" r:id="rId212" xr:uid="{00000000-0004-0000-0000-0000D3000000}"/>
    <hyperlink ref="W61" r:id="rId213" xr:uid="{00000000-0004-0000-0000-0000D4000000}"/>
    <hyperlink ref="X61" r:id="rId214" xr:uid="{00000000-0004-0000-0000-0000D5000000}"/>
    <hyperlink ref="Y61" r:id="rId215" xr:uid="{00000000-0004-0000-0000-0000D6000000}"/>
    <hyperlink ref="AD61" r:id="rId216" xr:uid="{00000000-0004-0000-0000-0000D7000000}"/>
    <hyperlink ref="W62" r:id="rId217" xr:uid="{00000000-0004-0000-0000-0000D8000000}"/>
    <hyperlink ref="AD62" r:id="rId218" xr:uid="{00000000-0004-0000-0000-0000D9000000}"/>
    <hyperlink ref="W63" r:id="rId219" xr:uid="{00000000-0004-0000-0000-0000DA000000}"/>
    <hyperlink ref="X63" r:id="rId220" xr:uid="{00000000-0004-0000-0000-0000DB000000}"/>
    <hyperlink ref="Y63" r:id="rId221" xr:uid="{00000000-0004-0000-0000-0000DC000000}"/>
    <hyperlink ref="W64" r:id="rId222" xr:uid="{00000000-0004-0000-0000-0000DD000000}"/>
    <hyperlink ref="X64" r:id="rId223" xr:uid="{00000000-0004-0000-0000-0000DE000000}"/>
    <hyperlink ref="Y64" r:id="rId224" xr:uid="{00000000-0004-0000-0000-0000DF000000}"/>
    <hyperlink ref="AD64" r:id="rId225" xr:uid="{00000000-0004-0000-0000-0000E0000000}"/>
    <hyperlink ref="W65" r:id="rId226" xr:uid="{00000000-0004-0000-0000-0000E1000000}"/>
    <hyperlink ref="X65" r:id="rId227" xr:uid="{00000000-0004-0000-0000-0000E2000000}"/>
    <hyperlink ref="Y65" r:id="rId228" xr:uid="{00000000-0004-0000-0000-0000E3000000}"/>
    <hyperlink ref="AD65" r:id="rId229" xr:uid="{00000000-0004-0000-0000-0000E4000000}"/>
    <hyperlink ref="W66" r:id="rId230" xr:uid="{00000000-0004-0000-0000-0000E5000000}"/>
    <hyperlink ref="X66" r:id="rId231" xr:uid="{00000000-0004-0000-0000-0000E6000000}"/>
    <hyperlink ref="Y66" r:id="rId232" xr:uid="{00000000-0004-0000-0000-0000E7000000}"/>
    <hyperlink ref="AD66" r:id="rId233" xr:uid="{00000000-0004-0000-0000-0000E8000000}"/>
    <hyperlink ref="J67" r:id="rId234" xr:uid="{00000000-0004-0000-0000-0000E9000000}"/>
    <hyperlink ref="K67" r:id="rId235" xr:uid="{00000000-0004-0000-0000-0000EA000000}"/>
    <hyperlink ref="W67" r:id="rId236" xr:uid="{00000000-0004-0000-0000-0000EB000000}"/>
    <hyperlink ref="X67" r:id="rId237" xr:uid="{00000000-0004-0000-0000-0000EC000000}"/>
    <hyperlink ref="Y67" r:id="rId238" xr:uid="{00000000-0004-0000-0000-0000ED000000}"/>
    <hyperlink ref="AD67" r:id="rId239" xr:uid="{00000000-0004-0000-0000-0000EE000000}"/>
    <hyperlink ref="W68" r:id="rId240" xr:uid="{00000000-0004-0000-0000-0000EF000000}"/>
    <hyperlink ref="X68" r:id="rId241" xr:uid="{00000000-0004-0000-0000-0000F0000000}"/>
    <hyperlink ref="Y68" r:id="rId242" xr:uid="{00000000-0004-0000-0000-0000F1000000}"/>
    <hyperlink ref="AD68" r:id="rId243" xr:uid="{00000000-0004-0000-0000-0000F2000000}"/>
    <hyperlink ref="H69" r:id="rId244" xr:uid="{00000000-0004-0000-0000-0000F3000000}"/>
    <hyperlink ref="W69" r:id="rId245" xr:uid="{00000000-0004-0000-0000-0000F4000000}"/>
    <hyperlink ref="X69" r:id="rId246" xr:uid="{00000000-0004-0000-0000-0000F5000000}"/>
    <hyperlink ref="Y69" r:id="rId247" xr:uid="{00000000-0004-0000-0000-0000F6000000}"/>
    <hyperlink ref="AD69" r:id="rId248" xr:uid="{00000000-0004-0000-0000-0000F7000000}"/>
    <hyperlink ref="W70" r:id="rId249" xr:uid="{00000000-0004-0000-0000-0000F8000000}"/>
    <hyperlink ref="X70" r:id="rId250" xr:uid="{00000000-0004-0000-0000-0000F9000000}"/>
    <hyperlink ref="Y70" r:id="rId251" xr:uid="{00000000-0004-0000-0000-0000FA000000}"/>
    <hyperlink ref="AD70" r:id="rId252" xr:uid="{00000000-0004-0000-0000-0000FB000000}"/>
    <hyperlink ref="W71" r:id="rId253" xr:uid="{00000000-0004-0000-0000-0000FC000000}"/>
    <hyperlink ref="X71" r:id="rId254" xr:uid="{00000000-0004-0000-0000-0000FD000000}"/>
    <hyperlink ref="Y71" r:id="rId255" xr:uid="{00000000-0004-0000-0000-0000FE000000}"/>
    <hyperlink ref="AD71" r:id="rId256" xr:uid="{00000000-0004-0000-0000-0000FF000000}"/>
    <hyperlink ref="W72" r:id="rId257" xr:uid="{00000000-0004-0000-0000-000000010000}"/>
    <hyperlink ref="X72" r:id="rId258" xr:uid="{00000000-0004-0000-0000-000001010000}"/>
    <hyperlink ref="Y72" r:id="rId259" xr:uid="{00000000-0004-0000-0000-000002010000}"/>
    <hyperlink ref="AD72" r:id="rId260" xr:uid="{00000000-0004-0000-0000-000003010000}"/>
    <hyperlink ref="W73" r:id="rId261" xr:uid="{00000000-0004-0000-0000-000004010000}"/>
    <hyperlink ref="X73" r:id="rId262" xr:uid="{00000000-0004-0000-0000-000005010000}"/>
    <hyperlink ref="Y73" r:id="rId263" xr:uid="{00000000-0004-0000-0000-000006010000}"/>
    <hyperlink ref="AD73" r:id="rId264" xr:uid="{00000000-0004-0000-0000-000007010000}"/>
    <hyperlink ref="W74" r:id="rId265" xr:uid="{00000000-0004-0000-0000-000008010000}"/>
    <hyperlink ref="AD74" r:id="rId266" xr:uid="{00000000-0004-0000-0000-000009010000}"/>
    <hyperlink ref="W75" r:id="rId267" xr:uid="{00000000-0004-0000-0000-00000A010000}"/>
    <hyperlink ref="X75" r:id="rId268" xr:uid="{00000000-0004-0000-0000-00000B010000}"/>
    <hyperlink ref="Y75" r:id="rId269" xr:uid="{00000000-0004-0000-0000-00000C010000}"/>
    <hyperlink ref="AD75" r:id="rId270" xr:uid="{00000000-0004-0000-0000-00000D010000}"/>
    <hyperlink ref="W76" r:id="rId271" xr:uid="{00000000-0004-0000-0000-00000E010000}"/>
    <hyperlink ref="X76" r:id="rId272" xr:uid="{00000000-0004-0000-0000-00000F010000}"/>
    <hyperlink ref="Y76" r:id="rId273" xr:uid="{00000000-0004-0000-0000-000010010000}"/>
    <hyperlink ref="AD76" r:id="rId274" xr:uid="{00000000-0004-0000-0000-000011010000}"/>
    <hyperlink ref="W77" r:id="rId275" xr:uid="{00000000-0004-0000-0000-000012010000}"/>
    <hyperlink ref="AD77" r:id="rId276" xr:uid="{00000000-0004-0000-0000-000013010000}"/>
    <hyperlink ref="W78" r:id="rId277" xr:uid="{00000000-0004-0000-0000-000014010000}"/>
    <hyperlink ref="X78" r:id="rId278" xr:uid="{00000000-0004-0000-0000-000015010000}"/>
    <hyperlink ref="AD78" r:id="rId279" xr:uid="{00000000-0004-0000-0000-000016010000}"/>
    <hyperlink ref="W79" r:id="rId280" xr:uid="{00000000-0004-0000-0000-000017010000}"/>
    <hyperlink ref="AD79" r:id="rId281" xr:uid="{00000000-0004-0000-0000-000018010000}"/>
    <hyperlink ref="W80" r:id="rId282" xr:uid="{00000000-0004-0000-0000-000019010000}"/>
    <hyperlink ref="AD80" r:id="rId283" xr:uid="{00000000-0004-0000-0000-00001A010000}"/>
    <hyperlink ref="W81" r:id="rId284" xr:uid="{00000000-0004-0000-0000-00001B010000}"/>
    <hyperlink ref="AD81" r:id="rId285" xr:uid="{00000000-0004-0000-0000-00001C010000}"/>
    <hyperlink ref="W82" r:id="rId286" xr:uid="{00000000-0004-0000-0000-00001D010000}"/>
    <hyperlink ref="AD82" r:id="rId287" xr:uid="{00000000-0004-0000-0000-00001E010000}"/>
    <hyperlink ref="W83" r:id="rId288" xr:uid="{00000000-0004-0000-0000-00001F010000}"/>
    <hyperlink ref="AD83" r:id="rId289" xr:uid="{00000000-0004-0000-0000-000020010000}"/>
    <hyperlink ref="W84" r:id="rId290" xr:uid="{00000000-0004-0000-0000-000021010000}"/>
    <hyperlink ref="AD84" r:id="rId291" xr:uid="{00000000-0004-0000-0000-000022010000}"/>
    <hyperlink ref="W85" r:id="rId292" xr:uid="{00000000-0004-0000-0000-000023010000}"/>
    <hyperlink ref="AD85" r:id="rId293" xr:uid="{00000000-0004-0000-0000-000024010000}"/>
    <hyperlink ref="W86" r:id="rId294" xr:uid="{00000000-0004-0000-0000-000025010000}"/>
    <hyperlink ref="AD86" r:id="rId295" xr:uid="{00000000-0004-0000-0000-000026010000}"/>
    <hyperlink ref="W87" r:id="rId296" xr:uid="{00000000-0004-0000-0000-000027010000}"/>
    <hyperlink ref="AD87" r:id="rId297" xr:uid="{00000000-0004-0000-0000-000028010000}"/>
    <hyperlink ref="W88" r:id="rId298" xr:uid="{00000000-0004-0000-0000-000029010000}"/>
    <hyperlink ref="AD88" r:id="rId299" xr:uid="{00000000-0004-0000-0000-00002A010000}"/>
    <hyperlink ref="W89" r:id="rId300" xr:uid="{00000000-0004-0000-0000-00002B010000}"/>
    <hyperlink ref="AD89" r:id="rId301" xr:uid="{00000000-0004-0000-0000-00002C010000}"/>
    <hyperlink ref="G90" r:id="rId302" xr:uid="{00000000-0004-0000-0000-00002D010000}"/>
    <hyperlink ref="W90" r:id="rId303" xr:uid="{00000000-0004-0000-0000-00002E010000}"/>
    <hyperlink ref="AD90" r:id="rId304" xr:uid="{00000000-0004-0000-0000-00002F010000}"/>
    <hyperlink ref="W91" r:id="rId305" xr:uid="{00000000-0004-0000-0000-000030010000}"/>
    <hyperlink ref="AD91" r:id="rId306" xr:uid="{00000000-0004-0000-0000-000031010000}"/>
    <hyperlink ref="W92" r:id="rId307" xr:uid="{00000000-0004-0000-0000-000032010000}"/>
    <hyperlink ref="AD92" r:id="rId308" xr:uid="{00000000-0004-0000-0000-000033010000}"/>
    <hyperlink ref="W93" r:id="rId309" xr:uid="{00000000-0004-0000-0000-000034010000}"/>
    <hyperlink ref="AD93" r:id="rId310" xr:uid="{00000000-0004-0000-0000-000035010000}"/>
    <hyperlink ref="W94" r:id="rId311" xr:uid="{00000000-0004-0000-0000-000036010000}"/>
    <hyperlink ref="AD94" r:id="rId312" xr:uid="{00000000-0004-0000-0000-000037010000}"/>
    <hyperlink ref="W95" r:id="rId313" xr:uid="{00000000-0004-0000-0000-000038010000}"/>
    <hyperlink ref="AD95" r:id="rId314" xr:uid="{00000000-0004-0000-0000-000039010000}"/>
    <hyperlink ref="W96" r:id="rId315" xr:uid="{00000000-0004-0000-0000-00003A010000}"/>
    <hyperlink ref="AD96" r:id="rId316" xr:uid="{00000000-0004-0000-0000-00003B010000}"/>
    <hyperlink ref="W97" r:id="rId317" xr:uid="{00000000-0004-0000-0000-00003C010000}"/>
    <hyperlink ref="X97" r:id="rId318" xr:uid="{00000000-0004-0000-0000-00003D010000}"/>
    <hyperlink ref="Y97" r:id="rId319" xr:uid="{00000000-0004-0000-0000-00003E010000}"/>
    <hyperlink ref="AD97" r:id="rId320" xr:uid="{00000000-0004-0000-0000-00003F010000}"/>
    <hyperlink ref="W98" r:id="rId321" xr:uid="{00000000-0004-0000-0000-000040010000}"/>
    <hyperlink ref="X98" r:id="rId322" xr:uid="{00000000-0004-0000-0000-000041010000}"/>
    <hyperlink ref="Y98" r:id="rId323" xr:uid="{00000000-0004-0000-0000-000042010000}"/>
    <hyperlink ref="AD98" r:id="rId324" xr:uid="{00000000-0004-0000-0000-000043010000}"/>
    <hyperlink ref="W99" r:id="rId325" xr:uid="{00000000-0004-0000-0000-000044010000}"/>
    <hyperlink ref="AD99" r:id="rId326" xr:uid="{00000000-0004-0000-0000-000045010000}"/>
    <hyperlink ref="W100" r:id="rId327" xr:uid="{00000000-0004-0000-0000-000046010000}"/>
    <hyperlink ref="X100" r:id="rId328" xr:uid="{00000000-0004-0000-0000-000047010000}"/>
    <hyperlink ref="Y100" r:id="rId329" xr:uid="{00000000-0004-0000-0000-000048010000}"/>
    <hyperlink ref="AD100" r:id="rId330" xr:uid="{00000000-0004-0000-0000-000049010000}"/>
    <hyperlink ref="W101" r:id="rId331" xr:uid="{00000000-0004-0000-0000-00004A010000}"/>
    <hyperlink ref="X101" r:id="rId332" xr:uid="{00000000-0004-0000-0000-00004B010000}"/>
    <hyperlink ref="AD101" r:id="rId333" xr:uid="{00000000-0004-0000-0000-00004C010000}"/>
    <hyperlink ref="W102" r:id="rId334" xr:uid="{00000000-0004-0000-0000-00004D010000}"/>
    <hyperlink ref="AD102" r:id="rId335" xr:uid="{00000000-0004-0000-0000-00004E010000}"/>
    <hyperlink ref="W103" r:id="rId336" xr:uid="{00000000-0004-0000-0000-00004F010000}"/>
    <hyperlink ref="AD103" r:id="rId337" xr:uid="{00000000-0004-0000-0000-000050010000}"/>
    <hyperlink ref="W104" r:id="rId338" xr:uid="{00000000-0004-0000-0000-000051010000}"/>
    <hyperlink ref="AD104" r:id="rId339" xr:uid="{00000000-0004-0000-0000-000052010000}"/>
    <hyperlink ref="W105" r:id="rId340" xr:uid="{00000000-0004-0000-0000-000053010000}"/>
    <hyperlink ref="AD105" r:id="rId341" xr:uid="{00000000-0004-0000-0000-000054010000}"/>
    <hyperlink ref="H106" r:id="rId342" xr:uid="{00000000-0004-0000-0000-000055010000}"/>
    <hyperlink ref="W106" r:id="rId343" xr:uid="{00000000-0004-0000-0000-000056010000}"/>
    <hyperlink ref="AD106" r:id="rId344" xr:uid="{00000000-0004-0000-0000-000057010000}"/>
    <hyperlink ref="W107" r:id="rId345" xr:uid="{00000000-0004-0000-0000-000058010000}"/>
    <hyperlink ref="W108" r:id="rId346" xr:uid="{00000000-0004-0000-0000-000059010000}"/>
    <hyperlink ref="X108" r:id="rId347" xr:uid="{00000000-0004-0000-0000-00005A010000}"/>
    <hyperlink ref="Y108" r:id="rId348" xr:uid="{00000000-0004-0000-0000-00005B010000}"/>
    <hyperlink ref="AD108" r:id="rId349" xr:uid="{00000000-0004-0000-0000-00005C010000}"/>
    <hyperlink ref="W109" r:id="rId350" xr:uid="{00000000-0004-0000-0000-00005D010000}"/>
    <hyperlink ref="X109" r:id="rId351" xr:uid="{00000000-0004-0000-0000-00005E010000}"/>
    <hyperlink ref="Y109" r:id="rId352" xr:uid="{00000000-0004-0000-0000-00005F010000}"/>
    <hyperlink ref="AD109" r:id="rId353" xr:uid="{00000000-0004-0000-0000-000060010000}"/>
    <hyperlink ref="W110" r:id="rId354" xr:uid="{00000000-0004-0000-0000-000061010000}"/>
    <hyperlink ref="X110" r:id="rId355" xr:uid="{00000000-0004-0000-0000-000062010000}"/>
    <hyperlink ref="Y110" r:id="rId356" xr:uid="{00000000-0004-0000-0000-000063010000}"/>
    <hyperlink ref="AD110" r:id="rId357" xr:uid="{00000000-0004-0000-0000-000064010000}"/>
    <hyperlink ref="W111" r:id="rId358" xr:uid="{00000000-0004-0000-0000-000065010000}"/>
    <hyperlink ref="X111" r:id="rId359" xr:uid="{00000000-0004-0000-0000-000066010000}"/>
    <hyperlink ref="Y111" r:id="rId360" xr:uid="{00000000-0004-0000-0000-000067010000}"/>
    <hyperlink ref="AD111" r:id="rId361" xr:uid="{00000000-0004-0000-0000-000068010000}"/>
    <hyperlink ref="W112" r:id="rId362" xr:uid="{00000000-0004-0000-0000-000069010000}"/>
    <hyperlink ref="X112" r:id="rId363" xr:uid="{00000000-0004-0000-0000-00006A010000}"/>
    <hyperlink ref="Y112" r:id="rId364" xr:uid="{00000000-0004-0000-0000-00006B010000}"/>
    <hyperlink ref="AD112" r:id="rId365" xr:uid="{00000000-0004-0000-0000-00006C010000}"/>
    <hyperlink ref="W113" r:id="rId366" xr:uid="{00000000-0004-0000-0000-00006D010000}"/>
    <hyperlink ref="X113" r:id="rId367" xr:uid="{00000000-0004-0000-0000-00006E010000}"/>
    <hyperlink ref="Y113" r:id="rId368" xr:uid="{00000000-0004-0000-0000-00006F010000}"/>
    <hyperlink ref="W114" r:id="rId369" xr:uid="{00000000-0004-0000-0000-000070010000}"/>
    <hyperlink ref="X114" r:id="rId370" xr:uid="{00000000-0004-0000-0000-000071010000}"/>
    <hyperlink ref="Y114" r:id="rId371" xr:uid="{00000000-0004-0000-0000-000072010000}"/>
    <hyperlink ref="AD114" r:id="rId372" xr:uid="{00000000-0004-0000-0000-000073010000}"/>
    <hyperlink ref="W115" r:id="rId373" xr:uid="{00000000-0004-0000-0000-000074010000}"/>
    <hyperlink ref="X115" r:id="rId374" xr:uid="{00000000-0004-0000-0000-000075010000}"/>
    <hyperlink ref="AD115" r:id="rId375" xr:uid="{00000000-0004-0000-0000-000076010000}"/>
    <hyperlink ref="W116" r:id="rId376" xr:uid="{00000000-0004-0000-0000-000077010000}"/>
    <hyperlink ref="AD116" r:id="rId377" xr:uid="{00000000-0004-0000-0000-000078010000}"/>
    <hyperlink ref="W117" r:id="rId378" xr:uid="{00000000-0004-0000-0000-000079010000}"/>
    <hyperlink ref="AD117" r:id="rId379" xr:uid="{00000000-0004-0000-0000-00007A010000}"/>
    <hyperlink ref="W118" r:id="rId380" xr:uid="{00000000-0004-0000-0000-00007B010000}"/>
    <hyperlink ref="AD118" r:id="rId381" xr:uid="{00000000-0004-0000-0000-00007C010000}"/>
    <hyperlink ref="H119" r:id="rId382" xr:uid="{00000000-0004-0000-0000-00007D010000}"/>
    <hyperlink ref="W119" r:id="rId383" xr:uid="{00000000-0004-0000-0000-00007E010000}"/>
    <hyperlink ref="AD119" r:id="rId384" xr:uid="{00000000-0004-0000-0000-00007F010000}"/>
    <hyperlink ref="W120" r:id="rId385" xr:uid="{00000000-0004-0000-0000-000080010000}"/>
    <hyperlink ref="X120" r:id="rId386" xr:uid="{00000000-0004-0000-0000-000081010000}"/>
    <hyperlink ref="Y120" r:id="rId387" xr:uid="{00000000-0004-0000-0000-000082010000}"/>
    <hyperlink ref="AD120" r:id="rId388" xr:uid="{00000000-0004-0000-0000-000083010000}"/>
    <hyperlink ref="W121" r:id="rId389" xr:uid="{00000000-0004-0000-0000-000084010000}"/>
    <hyperlink ref="X121" r:id="rId390" xr:uid="{00000000-0004-0000-0000-000085010000}"/>
    <hyperlink ref="Y121" r:id="rId391" xr:uid="{00000000-0004-0000-0000-000086010000}"/>
    <hyperlink ref="AD121" r:id="rId392" xr:uid="{00000000-0004-0000-0000-000087010000}"/>
    <hyperlink ref="W122" r:id="rId393" xr:uid="{00000000-0004-0000-0000-000088010000}"/>
    <hyperlink ref="AD122" r:id="rId394" xr:uid="{00000000-0004-0000-0000-000089010000}"/>
    <hyperlink ref="W123" r:id="rId395" xr:uid="{00000000-0004-0000-0000-00008A010000}"/>
    <hyperlink ref="X123" r:id="rId396" xr:uid="{00000000-0004-0000-0000-00008B010000}"/>
    <hyperlink ref="Y123" r:id="rId397" xr:uid="{00000000-0004-0000-0000-00008C010000}"/>
    <hyperlink ref="AD123" r:id="rId398" xr:uid="{00000000-0004-0000-0000-00008D010000}"/>
    <hyperlink ref="W124" r:id="rId399" xr:uid="{00000000-0004-0000-0000-00008E010000}"/>
    <hyperlink ref="AD124" r:id="rId400" xr:uid="{00000000-0004-0000-0000-00008F010000}"/>
    <hyperlink ref="W125" r:id="rId401" xr:uid="{00000000-0004-0000-0000-000090010000}"/>
    <hyperlink ref="AD125" r:id="rId402" xr:uid="{00000000-0004-0000-0000-000091010000}"/>
    <hyperlink ref="W126" r:id="rId403" xr:uid="{00000000-0004-0000-0000-000092010000}"/>
    <hyperlink ref="AD126" r:id="rId404" xr:uid="{00000000-0004-0000-0000-000093010000}"/>
    <hyperlink ref="W127" r:id="rId405" xr:uid="{00000000-0004-0000-0000-000094010000}"/>
    <hyperlink ref="AD127" r:id="rId406" xr:uid="{00000000-0004-0000-0000-000095010000}"/>
    <hyperlink ref="W128" r:id="rId407" xr:uid="{00000000-0004-0000-0000-000096010000}"/>
    <hyperlink ref="X128" r:id="rId408" xr:uid="{00000000-0004-0000-0000-000097010000}"/>
    <hyperlink ref="AD128" r:id="rId409" xr:uid="{00000000-0004-0000-0000-000098010000}"/>
    <hyperlink ref="W129" r:id="rId410" xr:uid="{00000000-0004-0000-0000-000099010000}"/>
    <hyperlink ref="X129" r:id="rId411" xr:uid="{00000000-0004-0000-0000-00009A010000}"/>
    <hyperlink ref="W130" r:id="rId412" xr:uid="{00000000-0004-0000-0000-00009B010000}"/>
    <hyperlink ref="X130" r:id="rId413" xr:uid="{00000000-0004-0000-0000-00009C010000}"/>
    <hyperlink ref="W131" r:id="rId414" xr:uid="{00000000-0004-0000-0000-00009D010000}"/>
    <hyperlink ref="X131" r:id="rId415" xr:uid="{00000000-0004-0000-0000-00009E010000}"/>
    <hyperlink ref="Y131" r:id="rId416" xr:uid="{00000000-0004-0000-0000-00009F010000}"/>
    <hyperlink ref="W132" r:id="rId417" xr:uid="{00000000-0004-0000-0000-0000A0010000}"/>
    <hyperlink ref="X132" r:id="rId418" xr:uid="{00000000-0004-0000-0000-0000A1010000}"/>
    <hyperlink ref="Y132" r:id="rId419" xr:uid="{00000000-0004-0000-0000-0000A2010000}"/>
    <hyperlink ref="W133" r:id="rId420" xr:uid="{00000000-0004-0000-0000-0000A3010000}"/>
    <hyperlink ref="W134" r:id="rId421" xr:uid="{00000000-0004-0000-0000-0000A4010000}"/>
    <hyperlink ref="W135" r:id="rId422" xr:uid="{00000000-0004-0000-0000-0000A5010000}"/>
    <hyperlink ref="X135" r:id="rId423" xr:uid="{00000000-0004-0000-0000-0000A6010000}"/>
    <hyperlink ref="W136" r:id="rId424" xr:uid="{00000000-0004-0000-0000-0000A7010000}"/>
    <hyperlink ref="X136" r:id="rId425" xr:uid="{00000000-0004-0000-0000-0000A8010000}"/>
    <hyperlink ref="W137" r:id="rId426" xr:uid="{00000000-0004-0000-0000-0000A9010000}"/>
    <hyperlink ref="W138" r:id="rId427" xr:uid="{00000000-0004-0000-0000-0000AA010000}"/>
    <hyperlink ref="W139" r:id="rId428" xr:uid="{00000000-0004-0000-0000-0000AB010000}"/>
    <hyperlink ref="W140" r:id="rId429" xr:uid="{00000000-0004-0000-0000-0000AC010000}"/>
    <hyperlink ref="W141" r:id="rId430" xr:uid="{00000000-0004-0000-0000-0000AD010000}"/>
    <hyperlink ref="W142" r:id="rId431" xr:uid="{00000000-0004-0000-0000-0000AE010000}"/>
    <hyperlink ref="W143" r:id="rId432" xr:uid="{00000000-0004-0000-0000-0000AF010000}"/>
    <hyperlink ref="AD143" r:id="rId433" xr:uid="{00000000-0004-0000-0000-0000B0010000}"/>
    <hyperlink ref="W144" r:id="rId434" xr:uid="{00000000-0004-0000-0000-0000B1010000}"/>
    <hyperlink ref="W145" r:id="rId435" xr:uid="{00000000-0004-0000-0000-0000B2010000}"/>
    <hyperlink ref="W146" r:id="rId436" xr:uid="{00000000-0004-0000-0000-0000B3010000}"/>
    <hyperlink ref="W147" r:id="rId437" xr:uid="{00000000-0004-0000-0000-0000B4010000}"/>
    <hyperlink ref="W148" r:id="rId438" xr:uid="{00000000-0004-0000-0000-0000B5010000}"/>
    <hyperlink ref="AD148" r:id="rId439" xr:uid="{00000000-0004-0000-0000-0000B6010000}"/>
    <hyperlink ref="W149" r:id="rId440" xr:uid="{00000000-0004-0000-0000-0000B7010000}"/>
    <hyperlink ref="W150" r:id="rId441" xr:uid="{00000000-0004-0000-0000-0000B8010000}"/>
    <hyperlink ref="W151" r:id="rId442" xr:uid="{00000000-0004-0000-0000-0000B9010000}"/>
    <hyperlink ref="W152" r:id="rId443" xr:uid="{00000000-0004-0000-0000-0000BA010000}"/>
    <hyperlink ref="AD152" r:id="rId444" xr:uid="{00000000-0004-0000-0000-0000BB010000}"/>
    <hyperlink ref="W153" r:id="rId445" xr:uid="{00000000-0004-0000-0000-0000BC010000}"/>
    <hyperlink ref="W154" r:id="rId446" xr:uid="{00000000-0004-0000-0000-0000BD010000}"/>
    <hyperlink ref="W155" r:id="rId447" xr:uid="{00000000-0004-0000-0000-0000BE010000}"/>
    <hyperlink ref="AD155" r:id="rId448" xr:uid="{00000000-0004-0000-0000-0000BF010000}"/>
    <hyperlink ref="W156" r:id="rId449" xr:uid="{00000000-0004-0000-0000-0000C0010000}"/>
    <hyperlink ref="AD156" r:id="rId450" xr:uid="{00000000-0004-0000-0000-0000C1010000}"/>
    <hyperlink ref="W157" r:id="rId451" xr:uid="{00000000-0004-0000-0000-0000C2010000}"/>
    <hyperlink ref="AD157" r:id="rId452" xr:uid="{00000000-0004-0000-0000-0000C3010000}"/>
    <hyperlink ref="W158" r:id="rId453" xr:uid="{00000000-0004-0000-0000-0000C4010000}"/>
    <hyperlink ref="AD158" r:id="rId454" xr:uid="{00000000-0004-0000-0000-0000C5010000}"/>
    <hyperlink ref="W159" r:id="rId455" xr:uid="{00000000-0004-0000-0000-0000C6010000}"/>
    <hyperlink ref="AD159" r:id="rId456" xr:uid="{00000000-0004-0000-0000-0000C7010000}"/>
    <hyperlink ref="W160" r:id="rId457" xr:uid="{00000000-0004-0000-0000-0000C8010000}"/>
    <hyperlink ref="AD160" r:id="rId458" xr:uid="{00000000-0004-0000-0000-0000C9010000}"/>
    <hyperlink ref="W161" r:id="rId459" xr:uid="{00000000-0004-0000-0000-0000CA010000}"/>
    <hyperlink ref="AD161" r:id="rId460" xr:uid="{00000000-0004-0000-0000-0000CB010000}"/>
    <hyperlink ref="W162" r:id="rId461" xr:uid="{00000000-0004-0000-0000-0000CC010000}"/>
    <hyperlink ref="AD162" r:id="rId462" xr:uid="{00000000-0004-0000-0000-0000CD010000}"/>
    <hyperlink ref="W163" r:id="rId463" xr:uid="{00000000-0004-0000-0000-0000CE010000}"/>
    <hyperlink ref="W164" r:id="rId464" xr:uid="{00000000-0004-0000-0000-0000CF010000}"/>
    <hyperlink ref="AD164" r:id="rId465" xr:uid="{00000000-0004-0000-0000-0000D0010000}"/>
    <hyperlink ref="W165" r:id="rId466" xr:uid="{00000000-0004-0000-0000-0000D1010000}"/>
    <hyperlink ref="AD165" r:id="rId467" xr:uid="{00000000-0004-0000-0000-0000D2010000}"/>
    <hyperlink ref="W166" r:id="rId468" xr:uid="{00000000-0004-0000-0000-0000D3010000}"/>
    <hyperlink ref="AD166" r:id="rId469" xr:uid="{00000000-0004-0000-0000-0000D4010000}"/>
    <hyperlink ref="W167" r:id="rId470" xr:uid="{00000000-0004-0000-0000-0000D5010000}"/>
    <hyperlink ref="AD167" r:id="rId471" xr:uid="{00000000-0004-0000-0000-0000D6010000}"/>
    <hyperlink ref="W168" r:id="rId472" xr:uid="{00000000-0004-0000-0000-0000D7010000}"/>
    <hyperlink ref="W169" r:id="rId473" xr:uid="{00000000-0004-0000-0000-0000D8010000}"/>
    <hyperlink ref="W170" r:id="rId474" xr:uid="{00000000-0004-0000-0000-0000D9010000}"/>
    <hyperlink ref="W171" r:id="rId475" xr:uid="{00000000-0004-0000-0000-0000DA010000}"/>
    <hyperlink ref="W172" r:id="rId476" xr:uid="{00000000-0004-0000-0000-0000DB010000}"/>
    <hyperlink ref="W173" r:id="rId477" xr:uid="{00000000-0004-0000-0000-0000DC010000}"/>
    <hyperlink ref="W174" r:id="rId478" xr:uid="{00000000-0004-0000-0000-0000DD010000}"/>
    <hyperlink ref="W175" r:id="rId479" xr:uid="{00000000-0004-0000-0000-0000DE010000}"/>
    <hyperlink ref="W176" r:id="rId480" xr:uid="{00000000-0004-0000-0000-0000DF010000}"/>
    <hyperlink ref="W177" r:id="rId481" xr:uid="{00000000-0004-0000-0000-0000E0010000}"/>
    <hyperlink ref="AD177" r:id="rId482" xr:uid="{00000000-0004-0000-0000-0000E1010000}"/>
    <hyperlink ref="W178" r:id="rId483" xr:uid="{00000000-0004-0000-0000-0000E2010000}"/>
    <hyperlink ref="AD178" r:id="rId484" xr:uid="{00000000-0004-0000-0000-0000E3010000}"/>
    <hyperlink ref="W179" r:id="rId485" xr:uid="{00000000-0004-0000-0000-0000E4010000}"/>
    <hyperlink ref="W180" r:id="rId486" xr:uid="{00000000-0004-0000-0000-0000E5010000}"/>
    <hyperlink ref="AD180" r:id="rId487" xr:uid="{00000000-0004-0000-0000-0000E6010000}"/>
    <hyperlink ref="W181" r:id="rId488" xr:uid="{00000000-0004-0000-0000-0000E7010000}"/>
    <hyperlink ref="W182" r:id="rId489" xr:uid="{00000000-0004-0000-0000-0000E8010000}"/>
    <hyperlink ref="W183" r:id="rId490" xr:uid="{00000000-0004-0000-0000-0000E9010000}"/>
    <hyperlink ref="AD183" r:id="rId491" xr:uid="{00000000-0004-0000-0000-0000EA010000}"/>
    <hyperlink ref="W184" r:id="rId492" xr:uid="{00000000-0004-0000-0000-0000EB010000}"/>
    <hyperlink ref="AD184" r:id="rId493" xr:uid="{00000000-0004-0000-0000-0000EC010000}"/>
    <hyperlink ref="W185" r:id="rId494" xr:uid="{00000000-0004-0000-0000-0000ED010000}"/>
    <hyperlink ref="AD185" r:id="rId495" xr:uid="{00000000-0004-0000-0000-0000EE010000}"/>
    <hyperlink ref="W186" r:id="rId496" xr:uid="{00000000-0004-0000-0000-0000EF010000}"/>
    <hyperlink ref="AD186" r:id="rId497" xr:uid="{00000000-0004-0000-0000-0000F0010000}"/>
    <hyperlink ref="W187" r:id="rId498" xr:uid="{00000000-0004-0000-0000-0000F1010000}"/>
    <hyperlink ref="AD187" r:id="rId499" xr:uid="{00000000-0004-0000-0000-0000F2010000}"/>
    <hyperlink ref="W188" r:id="rId500" xr:uid="{00000000-0004-0000-0000-0000F3010000}"/>
    <hyperlink ref="W189" r:id="rId501" xr:uid="{00000000-0004-0000-0000-0000F4010000}"/>
    <hyperlink ref="W190" r:id="rId502" xr:uid="{00000000-0004-0000-0000-0000F5010000}"/>
    <hyperlink ref="W191" r:id="rId503" xr:uid="{00000000-0004-0000-0000-0000F6010000}"/>
    <hyperlink ref="W192" r:id="rId504" xr:uid="{00000000-0004-0000-0000-0000F7010000}"/>
    <hyperlink ref="AD192" r:id="rId505" xr:uid="{00000000-0004-0000-0000-0000F8010000}"/>
    <hyperlink ref="W193" r:id="rId506" xr:uid="{00000000-0004-0000-0000-0000F9010000}"/>
    <hyperlink ref="W194" r:id="rId507" xr:uid="{00000000-0004-0000-0000-0000FA010000}"/>
    <hyperlink ref="AD194" r:id="rId508" xr:uid="{00000000-0004-0000-0000-0000FB010000}"/>
    <hyperlink ref="W195" r:id="rId509" xr:uid="{00000000-0004-0000-0000-0000FC010000}"/>
    <hyperlink ref="W196" r:id="rId510" xr:uid="{00000000-0004-0000-0000-0000FD010000}"/>
    <hyperlink ref="W197" r:id="rId511" xr:uid="{00000000-0004-0000-0000-0000FE010000}"/>
    <hyperlink ref="W198" r:id="rId512" xr:uid="{00000000-0004-0000-0000-0000FF010000}"/>
    <hyperlink ref="W199" r:id="rId513" xr:uid="{00000000-0004-0000-0000-000000020000}"/>
    <hyperlink ref="W200" r:id="rId514" xr:uid="{00000000-0004-0000-0000-000001020000}"/>
    <hyperlink ref="W201" r:id="rId515" xr:uid="{00000000-0004-0000-0000-000002020000}"/>
    <hyperlink ref="W202" r:id="rId516" xr:uid="{00000000-0004-0000-0000-000003020000}"/>
    <hyperlink ref="W203" r:id="rId517" xr:uid="{00000000-0004-0000-0000-000004020000}"/>
    <hyperlink ref="AD203" r:id="rId518" xr:uid="{00000000-0004-0000-0000-000005020000}"/>
    <hyperlink ref="W204" r:id="rId519" xr:uid="{00000000-0004-0000-0000-000006020000}"/>
    <hyperlink ref="AD204" r:id="rId520" xr:uid="{00000000-0004-0000-0000-000007020000}"/>
    <hyperlink ref="W205" r:id="rId521" xr:uid="{00000000-0004-0000-0000-000008020000}"/>
    <hyperlink ref="AD205" r:id="rId522" xr:uid="{00000000-0004-0000-0000-000009020000}"/>
    <hyperlink ref="W206" r:id="rId523" xr:uid="{00000000-0004-0000-0000-00000A020000}"/>
    <hyperlink ref="AD206" r:id="rId524" xr:uid="{00000000-0004-0000-0000-00000B020000}"/>
    <hyperlink ref="W207" r:id="rId525" xr:uid="{00000000-0004-0000-0000-00000C020000}"/>
    <hyperlink ref="AD207" r:id="rId526" xr:uid="{00000000-0004-0000-0000-00000D020000}"/>
    <hyperlink ref="W208" r:id="rId527" xr:uid="{00000000-0004-0000-0000-00000E020000}"/>
    <hyperlink ref="AD208" r:id="rId528" xr:uid="{00000000-0004-0000-0000-00000F020000}"/>
    <hyperlink ref="W209" r:id="rId529" xr:uid="{00000000-0004-0000-0000-000010020000}"/>
    <hyperlink ref="AD209" r:id="rId530" xr:uid="{00000000-0004-0000-0000-000011020000}"/>
    <hyperlink ref="W210" r:id="rId531" xr:uid="{00000000-0004-0000-0000-000012020000}"/>
    <hyperlink ref="AD210" r:id="rId532" xr:uid="{00000000-0004-0000-0000-000013020000}"/>
    <hyperlink ref="W211" r:id="rId533" xr:uid="{00000000-0004-0000-0000-000014020000}"/>
    <hyperlink ref="AD211" r:id="rId534" xr:uid="{00000000-0004-0000-0000-000015020000}"/>
    <hyperlink ref="W212" r:id="rId535" xr:uid="{00000000-0004-0000-0000-000016020000}"/>
    <hyperlink ref="AD212" r:id="rId536" xr:uid="{00000000-0004-0000-0000-000017020000}"/>
    <hyperlink ref="W213" r:id="rId537" xr:uid="{00000000-0004-0000-0000-000018020000}"/>
    <hyperlink ref="AD213" r:id="rId538" xr:uid="{00000000-0004-0000-0000-000019020000}"/>
    <hyperlink ref="W214" r:id="rId539" xr:uid="{00000000-0004-0000-0000-00001A020000}"/>
    <hyperlink ref="AD214" r:id="rId540" xr:uid="{00000000-0004-0000-0000-00001B020000}"/>
    <hyperlink ref="W215" r:id="rId541" xr:uid="{00000000-0004-0000-0000-00001C020000}"/>
    <hyperlink ref="AD215" r:id="rId542" xr:uid="{00000000-0004-0000-0000-00001D020000}"/>
    <hyperlink ref="W216" r:id="rId543" xr:uid="{00000000-0004-0000-0000-00001E020000}"/>
    <hyperlink ref="AD216" r:id="rId544" xr:uid="{00000000-0004-0000-0000-00001F020000}"/>
    <hyperlink ref="W217" r:id="rId545" xr:uid="{00000000-0004-0000-0000-000020020000}"/>
    <hyperlink ref="AD217" r:id="rId546" xr:uid="{00000000-0004-0000-0000-000021020000}"/>
    <hyperlink ref="W218" r:id="rId547" xr:uid="{00000000-0004-0000-0000-000022020000}"/>
    <hyperlink ref="AD218" r:id="rId548" xr:uid="{00000000-0004-0000-0000-000023020000}"/>
    <hyperlink ref="W219" r:id="rId549" xr:uid="{00000000-0004-0000-0000-000024020000}"/>
    <hyperlink ref="AD219" r:id="rId550" xr:uid="{00000000-0004-0000-0000-000025020000}"/>
    <hyperlink ref="W220" r:id="rId551" xr:uid="{00000000-0004-0000-0000-000026020000}"/>
    <hyperlink ref="AD220" r:id="rId552" xr:uid="{00000000-0004-0000-0000-000027020000}"/>
    <hyperlink ref="W221" r:id="rId553" xr:uid="{00000000-0004-0000-0000-000028020000}"/>
    <hyperlink ref="AD221" r:id="rId554" xr:uid="{00000000-0004-0000-0000-000029020000}"/>
    <hyperlink ref="W222" r:id="rId555" xr:uid="{00000000-0004-0000-0000-00002A020000}"/>
    <hyperlink ref="AD222" r:id="rId556" xr:uid="{00000000-0004-0000-0000-00002B020000}"/>
    <hyperlink ref="W223" r:id="rId557" xr:uid="{00000000-0004-0000-0000-00002C020000}"/>
    <hyperlink ref="AD223" r:id="rId558" xr:uid="{00000000-0004-0000-0000-00002D020000}"/>
    <hyperlink ref="W224" r:id="rId559" xr:uid="{00000000-0004-0000-0000-00002E020000}"/>
    <hyperlink ref="AD224" r:id="rId560" xr:uid="{00000000-0004-0000-0000-00002F020000}"/>
    <hyperlink ref="W225" r:id="rId561" xr:uid="{00000000-0004-0000-0000-000030020000}"/>
    <hyperlink ref="AD225" r:id="rId562" xr:uid="{00000000-0004-0000-0000-000031020000}"/>
    <hyperlink ref="W226" r:id="rId563" xr:uid="{00000000-0004-0000-0000-000032020000}"/>
    <hyperlink ref="AD226" r:id="rId564" xr:uid="{00000000-0004-0000-0000-000033020000}"/>
    <hyperlink ref="W227" r:id="rId565" xr:uid="{00000000-0004-0000-0000-000034020000}"/>
    <hyperlink ref="AD227" r:id="rId566" xr:uid="{00000000-0004-0000-0000-000035020000}"/>
    <hyperlink ref="W228" r:id="rId567" xr:uid="{00000000-0004-0000-0000-000036020000}"/>
    <hyperlink ref="AD228" r:id="rId568" xr:uid="{00000000-0004-0000-0000-000037020000}"/>
    <hyperlink ref="W229" r:id="rId569" xr:uid="{00000000-0004-0000-0000-000038020000}"/>
    <hyperlink ref="AD229" r:id="rId570" xr:uid="{00000000-0004-0000-0000-000039020000}"/>
    <hyperlink ref="W230" r:id="rId571" xr:uid="{00000000-0004-0000-0000-00003A020000}"/>
    <hyperlink ref="AD230" r:id="rId572" xr:uid="{00000000-0004-0000-0000-00003B020000}"/>
    <hyperlink ref="W231" r:id="rId573" xr:uid="{00000000-0004-0000-0000-00003C020000}"/>
    <hyperlink ref="AD231" r:id="rId574" xr:uid="{00000000-0004-0000-0000-00003D020000}"/>
    <hyperlink ref="AD232" r:id="rId575" xr:uid="{00000000-0004-0000-0000-00003E020000}"/>
    <hyperlink ref="AD233" r:id="rId576" xr:uid="{00000000-0004-0000-0000-00003F020000}"/>
    <hyperlink ref="AD234" r:id="rId577" xr:uid="{00000000-0004-0000-0000-000040020000}"/>
    <hyperlink ref="AD235" r:id="rId578" xr:uid="{00000000-0004-0000-0000-000041020000}"/>
    <hyperlink ref="AD236" r:id="rId579" xr:uid="{00000000-0004-0000-0000-000042020000}"/>
    <hyperlink ref="AD237" r:id="rId580" xr:uid="{00000000-0004-0000-0000-000043020000}"/>
    <hyperlink ref="AD238" r:id="rId581" xr:uid="{00000000-0004-0000-0000-000044020000}"/>
    <hyperlink ref="AD239" r:id="rId582" xr:uid="{00000000-0004-0000-0000-000045020000}"/>
    <hyperlink ref="AD240" r:id="rId583" xr:uid="{00000000-0004-0000-0000-000046020000}"/>
    <hyperlink ref="AD241" r:id="rId584" xr:uid="{00000000-0004-0000-0000-000047020000}"/>
    <hyperlink ref="AD242" r:id="rId585" xr:uid="{00000000-0004-0000-0000-000048020000}"/>
    <hyperlink ref="AD243" r:id="rId586" xr:uid="{00000000-0004-0000-0000-000049020000}"/>
    <hyperlink ref="AD244" r:id="rId587" xr:uid="{00000000-0004-0000-0000-00004A020000}"/>
    <hyperlink ref="AD245" r:id="rId588" xr:uid="{00000000-0004-0000-0000-00004B020000}"/>
    <hyperlink ref="AD246" r:id="rId589" xr:uid="{00000000-0004-0000-0000-00004C020000}"/>
    <hyperlink ref="AD247" r:id="rId590" xr:uid="{00000000-0004-0000-0000-00004D020000}"/>
    <hyperlink ref="AD249" r:id="rId591" xr:uid="{00000000-0004-0000-0000-00004E020000}"/>
    <hyperlink ref="AD250" r:id="rId592" xr:uid="{00000000-0004-0000-0000-00004F020000}"/>
    <hyperlink ref="AD251" r:id="rId593" xr:uid="{00000000-0004-0000-0000-000050020000}"/>
    <hyperlink ref="AD252" r:id="rId594" xr:uid="{00000000-0004-0000-0000-000051020000}"/>
    <hyperlink ref="AD253" r:id="rId595" xr:uid="{00000000-0004-0000-0000-000052020000}"/>
    <hyperlink ref="AD254" r:id="rId596" xr:uid="{00000000-0004-0000-0000-000053020000}"/>
    <hyperlink ref="AD255" r:id="rId597" xr:uid="{00000000-0004-0000-0000-000054020000}"/>
    <hyperlink ref="AD256" r:id="rId598" xr:uid="{00000000-0004-0000-0000-000055020000}"/>
    <hyperlink ref="AD257" r:id="rId599" xr:uid="{00000000-0004-0000-0000-000056020000}"/>
    <hyperlink ref="AD258" r:id="rId600" xr:uid="{00000000-0004-0000-0000-000057020000}"/>
    <hyperlink ref="AD259" r:id="rId601" xr:uid="{00000000-0004-0000-0000-000058020000}"/>
    <hyperlink ref="AD260" r:id="rId602" xr:uid="{00000000-0004-0000-0000-000059020000}"/>
    <hyperlink ref="AD261" r:id="rId603" xr:uid="{00000000-0004-0000-0000-00005A020000}"/>
    <hyperlink ref="AD262" r:id="rId604" xr:uid="{00000000-0004-0000-0000-00005B020000}"/>
    <hyperlink ref="AD263" r:id="rId605" xr:uid="{00000000-0004-0000-0000-00005C020000}"/>
    <hyperlink ref="AD264" r:id="rId606" xr:uid="{00000000-0004-0000-0000-00005D020000}"/>
    <hyperlink ref="AD265" r:id="rId607" xr:uid="{00000000-0004-0000-0000-00005E020000}"/>
    <hyperlink ref="AD266" r:id="rId608" xr:uid="{00000000-0004-0000-0000-00005F020000}"/>
    <hyperlink ref="AD267" r:id="rId609" xr:uid="{00000000-0004-0000-0000-000060020000}"/>
    <hyperlink ref="AD268" r:id="rId610" xr:uid="{00000000-0004-0000-0000-000061020000}"/>
    <hyperlink ref="AD269" r:id="rId611" xr:uid="{00000000-0004-0000-0000-000062020000}"/>
    <hyperlink ref="AD270" r:id="rId612" xr:uid="{00000000-0004-0000-0000-000063020000}"/>
    <hyperlink ref="AD271" r:id="rId613" xr:uid="{00000000-0004-0000-0000-000064020000}"/>
    <hyperlink ref="AD272" r:id="rId614" xr:uid="{00000000-0004-0000-0000-000065020000}"/>
    <hyperlink ref="AD273" r:id="rId615" xr:uid="{00000000-0004-0000-0000-000066020000}"/>
    <hyperlink ref="AD274" r:id="rId616" xr:uid="{00000000-0004-0000-0000-000067020000}"/>
    <hyperlink ref="AD275" r:id="rId617" xr:uid="{00000000-0004-0000-0000-000068020000}"/>
    <hyperlink ref="AD276" r:id="rId618" xr:uid="{00000000-0004-0000-0000-000069020000}"/>
    <hyperlink ref="AD277" r:id="rId619" xr:uid="{00000000-0004-0000-0000-00006A020000}"/>
    <hyperlink ref="AD278" r:id="rId620" xr:uid="{00000000-0004-0000-0000-00006B020000}"/>
    <hyperlink ref="AD279" r:id="rId621" xr:uid="{00000000-0004-0000-0000-00006C020000}"/>
    <hyperlink ref="AD280" r:id="rId622" xr:uid="{00000000-0004-0000-0000-00006D020000}"/>
    <hyperlink ref="AD281" r:id="rId623" xr:uid="{00000000-0004-0000-0000-00006E020000}"/>
    <hyperlink ref="AD282" r:id="rId624" xr:uid="{00000000-0004-0000-0000-00006F020000}"/>
    <hyperlink ref="AD283" r:id="rId625" xr:uid="{00000000-0004-0000-0000-000070020000}"/>
    <hyperlink ref="AD284" r:id="rId626" xr:uid="{00000000-0004-0000-0000-000071020000}"/>
    <hyperlink ref="AD285" r:id="rId627" xr:uid="{00000000-0004-0000-0000-000072020000}"/>
    <hyperlink ref="AD286" r:id="rId628" xr:uid="{00000000-0004-0000-0000-000073020000}"/>
    <hyperlink ref="AD287" r:id="rId629" xr:uid="{00000000-0004-0000-0000-000074020000}"/>
    <hyperlink ref="AD288" r:id="rId630" xr:uid="{00000000-0004-0000-0000-000075020000}"/>
    <hyperlink ref="AD289" r:id="rId631" xr:uid="{00000000-0004-0000-0000-000076020000}"/>
    <hyperlink ref="AD290" r:id="rId632" xr:uid="{00000000-0004-0000-0000-000077020000}"/>
    <hyperlink ref="AD291" r:id="rId633" xr:uid="{00000000-0004-0000-0000-000078020000}"/>
    <hyperlink ref="AD292" r:id="rId634" xr:uid="{00000000-0004-0000-0000-000079020000}"/>
    <hyperlink ref="AD293" r:id="rId635" xr:uid="{00000000-0004-0000-0000-00007A020000}"/>
    <hyperlink ref="AD294" r:id="rId636" xr:uid="{00000000-0004-0000-0000-00007B020000}"/>
    <hyperlink ref="AD295" r:id="rId637" xr:uid="{00000000-0004-0000-0000-00007C020000}"/>
    <hyperlink ref="AD296" r:id="rId638" xr:uid="{00000000-0004-0000-0000-00007D020000}"/>
    <hyperlink ref="AD297" r:id="rId639" xr:uid="{00000000-0004-0000-0000-00007E020000}"/>
    <hyperlink ref="AD298" r:id="rId640" xr:uid="{00000000-0004-0000-0000-00007F020000}"/>
    <hyperlink ref="AD299" r:id="rId641" xr:uid="{00000000-0004-0000-0000-000080020000}"/>
    <hyperlink ref="AD300" r:id="rId642" xr:uid="{00000000-0004-0000-0000-000081020000}"/>
    <hyperlink ref="AD301" r:id="rId643" xr:uid="{00000000-0004-0000-0000-000082020000}"/>
    <hyperlink ref="AD302" r:id="rId644" xr:uid="{00000000-0004-0000-0000-000083020000}"/>
    <hyperlink ref="AD303" r:id="rId645" xr:uid="{00000000-0004-0000-0000-000084020000}"/>
    <hyperlink ref="AD304" r:id="rId646" xr:uid="{00000000-0004-0000-0000-000085020000}"/>
    <hyperlink ref="AD305" r:id="rId647" xr:uid="{00000000-0004-0000-0000-000086020000}"/>
    <hyperlink ref="AD306" r:id="rId648" xr:uid="{00000000-0004-0000-0000-000087020000}"/>
    <hyperlink ref="AD307" r:id="rId649" xr:uid="{00000000-0004-0000-0000-000088020000}"/>
    <hyperlink ref="AD308" r:id="rId650" xr:uid="{00000000-0004-0000-0000-000089020000}"/>
    <hyperlink ref="AD309" r:id="rId651" xr:uid="{00000000-0004-0000-0000-00008A020000}"/>
    <hyperlink ref="AD310" r:id="rId652" xr:uid="{00000000-0004-0000-0000-00008B020000}"/>
    <hyperlink ref="AD311" r:id="rId653" xr:uid="{00000000-0004-0000-0000-00008C020000}"/>
    <hyperlink ref="AD312" r:id="rId654" xr:uid="{00000000-0004-0000-0000-00008D020000}"/>
    <hyperlink ref="AD313" r:id="rId655" xr:uid="{00000000-0004-0000-0000-00008E020000}"/>
    <hyperlink ref="AD314" r:id="rId656" xr:uid="{00000000-0004-0000-0000-00008F020000}"/>
    <hyperlink ref="AD315" r:id="rId657" xr:uid="{00000000-0004-0000-0000-000090020000}"/>
    <hyperlink ref="AD316" r:id="rId658" xr:uid="{00000000-0004-0000-0000-000091020000}"/>
    <hyperlink ref="AD317" r:id="rId659" xr:uid="{00000000-0004-0000-0000-000092020000}"/>
    <hyperlink ref="AD318" r:id="rId660" xr:uid="{00000000-0004-0000-0000-000093020000}"/>
    <hyperlink ref="AD319" r:id="rId661" xr:uid="{00000000-0004-0000-0000-000094020000}"/>
    <hyperlink ref="AD320" r:id="rId662" xr:uid="{00000000-0004-0000-0000-000095020000}"/>
    <hyperlink ref="AD321" r:id="rId663" xr:uid="{00000000-0004-0000-0000-000096020000}"/>
    <hyperlink ref="AD322" r:id="rId664" xr:uid="{00000000-0004-0000-0000-000097020000}"/>
    <hyperlink ref="AD323" r:id="rId665" xr:uid="{00000000-0004-0000-0000-000098020000}"/>
    <hyperlink ref="AD324" r:id="rId666" xr:uid="{00000000-0004-0000-0000-000099020000}"/>
    <hyperlink ref="AD325" r:id="rId667" xr:uid="{00000000-0004-0000-0000-00009A020000}"/>
    <hyperlink ref="AD326" r:id="rId668" xr:uid="{00000000-0004-0000-0000-00009B020000}"/>
    <hyperlink ref="AD327" r:id="rId669" xr:uid="{00000000-0004-0000-0000-00009C020000}"/>
    <hyperlink ref="AD328" r:id="rId670" xr:uid="{00000000-0004-0000-0000-00009D020000}"/>
    <hyperlink ref="AD329" r:id="rId671" xr:uid="{00000000-0004-0000-0000-00009E020000}"/>
    <hyperlink ref="AD330" r:id="rId672" xr:uid="{00000000-0004-0000-0000-00009F020000}"/>
    <hyperlink ref="AD331" r:id="rId673" xr:uid="{00000000-0004-0000-0000-0000A0020000}"/>
    <hyperlink ref="AD332" r:id="rId674" xr:uid="{00000000-0004-0000-0000-0000A1020000}"/>
    <hyperlink ref="AD334" r:id="rId675" xr:uid="{00000000-0004-0000-0000-0000A2020000}"/>
    <hyperlink ref="AD335" r:id="rId676" xr:uid="{00000000-0004-0000-0000-0000A3020000}"/>
    <hyperlink ref="AD336" r:id="rId677" xr:uid="{00000000-0004-0000-0000-0000A4020000}"/>
    <hyperlink ref="AD337" r:id="rId678" xr:uid="{00000000-0004-0000-0000-0000A5020000}"/>
    <hyperlink ref="AD338" r:id="rId679" xr:uid="{00000000-0004-0000-0000-0000A6020000}"/>
    <hyperlink ref="AD339" r:id="rId680" xr:uid="{00000000-0004-0000-0000-0000A7020000}"/>
    <hyperlink ref="AD340" r:id="rId681" xr:uid="{00000000-0004-0000-0000-0000A8020000}"/>
    <hyperlink ref="AD341" r:id="rId682" xr:uid="{00000000-0004-0000-0000-0000A9020000}"/>
    <hyperlink ref="AD342" r:id="rId683" xr:uid="{00000000-0004-0000-0000-0000AA020000}"/>
    <hyperlink ref="AD343" r:id="rId684" xr:uid="{00000000-0004-0000-0000-0000AB020000}"/>
    <hyperlink ref="AD344" r:id="rId685" xr:uid="{00000000-0004-0000-0000-0000AC020000}"/>
    <hyperlink ref="AD345" r:id="rId686" xr:uid="{00000000-0004-0000-0000-0000AD020000}"/>
    <hyperlink ref="AD346" r:id="rId687" xr:uid="{00000000-0004-0000-0000-0000AE020000}"/>
    <hyperlink ref="AD347" r:id="rId688" xr:uid="{00000000-0004-0000-0000-0000AF020000}"/>
    <hyperlink ref="AD348" r:id="rId689" xr:uid="{00000000-0004-0000-0000-0000B0020000}"/>
    <hyperlink ref="AD349" r:id="rId690" xr:uid="{00000000-0004-0000-0000-0000B1020000}"/>
    <hyperlink ref="AD350" r:id="rId691" xr:uid="{00000000-0004-0000-0000-0000B2020000}"/>
    <hyperlink ref="AD351" r:id="rId692" xr:uid="{00000000-0004-0000-0000-0000B3020000}"/>
    <hyperlink ref="AD352" r:id="rId693" xr:uid="{00000000-0004-0000-0000-0000B4020000}"/>
    <hyperlink ref="AD353" r:id="rId694" xr:uid="{00000000-0004-0000-0000-0000B5020000}"/>
    <hyperlink ref="AD357" r:id="rId695" xr:uid="{00000000-0004-0000-0000-0000B6020000}"/>
    <hyperlink ref="AD358" r:id="rId696" xr:uid="{00000000-0004-0000-0000-0000B7020000}"/>
    <hyperlink ref="AD359" r:id="rId697" xr:uid="{00000000-0004-0000-0000-0000B8020000}"/>
    <hyperlink ref="AD360" r:id="rId698" xr:uid="{00000000-0004-0000-0000-0000B9020000}"/>
    <hyperlink ref="AD361" r:id="rId699" xr:uid="{00000000-0004-0000-0000-0000BA020000}"/>
    <hyperlink ref="AD363" r:id="rId700" xr:uid="{00000000-0004-0000-0000-0000BB020000}"/>
    <hyperlink ref="AD364" r:id="rId701" xr:uid="{00000000-0004-0000-0000-0000BC020000}"/>
    <hyperlink ref="AD365" r:id="rId702" xr:uid="{00000000-0004-0000-0000-0000BD020000}"/>
    <hyperlink ref="AD366" r:id="rId703" xr:uid="{00000000-0004-0000-0000-0000BE020000}"/>
    <hyperlink ref="AD367" r:id="rId704" xr:uid="{00000000-0004-0000-0000-0000BF020000}"/>
    <hyperlink ref="AD369" r:id="rId705" xr:uid="{00000000-0004-0000-0000-0000C0020000}"/>
    <hyperlink ref="AD371" r:id="rId706" xr:uid="{00000000-0004-0000-0000-0000C1020000}"/>
    <hyperlink ref="AD372" r:id="rId707" xr:uid="{00000000-0004-0000-0000-0000C2020000}"/>
    <hyperlink ref="AD374" r:id="rId708" xr:uid="{00000000-0004-0000-0000-0000C3020000}"/>
    <hyperlink ref="AD375" r:id="rId709" xr:uid="{00000000-0004-0000-0000-0000C4020000}"/>
    <hyperlink ref="AD381" r:id="rId710" xr:uid="{00000000-0004-0000-0000-0000C5020000}"/>
    <hyperlink ref="AD384" r:id="rId711" xr:uid="{00000000-0004-0000-0000-0000C6020000}"/>
    <hyperlink ref="AD387" r:id="rId712" xr:uid="{00000000-0004-0000-0000-0000C7020000}"/>
    <hyperlink ref="AD388" r:id="rId713" xr:uid="{00000000-0004-0000-0000-0000C8020000}"/>
    <hyperlink ref="AD389" r:id="rId714" xr:uid="{00000000-0004-0000-0000-0000C9020000}"/>
    <hyperlink ref="AD390" r:id="rId715" xr:uid="{00000000-0004-0000-0000-0000CA020000}"/>
    <hyperlink ref="AD391" r:id="rId716" xr:uid="{00000000-0004-0000-0000-0000CB020000}"/>
    <hyperlink ref="AD392" r:id="rId717" xr:uid="{00000000-0004-0000-0000-0000CC020000}"/>
    <hyperlink ref="AD393" r:id="rId718" xr:uid="{00000000-0004-0000-0000-0000CD020000}"/>
    <hyperlink ref="AD394" r:id="rId719" xr:uid="{00000000-0004-0000-0000-0000CE020000}"/>
    <hyperlink ref="AD395" r:id="rId720" xr:uid="{00000000-0004-0000-0000-0000CF020000}"/>
    <hyperlink ref="AD396" r:id="rId721" xr:uid="{00000000-0004-0000-0000-0000D0020000}"/>
    <hyperlink ref="AD397" r:id="rId722" xr:uid="{00000000-0004-0000-0000-0000D1020000}"/>
    <hyperlink ref="AD398" r:id="rId723" xr:uid="{00000000-0004-0000-0000-0000D2020000}"/>
    <hyperlink ref="AD399" r:id="rId724" xr:uid="{00000000-0004-0000-0000-0000D3020000}"/>
    <hyperlink ref="AD400" r:id="rId725" xr:uid="{00000000-0004-0000-0000-0000D4020000}"/>
    <hyperlink ref="AD401" r:id="rId726" xr:uid="{00000000-0004-0000-0000-0000D5020000}"/>
    <hyperlink ref="AD402" r:id="rId727" xr:uid="{00000000-0004-0000-0000-0000D6020000}"/>
    <hyperlink ref="AD403" r:id="rId728" xr:uid="{00000000-0004-0000-0000-0000D7020000}"/>
    <hyperlink ref="AD404" r:id="rId729" xr:uid="{00000000-0004-0000-0000-0000D8020000}"/>
    <hyperlink ref="AD405" r:id="rId730" xr:uid="{00000000-0004-0000-0000-0000D9020000}"/>
    <hyperlink ref="AD406" r:id="rId731" xr:uid="{00000000-0004-0000-0000-0000DA020000}"/>
    <hyperlink ref="AD407" r:id="rId732" xr:uid="{00000000-0004-0000-0000-0000DB020000}"/>
    <hyperlink ref="AD408" r:id="rId733" xr:uid="{00000000-0004-0000-0000-0000DC020000}"/>
    <hyperlink ref="AD409" r:id="rId734" xr:uid="{00000000-0004-0000-0000-0000DD020000}"/>
    <hyperlink ref="AD410" r:id="rId735" xr:uid="{00000000-0004-0000-0000-0000DE020000}"/>
    <hyperlink ref="AD411" r:id="rId736" xr:uid="{00000000-0004-0000-0000-0000DF020000}"/>
    <hyperlink ref="AD412" r:id="rId737" xr:uid="{00000000-0004-0000-0000-0000E0020000}"/>
    <hyperlink ref="AD413" r:id="rId738" xr:uid="{00000000-0004-0000-0000-0000E1020000}"/>
    <hyperlink ref="AD414" r:id="rId739" xr:uid="{00000000-0004-0000-0000-0000E2020000}"/>
    <hyperlink ref="AD416" r:id="rId740" xr:uid="{00000000-0004-0000-0000-0000E3020000}"/>
    <hyperlink ref="AD417" r:id="rId741" xr:uid="{00000000-0004-0000-0000-0000E4020000}"/>
    <hyperlink ref="AD418" r:id="rId742" xr:uid="{00000000-0004-0000-0000-0000E5020000}"/>
    <hyperlink ref="AD419" r:id="rId743" xr:uid="{00000000-0004-0000-0000-0000E6020000}"/>
    <hyperlink ref="AD420" r:id="rId744" xr:uid="{00000000-0004-0000-0000-0000E7020000}"/>
    <hyperlink ref="AD421" r:id="rId745" xr:uid="{00000000-0004-0000-0000-0000E8020000}"/>
    <hyperlink ref="AD422" r:id="rId746" xr:uid="{00000000-0004-0000-0000-0000E9020000}"/>
    <hyperlink ref="AD423" r:id="rId747" xr:uid="{00000000-0004-0000-0000-0000EA020000}"/>
    <hyperlink ref="AD425" r:id="rId748" xr:uid="{00000000-0004-0000-0000-0000EB020000}"/>
    <hyperlink ref="AD426" r:id="rId749" xr:uid="{00000000-0004-0000-0000-0000EC020000}"/>
    <hyperlink ref="AD427" r:id="rId750" xr:uid="{00000000-0004-0000-0000-0000ED020000}"/>
    <hyperlink ref="AD428" r:id="rId751" xr:uid="{00000000-0004-0000-0000-0000EE020000}"/>
    <hyperlink ref="AD429" r:id="rId752" xr:uid="{00000000-0004-0000-0000-0000EF020000}"/>
    <hyperlink ref="AD430" r:id="rId753" xr:uid="{00000000-0004-0000-0000-0000F0020000}"/>
    <hyperlink ref="AD431" r:id="rId754" xr:uid="{00000000-0004-0000-0000-0000F1020000}"/>
    <hyperlink ref="AD432" r:id="rId755" xr:uid="{00000000-0004-0000-0000-0000F2020000}"/>
    <hyperlink ref="AD433" r:id="rId756" xr:uid="{00000000-0004-0000-0000-0000F3020000}"/>
    <hyperlink ref="AD434" r:id="rId757" xr:uid="{00000000-0004-0000-0000-0000F4020000}"/>
    <hyperlink ref="AD437" r:id="rId758" xr:uid="{00000000-0004-0000-0000-0000F5020000}"/>
    <hyperlink ref="AD438" r:id="rId759" xr:uid="{00000000-0004-0000-0000-0000F6020000}"/>
    <hyperlink ref="AD439" r:id="rId760" xr:uid="{00000000-0004-0000-0000-0000F7020000}"/>
    <hyperlink ref="AD440" r:id="rId761" xr:uid="{00000000-0004-0000-0000-0000F8020000}"/>
    <hyperlink ref="AD441" r:id="rId762" xr:uid="{00000000-0004-0000-0000-0000F9020000}"/>
    <hyperlink ref="AD442" r:id="rId763" xr:uid="{00000000-0004-0000-0000-0000FA020000}"/>
    <hyperlink ref="AD443" r:id="rId764" xr:uid="{00000000-0004-0000-0000-0000FB020000}"/>
    <hyperlink ref="AD444" r:id="rId765" xr:uid="{00000000-0004-0000-0000-0000FC020000}"/>
    <hyperlink ref="AD445" r:id="rId766" xr:uid="{00000000-0004-0000-0000-0000FD020000}"/>
    <hyperlink ref="AD446" r:id="rId767" xr:uid="{00000000-0004-0000-0000-0000FE020000}"/>
    <hyperlink ref="AD447" r:id="rId768" xr:uid="{00000000-0004-0000-0000-0000FF020000}"/>
    <hyperlink ref="AD448" r:id="rId769" xr:uid="{00000000-0004-0000-0000-000000030000}"/>
    <hyperlink ref="AD449" r:id="rId770" xr:uid="{00000000-0004-0000-0000-000001030000}"/>
    <hyperlink ref="AD450" r:id="rId771" xr:uid="{00000000-0004-0000-0000-000002030000}"/>
    <hyperlink ref="AD451" r:id="rId772" xr:uid="{00000000-0004-0000-0000-000003030000}"/>
    <hyperlink ref="AD452" r:id="rId773" xr:uid="{00000000-0004-0000-0000-000004030000}"/>
    <hyperlink ref="AD453" r:id="rId774" xr:uid="{00000000-0004-0000-0000-000005030000}"/>
    <hyperlink ref="AD454" r:id="rId775" xr:uid="{00000000-0004-0000-0000-000006030000}"/>
    <hyperlink ref="AD455" r:id="rId776" xr:uid="{00000000-0004-0000-0000-000007030000}"/>
    <hyperlink ref="AD456" r:id="rId777" xr:uid="{00000000-0004-0000-0000-000008030000}"/>
    <hyperlink ref="AD457" r:id="rId778" xr:uid="{00000000-0004-0000-0000-000009030000}"/>
    <hyperlink ref="AD458" r:id="rId779" xr:uid="{00000000-0004-0000-0000-00000A030000}"/>
    <hyperlink ref="AD459" r:id="rId780" xr:uid="{00000000-0004-0000-0000-00000B030000}"/>
    <hyperlink ref="AD460" r:id="rId781" xr:uid="{00000000-0004-0000-0000-00000C030000}"/>
    <hyperlink ref="AD461" r:id="rId782" xr:uid="{00000000-0004-0000-0000-00000D030000}"/>
    <hyperlink ref="AD463" r:id="rId783" xr:uid="{00000000-0004-0000-0000-00000E030000}"/>
    <hyperlink ref="AD465" r:id="rId784" xr:uid="{00000000-0004-0000-0000-00000F030000}"/>
    <hyperlink ref="AD466" r:id="rId785" xr:uid="{00000000-0004-0000-0000-000010030000}"/>
    <hyperlink ref="AD467" r:id="rId786" xr:uid="{00000000-0004-0000-0000-000011030000}"/>
    <hyperlink ref="AD468" r:id="rId787" xr:uid="{00000000-0004-0000-0000-000012030000}"/>
    <hyperlink ref="AD469" r:id="rId788" xr:uid="{00000000-0004-0000-0000-000013030000}"/>
    <hyperlink ref="AD470" r:id="rId789" xr:uid="{00000000-0004-0000-0000-000014030000}"/>
    <hyperlink ref="AD471" r:id="rId790" xr:uid="{00000000-0004-0000-0000-000015030000}"/>
    <hyperlink ref="AD472" r:id="rId791" xr:uid="{00000000-0004-0000-0000-000016030000}"/>
    <hyperlink ref="AD473" r:id="rId792" xr:uid="{00000000-0004-0000-0000-000017030000}"/>
    <hyperlink ref="AD474" r:id="rId793" xr:uid="{00000000-0004-0000-0000-000018030000}"/>
    <hyperlink ref="AD475" r:id="rId794" xr:uid="{00000000-0004-0000-0000-000019030000}"/>
    <hyperlink ref="AD476" r:id="rId795" xr:uid="{00000000-0004-0000-0000-00001A030000}"/>
    <hyperlink ref="AD477" r:id="rId796" xr:uid="{00000000-0004-0000-0000-00001B030000}"/>
    <hyperlink ref="AD478" r:id="rId797" xr:uid="{00000000-0004-0000-0000-00001C030000}"/>
    <hyperlink ref="AD480" r:id="rId798" xr:uid="{00000000-0004-0000-0000-00001D030000}"/>
    <hyperlink ref="AD481" r:id="rId799" xr:uid="{00000000-0004-0000-0000-00001E030000}"/>
    <hyperlink ref="AD482" r:id="rId800" xr:uid="{00000000-0004-0000-0000-00001F030000}"/>
    <hyperlink ref="AD486" r:id="rId801" xr:uid="{00000000-0004-0000-0000-000020030000}"/>
    <hyperlink ref="AD488" r:id="rId802" xr:uid="{00000000-0004-0000-0000-000021030000}"/>
    <hyperlink ref="AD489" r:id="rId803" xr:uid="{00000000-0004-0000-0000-000022030000}"/>
    <hyperlink ref="AD497" r:id="rId804" xr:uid="{00000000-0004-0000-0000-000023030000}"/>
    <hyperlink ref="AD499" r:id="rId805" xr:uid="{00000000-0004-0000-0000-000024030000}"/>
    <hyperlink ref="AD500" r:id="rId806" xr:uid="{00000000-0004-0000-0000-000025030000}"/>
    <hyperlink ref="AD501" r:id="rId807" xr:uid="{00000000-0004-0000-0000-000026030000}"/>
    <hyperlink ref="AD502" r:id="rId808" xr:uid="{00000000-0004-0000-0000-000027030000}"/>
    <hyperlink ref="AD503" r:id="rId809" xr:uid="{00000000-0004-0000-0000-000028030000}"/>
    <hyperlink ref="AD504" r:id="rId810" xr:uid="{00000000-0004-0000-0000-000029030000}"/>
    <hyperlink ref="AD505" r:id="rId811" xr:uid="{00000000-0004-0000-0000-00002A030000}"/>
    <hyperlink ref="AD506" r:id="rId812" xr:uid="{00000000-0004-0000-0000-00002B030000}"/>
    <hyperlink ref="AD507" r:id="rId813" xr:uid="{00000000-0004-0000-0000-00002C030000}"/>
    <hyperlink ref="AD508" r:id="rId814" xr:uid="{00000000-0004-0000-0000-00002D030000}"/>
    <hyperlink ref="AD509" r:id="rId815" xr:uid="{00000000-0004-0000-0000-00002E030000}"/>
    <hyperlink ref="AD510" r:id="rId816" xr:uid="{00000000-0004-0000-0000-00002F030000}"/>
    <hyperlink ref="AD511" r:id="rId817" xr:uid="{00000000-0004-0000-0000-000030030000}"/>
    <hyperlink ref="AD512" r:id="rId818" xr:uid="{00000000-0004-0000-0000-000031030000}"/>
    <hyperlink ref="AD513" r:id="rId819" xr:uid="{00000000-0004-0000-0000-000032030000}"/>
    <hyperlink ref="AD514" r:id="rId820" xr:uid="{00000000-0004-0000-0000-000033030000}"/>
    <hyperlink ref="AD515" r:id="rId821" xr:uid="{00000000-0004-0000-0000-000034030000}"/>
    <hyperlink ref="AD516" r:id="rId822" xr:uid="{00000000-0004-0000-0000-000035030000}"/>
    <hyperlink ref="AD518" r:id="rId823" xr:uid="{00000000-0004-0000-0000-000036030000}"/>
    <hyperlink ref="AD519" r:id="rId824" xr:uid="{00000000-0004-0000-0000-000037030000}"/>
    <hyperlink ref="AD520" r:id="rId825" xr:uid="{00000000-0004-0000-0000-000038030000}"/>
    <hyperlink ref="AD521" r:id="rId826" xr:uid="{00000000-0004-0000-0000-000039030000}"/>
    <hyperlink ref="AD522" r:id="rId827" xr:uid="{00000000-0004-0000-0000-00003A030000}"/>
    <hyperlink ref="AD523" r:id="rId828" xr:uid="{00000000-0004-0000-0000-00003B030000}"/>
    <hyperlink ref="AD524" r:id="rId829" xr:uid="{00000000-0004-0000-0000-00003C030000}"/>
    <hyperlink ref="AD526" r:id="rId830" xr:uid="{00000000-0004-0000-0000-00003D030000}"/>
    <hyperlink ref="AD527" r:id="rId831" xr:uid="{00000000-0004-0000-0000-00003E030000}"/>
    <hyperlink ref="AD528" r:id="rId832" xr:uid="{00000000-0004-0000-0000-00003F030000}"/>
    <hyperlink ref="AD529" r:id="rId833" xr:uid="{00000000-0004-0000-0000-000040030000}"/>
    <hyperlink ref="AD530" r:id="rId834" xr:uid="{00000000-0004-0000-0000-000041030000}"/>
    <hyperlink ref="AD531" r:id="rId835" xr:uid="{00000000-0004-0000-0000-000042030000}"/>
    <hyperlink ref="AD532" r:id="rId836" xr:uid="{00000000-0004-0000-0000-000043030000}"/>
    <hyperlink ref="AD533" r:id="rId837" xr:uid="{00000000-0004-0000-0000-000044030000}"/>
    <hyperlink ref="AD534" r:id="rId838" xr:uid="{00000000-0004-0000-0000-000045030000}"/>
    <hyperlink ref="AD535" r:id="rId839" xr:uid="{00000000-0004-0000-0000-000046030000}"/>
    <hyperlink ref="AD536" r:id="rId840" xr:uid="{00000000-0004-0000-0000-000047030000}"/>
    <hyperlink ref="AD537" r:id="rId841" xr:uid="{00000000-0004-0000-0000-000048030000}"/>
    <hyperlink ref="AD538" r:id="rId842" xr:uid="{00000000-0004-0000-0000-000049030000}"/>
    <hyperlink ref="AD539" r:id="rId843" xr:uid="{00000000-0004-0000-0000-00004A030000}"/>
    <hyperlink ref="AD540" r:id="rId844" xr:uid="{00000000-0004-0000-0000-00004B030000}"/>
    <hyperlink ref="AD541" r:id="rId845" xr:uid="{00000000-0004-0000-0000-00004C030000}"/>
    <hyperlink ref="AD542" r:id="rId846" xr:uid="{00000000-0004-0000-0000-00004D030000}"/>
    <hyperlink ref="AD543" r:id="rId847" xr:uid="{00000000-0004-0000-0000-00004E030000}"/>
    <hyperlink ref="AD544" r:id="rId848" xr:uid="{00000000-0004-0000-0000-00004F030000}"/>
    <hyperlink ref="AD545" r:id="rId849" xr:uid="{00000000-0004-0000-0000-000050030000}"/>
    <hyperlink ref="AD546" r:id="rId850" xr:uid="{00000000-0004-0000-0000-000051030000}"/>
    <hyperlink ref="AD547" r:id="rId851" xr:uid="{00000000-0004-0000-0000-000052030000}"/>
    <hyperlink ref="AD548" r:id="rId852" xr:uid="{00000000-0004-0000-0000-000053030000}"/>
    <hyperlink ref="AD549" r:id="rId853" xr:uid="{00000000-0004-0000-0000-000054030000}"/>
    <hyperlink ref="AD550" r:id="rId854" xr:uid="{00000000-0004-0000-0000-000055030000}"/>
    <hyperlink ref="AD551" r:id="rId855" xr:uid="{00000000-0004-0000-0000-000056030000}"/>
    <hyperlink ref="AD552" r:id="rId856" xr:uid="{00000000-0004-0000-0000-000057030000}"/>
    <hyperlink ref="AD553" r:id="rId857" xr:uid="{00000000-0004-0000-0000-000058030000}"/>
    <hyperlink ref="AD554" r:id="rId858" xr:uid="{00000000-0004-0000-0000-000059030000}"/>
    <hyperlink ref="AD555" r:id="rId859" xr:uid="{00000000-0004-0000-0000-00005A030000}"/>
    <hyperlink ref="AD556" r:id="rId860" xr:uid="{00000000-0004-0000-0000-00005B030000}"/>
    <hyperlink ref="AD557" r:id="rId861" xr:uid="{00000000-0004-0000-0000-00005C030000}"/>
    <hyperlink ref="AD558" r:id="rId862" xr:uid="{00000000-0004-0000-0000-00005D030000}"/>
    <hyperlink ref="AD559" r:id="rId863" xr:uid="{00000000-0004-0000-0000-00005E030000}"/>
    <hyperlink ref="AD560" r:id="rId864" xr:uid="{00000000-0004-0000-0000-00005F030000}"/>
    <hyperlink ref="AD561" r:id="rId865" xr:uid="{00000000-0004-0000-0000-000060030000}"/>
    <hyperlink ref="AD562" r:id="rId866" xr:uid="{00000000-0004-0000-0000-000061030000}"/>
    <hyperlink ref="AD563" r:id="rId867" xr:uid="{00000000-0004-0000-0000-000062030000}"/>
    <hyperlink ref="AD564" r:id="rId868" xr:uid="{00000000-0004-0000-0000-000063030000}"/>
    <hyperlink ref="AD565" r:id="rId869" xr:uid="{00000000-0004-0000-0000-000064030000}"/>
    <hyperlink ref="AD566" r:id="rId870" xr:uid="{00000000-0004-0000-0000-000065030000}"/>
    <hyperlink ref="AD567" r:id="rId871" xr:uid="{00000000-0004-0000-0000-000066030000}"/>
    <hyperlink ref="AD568" r:id="rId872" xr:uid="{00000000-0004-0000-0000-000067030000}"/>
    <hyperlink ref="AD569" r:id="rId873" xr:uid="{00000000-0004-0000-0000-000068030000}"/>
    <hyperlink ref="AD570" r:id="rId874" xr:uid="{00000000-0004-0000-0000-000069030000}"/>
    <hyperlink ref="AD571" r:id="rId875" xr:uid="{00000000-0004-0000-0000-00006A030000}"/>
    <hyperlink ref="AD572" r:id="rId876" xr:uid="{00000000-0004-0000-0000-00006B030000}"/>
    <hyperlink ref="AD573" r:id="rId877" xr:uid="{00000000-0004-0000-0000-00006C030000}"/>
    <hyperlink ref="AD574" r:id="rId878" xr:uid="{00000000-0004-0000-0000-00006D030000}"/>
    <hyperlink ref="AD575" r:id="rId879" xr:uid="{00000000-0004-0000-0000-00006E030000}"/>
    <hyperlink ref="AD576" r:id="rId880" xr:uid="{00000000-0004-0000-0000-00006F030000}"/>
    <hyperlink ref="AD577" r:id="rId881" xr:uid="{00000000-0004-0000-0000-000070030000}"/>
    <hyperlink ref="AD578" r:id="rId882" xr:uid="{00000000-0004-0000-0000-000071030000}"/>
    <hyperlink ref="AD579" r:id="rId883" xr:uid="{00000000-0004-0000-0000-000072030000}"/>
    <hyperlink ref="AD582" r:id="rId884" xr:uid="{00000000-0004-0000-0000-000073030000}"/>
    <hyperlink ref="AD583" r:id="rId885" xr:uid="{00000000-0004-0000-0000-000074030000}"/>
    <hyperlink ref="AD585" r:id="rId886" xr:uid="{00000000-0004-0000-0000-000075030000}"/>
    <hyperlink ref="AD588" r:id="rId887" xr:uid="{00000000-0004-0000-0000-000076030000}"/>
    <hyperlink ref="AD596" r:id="rId888" xr:uid="{00000000-0004-0000-0000-000077030000}"/>
    <hyperlink ref="AD597" r:id="rId889" xr:uid="{00000000-0004-0000-0000-000078030000}"/>
    <hyperlink ref="AD598" r:id="rId890" xr:uid="{00000000-0004-0000-0000-000079030000}"/>
    <hyperlink ref="AD599" r:id="rId891" xr:uid="{00000000-0004-0000-0000-00007A030000}"/>
    <hyperlink ref="AD600" r:id="rId892" xr:uid="{00000000-0004-0000-0000-00007B030000}"/>
    <hyperlink ref="AD601" r:id="rId893" xr:uid="{00000000-0004-0000-0000-00007C030000}"/>
    <hyperlink ref="AD602" r:id="rId894" xr:uid="{00000000-0004-0000-0000-00007D030000}"/>
    <hyperlink ref="AD603" r:id="rId895" xr:uid="{00000000-0004-0000-0000-00007E030000}"/>
    <hyperlink ref="AD604" r:id="rId896" xr:uid="{00000000-0004-0000-0000-00007F030000}"/>
    <hyperlink ref="AD605" r:id="rId897" xr:uid="{00000000-0004-0000-0000-000080030000}"/>
    <hyperlink ref="AD606" r:id="rId898" xr:uid="{00000000-0004-0000-0000-000081030000}"/>
    <hyperlink ref="AD607" r:id="rId899" xr:uid="{00000000-0004-0000-0000-000082030000}"/>
    <hyperlink ref="AD609" r:id="rId900" xr:uid="{00000000-0004-0000-0000-000083030000}"/>
    <hyperlink ref="AD610" r:id="rId901" xr:uid="{00000000-0004-0000-0000-000084030000}"/>
    <hyperlink ref="AD615" r:id="rId902" xr:uid="{00000000-0004-0000-0000-000085030000}"/>
    <hyperlink ref="AD616" r:id="rId903" xr:uid="{00000000-0004-0000-0000-000086030000}"/>
    <hyperlink ref="AD617" r:id="rId904" xr:uid="{00000000-0004-0000-0000-000087030000}"/>
    <hyperlink ref="AD623" r:id="rId905" xr:uid="{00000000-0004-0000-0000-000088030000}"/>
    <hyperlink ref="AD624" r:id="rId906" xr:uid="{00000000-0004-0000-0000-000089030000}"/>
    <hyperlink ref="AD627" r:id="rId907" xr:uid="{00000000-0004-0000-0000-00008A030000}"/>
    <hyperlink ref="AD628" r:id="rId908" xr:uid="{00000000-0004-0000-0000-00008B030000}"/>
    <hyperlink ref="AD629" r:id="rId909" xr:uid="{00000000-0004-0000-0000-00008C030000}"/>
    <hyperlink ref="AD630" r:id="rId910" xr:uid="{00000000-0004-0000-0000-00008D030000}"/>
    <hyperlink ref="AD632" r:id="rId911" xr:uid="{00000000-0004-0000-0000-00008E030000}"/>
    <hyperlink ref="AD633" r:id="rId912" xr:uid="{00000000-0004-0000-0000-00008F030000}"/>
    <hyperlink ref="AD635" r:id="rId913" xr:uid="{00000000-0004-0000-0000-000090030000}"/>
    <hyperlink ref="AD636" r:id="rId914" xr:uid="{00000000-0004-0000-0000-000091030000}"/>
    <hyperlink ref="AD637" r:id="rId915" xr:uid="{00000000-0004-0000-0000-000092030000}"/>
    <hyperlink ref="AD640" r:id="rId916" xr:uid="{00000000-0004-0000-0000-000093030000}"/>
    <hyperlink ref="AD642" r:id="rId917" xr:uid="{00000000-0004-0000-0000-000094030000}"/>
    <hyperlink ref="AD643" r:id="rId918" xr:uid="{00000000-0004-0000-0000-000095030000}"/>
    <hyperlink ref="AD645" r:id="rId919" xr:uid="{00000000-0004-0000-0000-000096030000}"/>
    <hyperlink ref="AD650" r:id="rId920" xr:uid="{00000000-0004-0000-0000-000097030000}"/>
    <hyperlink ref="AD651" r:id="rId921" xr:uid="{00000000-0004-0000-0000-000098030000}"/>
    <hyperlink ref="AD652" r:id="rId922" xr:uid="{00000000-0004-0000-0000-000099030000}"/>
    <hyperlink ref="AD653" r:id="rId923" xr:uid="{00000000-0004-0000-0000-00009A030000}"/>
    <hyperlink ref="AD654" r:id="rId924" xr:uid="{00000000-0004-0000-0000-00009B030000}"/>
    <hyperlink ref="AD656" r:id="rId925" xr:uid="{00000000-0004-0000-0000-00009C030000}"/>
    <hyperlink ref="AD657" r:id="rId926" xr:uid="{00000000-0004-0000-0000-00009D030000}"/>
    <hyperlink ref="AD658" r:id="rId927" xr:uid="{00000000-0004-0000-0000-00009E030000}"/>
    <hyperlink ref="AD663" r:id="rId928" xr:uid="{00000000-0004-0000-0000-00009F030000}"/>
    <hyperlink ref="AD666" r:id="rId929" xr:uid="{00000000-0004-0000-0000-0000A0030000}"/>
    <hyperlink ref="AD670" r:id="rId930" xr:uid="{00000000-0004-0000-0000-0000A1030000}"/>
    <hyperlink ref="AD671" r:id="rId931" xr:uid="{00000000-0004-0000-0000-0000A2030000}"/>
    <hyperlink ref="AD672" r:id="rId932" xr:uid="{00000000-0004-0000-0000-0000A3030000}"/>
    <hyperlink ref="AD673" r:id="rId933" xr:uid="{00000000-0004-0000-0000-0000A4030000}"/>
    <hyperlink ref="AD674" r:id="rId934" xr:uid="{00000000-0004-0000-0000-0000A5030000}"/>
  </hyperlinks>
  <pageMargins left="0.7" right="0.7" top="0.75" bottom="0.75" header="0" footer="0"/>
  <pageSetup paperSize="9" scale="25" orientation="landscape"/>
  <tableParts count="2">
    <tablePart r:id="rId935"/>
    <tablePart r:id="rId936"/>
  </tableParts>
  <extLst>
    <ext xmlns:x14="http://schemas.microsoft.com/office/spreadsheetml/2009/9/main" uri="{CCE6A557-97BC-4b89-ADB6-D9C93CAAB3DF}">
      <x14:dataValidations xmlns:xm="http://schemas.microsoft.com/office/excel/2006/main" count="1">
        <x14:dataValidation type="list" allowBlank="1" showDropDown="1" showErrorMessage="1" xr:uid="{00000000-0002-0000-0000-00000A000000}">
          <x14:formula1>
            <xm:f>Master!$C$70:$C$71</xm:f>
          </x14:formula1>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pane xSplit="6" ySplit="5" topLeftCell="G6" activePane="bottomRight" state="frozen"/>
      <selection pane="topRight" activeCell="G1" sqref="G1"/>
      <selection pane="bottomLeft" activeCell="A6" sqref="A6"/>
      <selection pane="bottomRight" activeCell="G6" sqref="G6"/>
    </sheetView>
  </sheetViews>
  <sheetFormatPr defaultColWidth="11.23046875" defaultRowHeight="15" customHeight="1"/>
  <cols>
    <col min="1" max="1" width="3" customWidth="1"/>
    <col min="2" max="2" width="11.4609375" customWidth="1"/>
    <col min="3" max="3" width="12.07421875" customWidth="1"/>
    <col min="4" max="4" width="4.4609375" customWidth="1"/>
    <col min="5" max="5" width="25.84375" customWidth="1"/>
    <col min="6" max="6" width="23.23046875" customWidth="1"/>
    <col min="7" max="7" width="24.3046875" customWidth="1"/>
    <col min="8" max="8" width="21.765625" customWidth="1"/>
    <col min="9" max="17" width="19.53515625" customWidth="1"/>
    <col min="18" max="18" width="14.07421875" customWidth="1"/>
    <col min="19" max="19" width="10" customWidth="1"/>
    <col min="20" max="20" width="10.69140625" customWidth="1"/>
    <col min="21" max="21" width="17" customWidth="1"/>
    <col min="22" max="22" width="19.53515625" customWidth="1"/>
    <col min="23" max="23" width="7.53515625" customWidth="1"/>
    <col min="24" max="24" width="50.765625" customWidth="1"/>
    <col min="25" max="25" width="28.53515625" customWidth="1"/>
  </cols>
  <sheetData>
    <row r="1" spans="1:25" ht="11.25" customHeight="1">
      <c r="A1" s="1188" t="s">
        <v>1797</v>
      </c>
      <c r="B1" s="1176"/>
      <c r="C1" s="1176"/>
      <c r="D1" s="1176"/>
      <c r="E1" s="1176"/>
      <c r="F1" s="1176"/>
      <c r="G1" s="230"/>
      <c r="H1" s="230"/>
      <c r="I1" s="230"/>
      <c r="J1" s="230"/>
      <c r="K1" s="230"/>
      <c r="L1" s="230"/>
      <c r="M1" s="230"/>
      <c r="N1" s="230"/>
      <c r="O1" s="230"/>
      <c r="P1" s="230"/>
      <c r="Q1" s="230"/>
      <c r="R1" s="230"/>
      <c r="S1" s="230"/>
      <c r="T1" s="230"/>
      <c r="U1" s="231"/>
      <c r="V1" s="230"/>
      <c r="W1" s="230"/>
      <c r="X1" s="230"/>
    </row>
    <row r="2" spans="1:25" ht="16.5" customHeight="1">
      <c r="A2" s="1176"/>
      <c r="B2" s="1176"/>
      <c r="C2" s="1176"/>
      <c r="D2" s="1176"/>
      <c r="E2" s="1176"/>
      <c r="F2" s="1176"/>
      <c r="G2" s="230"/>
      <c r="H2" s="230"/>
      <c r="I2" s="230"/>
      <c r="J2" s="230"/>
      <c r="K2" s="230"/>
      <c r="L2" s="230"/>
      <c r="M2" s="230"/>
      <c r="N2" s="230"/>
      <c r="O2" s="230"/>
      <c r="P2" s="230"/>
      <c r="Q2" s="230"/>
      <c r="R2" s="230"/>
      <c r="S2" s="230"/>
      <c r="T2" s="230"/>
      <c r="U2" s="231"/>
      <c r="V2" s="230"/>
      <c r="W2" s="230"/>
      <c r="X2" s="230"/>
    </row>
    <row r="3" spans="1:25" ht="20.25" customHeight="1">
      <c r="A3" s="1176"/>
      <c r="B3" s="1176"/>
      <c r="C3" s="1176"/>
      <c r="D3" s="1176"/>
      <c r="E3" s="1176"/>
      <c r="F3" s="1176"/>
      <c r="G3" s="230"/>
      <c r="H3" s="230"/>
      <c r="I3" s="230"/>
      <c r="J3" s="230"/>
      <c r="K3" s="230"/>
      <c r="L3" s="230"/>
      <c r="M3" s="230"/>
      <c r="N3" s="230"/>
      <c r="O3" s="230"/>
      <c r="P3" s="230"/>
      <c r="Q3" s="230"/>
      <c r="R3" s="230"/>
      <c r="S3" s="230"/>
      <c r="T3" s="230"/>
      <c r="U3" s="231"/>
      <c r="V3" s="230"/>
      <c r="W3" s="230"/>
      <c r="X3" s="230"/>
    </row>
    <row r="4" spans="1:25" ht="37.5" customHeight="1">
      <c r="A4" s="1189" t="s">
        <v>1</v>
      </c>
      <c r="B4" s="1190"/>
      <c r="C4" s="1191"/>
      <c r="D4" s="232"/>
      <c r="E4" s="1192" t="s">
        <v>2</v>
      </c>
      <c r="F4" s="1191"/>
      <c r="G4" s="1189" t="s">
        <v>1798</v>
      </c>
      <c r="H4" s="1190"/>
      <c r="I4" s="1190"/>
      <c r="J4" s="1190"/>
      <c r="K4" s="1191"/>
      <c r="L4" s="233"/>
      <c r="M4" s="233"/>
      <c r="N4" s="233"/>
      <c r="O4" s="233"/>
      <c r="P4" s="233"/>
      <c r="Q4" s="1189"/>
      <c r="R4" s="1190"/>
      <c r="S4" s="1190"/>
      <c r="T4" s="1190"/>
      <c r="U4" s="1190"/>
      <c r="V4" s="1190"/>
      <c r="W4" s="1190"/>
      <c r="X4" s="1191"/>
    </row>
    <row r="5" spans="1:25" ht="37.5" customHeight="1">
      <c r="A5" s="234" t="s">
        <v>5</v>
      </c>
      <c r="B5" s="234" t="s">
        <v>6</v>
      </c>
      <c r="C5" s="234" t="s">
        <v>7</v>
      </c>
      <c r="D5" s="235"/>
      <c r="E5" s="235" t="s">
        <v>9</v>
      </c>
      <c r="F5" s="234" t="s">
        <v>10</v>
      </c>
      <c r="G5" s="234">
        <v>1</v>
      </c>
      <c r="H5" s="234">
        <v>2</v>
      </c>
      <c r="I5" s="234">
        <v>3</v>
      </c>
      <c r="J5" s="234">
        <v>4</v>
      </c>
      <c r="K5" s="234">
        <v>5</v>
      </c>
      <c r="L5" s="234">
        <v>6</v>
      </c>
      <c r="M5" s="234">
        <v>7</v>
      </c>
      <c r="N5" s="234">
        <v>8</v>
      </c>
      <c r="O5" s="234">
        <v>9</v>
      </c>
      <c r="P5" s="234">
        <v>10</v>
      </c>
      <c r="Q5" s="234" t="s">
        <v>21</v>
      </c>
      <c r="R5" s="234" t="s">
        <v>22</v>
      </c>
      <c r="S5" s="234" t="s">
        <v>23</v>
      </c>
      <c r="T5" s="236" t="s">
        <v>1799</v>
      </c>
      <c r="U5" s="236" t="s">
        <v>1800</v>
      </c>
      <c r="V5" s="236" t="s">
        <v>1801</v>
      </c>
      <c r="W5" s="237" t="s">
        <v>27</v>
      </c>
      <c r="X5" s="238" t="s">
        <v>30</v>
      </c>
      <c r="Y5" s="239" t="s">
        <v>1802</v>
      </c>
    </row>
    <row r="6" spans="1:25" ht="37.5" customHeight="1">
      <c r="A6" s="240">
        <v>1</v>
      </c>
      <c r="B6" s="241">
        <f t="shared" ref="B6:B53" ca="1" si="0">IF(OR(E6&lt;&gt;"",F6&lt;&gt;""),IF(B6="",NOW(),B6),"")</f>
        <v>45735.472269999998</v>
      </c>
      <c r="C6" s="242"/>
      <c r="D6" s="243"/>
      <c r="E6" s="244" t="s">
        <v>1803</v>
      </c>
      <c r="F6" s="44" t="s">
        <v>58</v>
      </c>
      <c r="G6" s="245" t="s">
        <v>102</v>
      </c>
      <c r="H6" s="245" t="s">
        <v>103</v>
      </c>
      <c r="I6" s="245" t="s">
        <v>192</v>
      </c>
      <c r="J6" s="245" t="s">
        <v>59</v>
      </c>
      <c r="K6" s="245" t="s">
        <v>92</v>
      </c>
      <c r="L6" s="245" t="s">
        <v>159</v>
      </c>
      <c r="M6" s="245" t="s">
        <v>274</v>
      </c>
      <c r="N6" s="245" t="s">
        <v>273</v>
      </c>
      <c r="O6" s="245" t="s">
        <v>276</v>
      </c>
      <c r="P6" s="245" t="s">
        <v>169</v>
      </c>
      <c r="Q6" s="44" t="s">
        <v>1804</v>
      </c>
      <c r="R6" s="245" t="s">
        <v>1805</v>
      </c>
      <c r="S6" s="245" t="s">
        <v>1806</v>
      </c>
      <c r="T6" s="245" t="s">
        <v>1807</v>
      </c>
      <c r="U6" s="44"/>
      <c r="V6" s="246"/>
      <c r="W6" s="247" t="s">
        <v>1808</v>
      </c>
      <c r="X6" s="239"/>
      <c r="Y6" s="239"/>
    </row>
    <row r="7" spans="1:25" ht="37.5" customHeight="1">
      <c r="A7" s="248">
        <v>2</v>
      </c>
      <c r="B7" s="241">
        <f t="shared" ca="1" si="0"/>
        <v>45874.616009999998</v>
      </c>
      <c r="C7" s="249"/>
      <c r="D7" s="63"/>
      <c r="E7" s="250" t="s">
        <v>1809</v>
      </c>
      <c r="F7" s="250" t="s">
        <v>67</v>
      </c>
      <c r="G7" s="251" t="s">
        <v>220</v>
      </c>
      <c r="H7" s="252" t="s">
        <v>698</v>
      </c>
      <c r="I7" s="252" t="s">
        <v>376</v>
      </c>
      <c r="J7" s="253"/>
      <c r="K7" s="253"/>
      <c r="L7" s="253"/>
      <c r="M7" s="253"/>
      <c r="N7" s="253"/>
      <c r="O7" s="253"/>
      <c r="P7" s="253"/>
      <c r="Q7" s="21"/>
      <c r="R7" s="253"/>
      <c r="S7" s="253" t="s">
        <v>1810</v>
      </c>
      <c r="T7" s="253" t="s">
        <v>1811</v>
      </c>
      <c r="U7" s="21" t="s">
        <v>1812</v>
      </c>
      <c r="V7" s="131"/>
      <c r="W7" s="24" t="s">
        <v>1808</v>
      </c>
      <c r="X7" s="239"/>
    </row>
    <row r="8" spans="1:25" ht="37.5" customHeight="1">
      <c r="A8" s="248">
        <v>3</v>
      </c>
      <c r="B8" s="241">
        <f t="shared" ca="1" si="0"/>
        <v>45998.454100000003</v>
      </c>
      <c r="C8" s="254" t="s">
        <v>182</v>
      </c>
      <c r="D8" s="63"/>
      <c r="E8" s="58" t="s">
        <v>1813</v>
      </c>
      <c r="F8" s="253" t="s">
        <v>49</v>
      </c>
      <c r="G8" s="253" t="s">
        <v>291</v>
      </c>
      <c r="H8" s="253"/>
      <c r="I8" s="253"/>
      <c r="J8" s="253"/>
      <c r="K8" s="253"/>
      <c r="L8" s="253"/>
      <c r="M8" s="253"/>
      <c r="N8" s="253"/>
      <c r="O8" s="253"/>
      <c r="P8" s="253"/>
      <c r="Q8" s="21"/>
      <c r="R8" s="253" t="s">
        <v>1805</v>
      </c>
      <c r="S8" s="253" t="s">
        <v>1810</v>
      </c>
      <c r="T8" s="253" t="s">
        <v>1811</v>
      </c>
      <c r="U8" s="21" t="s">
        <v>1814</v>
      </c>
      <c r="V8" s="131" t="s">
        <v>1815</v>
      </c>
      <c r="W8" s="24" t="s">
        <v>1808</v>
      </c>
      <c r="X8" s="239"/>
    </row>
    <row r="9" spans="1:25" ht="37.5" customHeight="1">
      <c r="A9" s="248">
        <v>4</v>
      </c>
      <c r="B9" s="241">
        <f t="shared" ca="1" si="0"/>
        <v>45999.67568</v>
      </c>
      <c r="C9" s="254"/>
      <c r="D9" s="63"/>
      <c r="E9" s="58" t="s">
        <v>1816</v>
      </c>
      <c r="F9" s="253" t="s">
        <v>201</v>
      </c>
      <c r="G9" s="253" t="s">
        <v>193</v>
      </c>
      <c r="H9" s="253" t="s">
        <v>375</v>
      </c>
      <c r="I9" s="253" t="s">
        <v>644</v>
      </c>
      <c r="J9" s="253" t="s">
        <v>415</v>
      </c>
      <c r="K9" s="253" t="s">
        <v>376</v>
      </c>
      <c r="L9" s="253" t="s">
        <v>360</v>
      </c>
      <c r="M9" s="253" t="s">
        <v>359</v>
      </c>
      <c r="N9" s="253" t="s">
        <v>745</v>
      </c>
      <c r="O9" s="253" t="s">
        <v>356</v>
      </c>
      <c r="P9" s="253" t="s">
        <v>374</v>
      </c>
      <c r="Q9" s="21" t="s">
        <v>1817</v>
      </c>
      <c r="R9" s="253" t="s">
        <v>1805</v>
      </c>
      <c r="S9" s="253" t="s">
        <v>1806</v>
      </c>
      <c r="T9" s="253" t="s">
        <v>1811</v>
      </c>
      <c r="U9" s="21" t="s">
        <v>1818</v>
      </c>
      <c r="V9" s="131"/>
      <c r="W9" s="24" t="s">
        <v>1808</v>
      </c>
      <c r="X9" s="255" t="s">
        <v>1819</v>
      </c>
    </row>
    <row r="10" spans="1:25" ht="37.5" customHeight="1">
      <c r="A10" s="248">
        <v>5</v>
      </c>
      <c r="B10" s="241">
        <f t="shared" ca="1" si="0"/>
        <v>45999.682489999999</v>
      </c>
      <c r="C10" s="254"/>
      <c r="D10" s="63"/>
      <c r="E10" s="58" t="s">
        <v>1820</v>
      </c>
      <c r="F10" s="253" t="s">
        <v>201</v>
      </c>
      <c r="G10" s="253" t="s">
        <v>375</v>
      </c>
      <c r="H10" s="253" t="s">
        <v>193</v>
      </c>
      <c r="I10" s="253" t="s">
        <v>644</v>
      </c>
      <c r="J10" s="253" t="s">
        <v>415</v>
      </c>
      <c r="K10" s="253" t="s">
        <v>376</v>
      </c>
      <c r="L10" s="253" t="s">
        <v>360</v>
      </c>
      <c r="M10" s="253" t="s">
        <v>359</v>
      </c>
      <c r="N10" s="253" t="s">
        <v>745</v>
      </c>
      <c r="O10" s="253" t="s">
        <v>356</v>
      </c>
      <c r="P10" s="253" t="s">
        <v>374</v>
      </c>
      <c r="Q10" s="21" t="s">
        <v>1817</v>
      </c>
      <c r="R10" s="253"/>
      <c r="S10" s="253" t="s">
        <v>1806</v>
      </c>
      <c r="T10" s="253" t="s">
        <v>1811</v>
      </c>
      <c r="U10" s="21" t="s">
        <v>1818</v>
      </c>
      <c r="V10" s="131"/>
      <c r="W10" s="24" t="s">
        <v>1808</v>
      </c>
      <c r="X10" s="255" t="s">
        <v>1819</v>
      </c>
    </row>
    <row r="11" spans="1:25" ht="37.5" customHeight="1">
      <c r="A11" s="248">
        <v>6</v>
      </c>
      <c r="B11" s="241">
        <f t="shared" ca="1" si="0"/>
        <v>46001.642140000004</v>
      </c>
      <c r="C11" s="254" t="s">
        <v>182</v>
      </c>
      <c r="D11" s="63"/>
      <c r="E11" s="58" t="s">
        <v>1821</v>
      </c>
      <c r="F11" s="253" t="s">
        <v>32</v>
      </c>
      <c r="G11" s="253" t="s">
        <v>261</v>
      </c>
      <c r="H11" s="253" t="s">
        <v>128</v>
      </c>
      <c r="I11" s="253" t="s">
        <v>33</v>
      </c>
      <c r="J11" s="253" t="s">
        <v>263</v>
      </c>
      <c r="K11" s="253" t="s">
        <v>262</v>
      </c>
      <c r="L11" s="253" t="s">
        <v>260</v>
      </c>
      <c r="M11" s="253"/>
      <c r="N11" s="253"/>
      <c r="O11" s="253"/>
      <c r="P11" s="253"/>
      <c r="Q11" s="21"/>
      <c r="R11" s="253"/>
      <c r="S11" s="253" t="s">
        <v>1810</v>
      </c>
      <c r="T11" s="253" t="s">
        <v>1811</v>
      </c>
      <c r="U11" s="21" t="s">
        <v>1822</v>
      </c>
      <c r="V11" s="131" t="s">
        <v>1823</v>
      </c>
      <c r="W11" s="24" t="s">
        <v>1808</v>
      </c>
      <c r="X11" s="239"/>
    </row>
    <row r="12" spans="1:25" ht="37.5" customHeight="1">
      <c r="A12" s="248">
        <v>7</v>
      </c>
      <c r="B12" s="241">
        <f t="shared" ca="1" si="0"/>
        <v>46001.642140000004</v>
      </c>
      <c r="C12" s="254" t="s">
        <v>182</v>
      </c>
      <c r="D12" s="63"/>
      <c r="E12" s="58" t="s">
        <v>1824</v>
      </c>
      <c r="F12" s="253" t="s">
        <v>32</v>
      </c>
      <c r="G12" s="253" t="s">
        <v>261</v>
      </c>
      <c r="H12" s="253" t="s">
        <v>128</v>
      </c>
      <c r="I12" s="253" t="s">
        <v>33</v>
      </c>
      <c r="J12" s="253"/>
      <c r="K12" s="253"/>
      <c r="L12" s="253"/>
      <c r="M12" s="253"/>
      <c r="N12" s="253"/>
      <c r="O12" s="253"/>
      <c r="P12" s="253"/>
      <c r="Q12" s="21" t="s">
        <v>1825</v>
      </c>
      <c r="R12" s="253" t="s">
        <v>1805</v>
      </c>
      <c r="S12" s="253" t="s">
        <v>1810</v>
      </c>
      <c r="T12" s="253" t="s">
        <v>1811</v>
      </c>
      <c r="U12" s="21" t="s">
        <v>1822</v>
      </c>
      <c r="V12" s="131" t="s">
        <v>1826</v>
      </c>
      <c r="W12" s="24" t="s">
        <v>1808</v>
      </c>
      <c r="X12" s="34"/>
    </row>
    <row r="13" spans="1:25" ht="37.5" customHeight="1">
      <c r="A13" s="248">
        <v>8</v>
      </c>
      <c r="B13" s="241" t="str">
        <f t="shared" ca="1" si="0"/>
        <v/>
      </c>
      <c r="C13" s="254"/>
      <c r="D13" s="63"/>
      <c r="E13" s="256"/>
      <c r="F13" s="253"/>
      <c r="G13" s="253"/>
      <c r="H13" s="253"/>
      <c r="I13" s="253"/>
      <c r="J13" s="253"/>
      <c r="K13" s="253"/>
      <c r="L13" s="253"/>
      <c r="M13" s="253"/>
      <c r="N13" s="253"/>
      <c r="O13" s="253"/>
      <c r="P13" s="253"/>
      <c r="Q13" s="21"/>
      <c r="R13" s="253"/>
      <c r="S13" s="253"/>
      <c r="T13" s="253"/>
      <c r="U13" s="21"/>
      <c r="V13" s="131"/>
      <c r="W13" s="24" t="s">
        <v>1808</v>
      </c>
      <c r="X13" s="34"/>
    </row>
    <row r="14" spans="1:25" ht="37.5" customHeight="1">
      <c r="A14" s="248">
        <v>9</v>
      </c>
      <c r="B14" s="241" t="str">
        <f t="shared" ca="1" si="0"/>
        <v/>
      </c>
      <c r="C14" s="254"/>
      <c r="D14" s="63"/>
      <c r="E14" s="256"/>
      <c r="F14" s="253"/>
      <c r="G14" s="253"/>
      <c r="H14" s="253"/>
      <c r="I14" s="253"/>
      <c r="J14" s="253"/>
      <c r="K14" s="253"/>
      <c r="L14" s="253"/>
      <c r="M14" s="253"/>
      <c r="N14" s="253"/>
      <c r="O14" s="253"/>
      <c r="P14" s="253"/>
      <c r="Q14" s="21"/>
      <c r="R14" s="253"/>
      <c r="S14" s="253"/>
      <c r="T14" s="253"/>
      <c r="U14" s="21"/>
      <c r="V14" s="131"/>
      <c r="W14" s="24" t="s">
        <v>1808</v>
      </c>
      <c r="X14" s="34"/>
    </row>
    <row r="15" spans="1:25" ht="37.5" customHeight="1">
      <c r="A15" s="248">
        <v>10</v>
      </c>
      <c r="B15" s="241" t="str">
        <f t="shared" ca="1" si="0"/>
        <v/>
      </c>
      <c r="C15" s="254"/>
      <c r="D15" s="63"/>
      <c r="E15" s="256"/>
      <c r="F15" s="253"/>
      <c r="G15" s="253"/>
      <c r="H15" s="253"/>
      <c r="I15" s="253"/>
      <c r="J15" s="253"/>
      <c r="K15" s="253"/>
      <c r="L15" s="253"/>
      <c r="M15" s="253"/>
      <c r="N15" s="253"/>
      <c r="O15" s="253"/>
      <c r="P15" s="253"/>
      <c r="Q15" s="21"/>
      <c r="R15" s="253"/>
      <c r="S15" s="253"/>
      <c r="T15" s="253"/>
      <c r="U15" s="21"/>
      <c r="V15" s="131"/>
      <c r="W15" s="24" t="s">
        <v>1808</v>
      </c>
      <c r="X15" s="257"/>
    </row>
    <row r="16" spans="1:25" ht="37.5" customHeight="1">
      <c r="A16" s="248">
        <v>11</v>
      </c>
      <c r="B16" s="241" t="str">
        <f t="shared" ca="1" si="0"/>
        <v/>
      </c>
      <c r="C16" s="258"/>
      <c r="D16" s="63"/>
      <c r="E16" s="256"/>
      <c r="F16" s="253"/>
      <c r="G16" s="253"/>
      <c r="H16" s="253"/>
      <c r="I16" s="253"/>
      <c r="J16" s="253"/>
      <c r="K16" s="253"/>
      <c r="L16" s="253"/>
      <c r="M16" s="253"/>
      <c r="N16" s="253"/>
      <c r="O16" s="253"/>
      <c r="P16" s="253"/>
      <c r="Q16" s="21"/>
      <c r="R16" s="253"/>
      <c r="S16" s="253"/>
      <c r="T16" s="253"/>
      <c r="U16" s="21"/>
      <c r="V16" s="131"/>
      <c r="W16" s="24" t="s">
        <v>1808</v>
      </c>
      <c r="X16" s="34"/>
    </row>
    <row r="17" spans="1:24" ht="37.5" customHeight="1">
      <c r="A17" s="248">
        <v>12</v>
      </c>
      <c r="B17" s="241" t="str">
        <f t="shared" ca="1" si="0"/>
        <v/>
      </c>
      <c r="C17" s="254"/>
      <c r="D17" s="63"/>
      <c r="E17" s="259"/>
      <c r="F17" s="253"/>
      <c r="G17" s="253"/>
      <c r="H17" s="253"/>
      <c r="I17" s="253"/>
      <c r="J17" s="253"/>
      <c r="K17" s="253"/>
      <c r="L17" s="253"/>
      <c r="M17" s="253"/>
      <c r="N17" s="253"/>
      <c r="O17" s="253"/>
      <c r="P17" s="253"/>
      <c r="Q17" s="21"/>
      <c r="R17" s="253"/>
      <c r="S17" s="253"/>
      <c r="T17" s="253"/>
      <c r="U17" s="21"/>
      <c r="V17" s="131"/>
      <c r="W17" s="24" t="s">
        <v>1808</v>
      </c>
      <c r="X17" s="260"/>
    </row>
    <row r="18" spans="1:24" ht="37.5" customHeight="1">
      <c r="A18" s="248">
        <v>13</v>
      </c>
      <c r="B18" s="241" t="str">
        <f t="shared" ca="1" si="0"/>
        <v/>
      </c>
      <c r="C18" s="254"/>
      <c r="D18" s="63"/>
      <c r="E18" s="256"/>
      <c r="F18" s="253"/>
      <c r="G18" s="253"/>
      <c r="H18" s="253"/>
      <c r="I18" s="253"/>
      <c r="J18" s="253"/>
      <c r="K18" s="253"/>
      <c r="L18" s="253"/>
      <c r="M18" s="253"/>
      <c r="N18" s="253"/>
      <c r="O18" s="253"/>
      <c r="P18" s="253"/>
      <c r="Q18" s="21"/>
      <c r="R18" s="253"/>
      <c r="S18" s="253"/>
      <c r="T18" s="253"/>
      <c r="U18" s="21"/>
      <c r="V18" s="131"/>
      <c r="W18" s="24" t="s">
        <v>1808</v>
      </c>
      <c r="X18" s="257"/>
    </row>
    <row r="19" spans="1:24" ht="37.5" customHeight="1">
      <c r="A19" s="248">
        <v>14</v>
      </c>
      <c r="B19" s="241" t="str">
        <f t="shared" ca="1" si="0"/>
        <v/>
      </c>
      <c r="C19" s="258"/>
      <c r="D19" s="63"/>
      <c r="E19" s="256"/>
      <c r="F19" s="253"/>
      <c r="G19" s="253"/>
      <c r="H19" s="253"/>
      <c r="I19" s="253"/>
      <c r="J19" s="253"/>
      <c r="K19" s="253"/>
      <c r="L19" s="253"/>
      <c r="M19" s="253"/>
      <c r="N19" s="253"/>
      <c r="O19" s="253"/>
      <c r="P19" s="253"/>
      <c r="Q19" s="21"/>
      <c r="R19" s="253"/>
      <c r="S19" s="253"/>
      <c r="T19" s="253"/>
      <c r="U19" s="21"/>
      <c r="V19" s="131"/>
      <c r="W19" s="24" t="s">
        <v>1808</v>
      </c>
      <c r="X19" s="34"/>
    </row>
    <row r="20" spans="1:24" ht="37.5" customHeight="1">
      <c r="A20" s="248">
        <v>15</v>
      </c>
      <c r="B20" s="241" t="str">
        <f t="shared" ca="1" si="0"/>
        <v/>
      </c>
      <c r="C20" s="258"/>
      <c r="D20" s="63"/>
      <c r="E20" s="256"/>
      <c r="F20" s="253"/>
      <c r="G20" s="253"/>
      <c r="H20" s="253"/>
      <c r="I20" s="253"/>
      <c r="J20" s="253"/>
      <c r="K20" s="253"/>
      <c r="L20" s="253"/>
      <c r="M20" s="253"/>
      <c r="N20" s="253"/>
      <c r="O20" s="253"/>
      <c r="P20" s="253"/>
      <c r="Q20" s="21"/>
      <c r="R20" s="253"/>
      <c r="S20" s="253"/>
      <c r="T20" s="253"/>
      <c r="U20" s="21"/>
      <c r="V20" s="131"/>
      <c r="W20" s="24" t="s">
        <v>1808</v>
      </c>
      <c r="X20" s="34"/>
    </row>
    <row r="21" spans="1:24" ht="37.5" customHeight="1">
      <c r="A21" s="248">
        <v>16</v>
      </c>
      <c r="B21" s="241" t="str">
        <f t="shared" ca="1" si="0"/>
        <v/>
      </c>
      <c r="C21" s="258"/>
      <c r="D21" s="63"/>
      <c r="E21" s="256"/>
      <c r="F21" s="253"/>
      <c r="G21" s="261"/>
      <c r="H21" s="253"/>
      <c r="I21" s="253"/>
      <c r="J21" s="253"/>
      <c r="K21" s="253"/>
      <c r="L21" s="253"/>
      <c r="M21" s="253"/>
      <c r="N21" s="253"/>
      <c r="O21" s="253"/>
      <c r="P21" s="253"/>
      <c r="Q21" s="21"/>
      <c r="R21" s="253"/>
      <c r="S21" s="253"/>
      <c r="T21" s="253"/>
      <c r="U21" s="21"/>
      <c r="V21" s="131"/>
      <c r="W21" s="24" t="s">
        <v>1808</v>
      </c>
      <c r="X21" s="213"/>
    </row>
    <row r="22" spans="1:24" ht="37.5" customHeight="1">
      <c r="A22" s="248">
        <v>17</v>
      </c>
      <c r="B22" s="241" t="str">
        <f t="shared" ca="1" si="0"/>
        <v/>
      </c>
      <c r="C22" s="254"/>
      <c r="D22" s="63"/>
      <c r="E22" s="262"/>
      <c r="F22" s="253"/>
      <c r="G22" s="261"/>
      <c r="H22" s="253"/>
      <c r="I22" s="253"/>
      <c r="J22" s="253"/>
      <c r="K22" s="253"/>
      <c r="L22" s="253"/>
      <c r="M22" s="253"/>
      <c r="N22" s="253"/>
      <c r="O22" s="253"/>
      <c r="P22" s="253"/>
      <c r="Q22" s="21"/>
      <c r="R22" s="253"/>
      <c r="S22" s="253"/>
      <c r="T22" s="253"/>
      <c r="U22" s="21"/>
      <c r="V22" s="131"/>
      <c r="W22" s="24" t="s">
        <v>1808</v>
      </c>
      <c r="X22" s="213"/>
    </row>
    <row r="23" spans="1:24" ht="37.5" customHeight="1">
      <c r="A23" s="248">
        <v>18</v>
      </c>
      <c r="B23" s="241" t="str">
        <f t="shared" ca="1" si="0"/>
        <v/>
      </c>
      <c r="C23" s="263"/>
      <c r="D23" s="63"/>
      <c r="E23" s="264"/>
      <c r="F23" s="265"/>
      <c r="G23" s="266"/>
      <c r="H23" s="265"/>
      <c r="I23" s="265"/>
      <c r="J23" s="265"/>
      <c r="K23" s="265"/>
      <c r="L23" s="265"/>
      <c r="M23" s="265"/>
      <c r="N23" s="265"/>
      <c r="O23" s="265"/>
      <c r="P23" s="265"/>
      <c r="Q23" s="217"/>
      <c r="R23" s="265"/>
      <c r="S23" s="265"/>
      <c r="T23" s="265"/>
      <c r="U23" s="217"/>
      <c r="V23" s="131"/>
      <c r="W23" s="24" t="s">
        <v>1808</v>
      </c>
      <c r="X23" s="257"/>
    </row>
    <row r="24" spans="1:24" ht="37.5" customHeight="1">
      <c r="A24" s="248">
        <v>19</v>
      </c>
      <c r="B24" s="241" t="str">
        <f t="shared" ca="1" si="0"/>
        <v/>
      </c>
      <c r="C24" s="258"/>
      <c r="D24" s="63"/>
      <c r="E24" s="262"/>
      <c r="F24" s="253"/>
      <c r="G24" s="261"/>
      <c r="H24" s="253"/>
      <c r="I24" s="253"/>
      <c r="J24" s="253"/>
      <c r="K24" s="253"/>
      <c r="L24" s="253"/>
      <c r="M24" s="253"/>
      <c r="N24" s="253"/>
      <c r="O24" s="253"/>
      <c r="P24" s="253"/>
      <c r="Q24" s="21"/>
      <c r="R24" s="253"/>
      <c r="S24" s="253"/>
      <c r="T24" s="253"/>
      <c r="U24" s="21"/>
      <c r="V24" s="131"/>
      <c r="W24" s="24" t="s">
        <v>1808</v>
      </c>
      <c r="X24" s="34"/>
    </row>
    <row r="25" spans="1:24" ht="37.5" customHeight="1">
      <c r="A25" s="248">
        <v>20</v>
      </c>
      <c r="B25" s="241" t="str">
        <f t="shared" ca="1" si="0"/>
        <v/>
      </c>
      <c r="C25" s="258"/>
      <c r="D25" s="63"/>
      <c r="E25" s="262"/>
      <c r="F25" s="253"/>
      <c r="G25" s="261"/>
      <c r="H25" s="253"/>
      <c r="I25" s="253"/>
      <c r="J25" s="253"/>
      <c r="K25" s="253"/>
      <c r="L25" s="253"/>
      <c r="M25" s="253"/>
      <c r="N25" s="253"/>
      <c r="O25" s="253"/>
      <c r="P25" s="253"/>
      <c r="Q25" s="21"/>
      <c r="R25" s="253"/>
      <c r="S25" s="253"/>
      <c r="T25" s="253"/>
      <c r="U25" s="21"/>
      <c r="V25" s="131"/>
      <c r="W25" s="24" t="s">
        <v>1808</v>
      </c>
      <c r="X25" s="34"/>
    </row>
    <row r="26" spans="1:24" ht="37.5" customHeight="1">
      <c r="A26" s="248">
        <v>21</v>
      </c>
      <c r="B26" s="241" t="str">
        <f t="shared" ca="1" si="0"/>
        <v/>
      </c>
      <c r="C26" s="267"/>
      <c r="D26" s="63"/>
      <c r="E26" s="262"/>
      <c r="F26" s="253"/>
      <c r="G26" s="261"/>
      <c r="H26" s="253"/>
      <c r="I26" s="253"/>
      <c r="J26" s="253"/>
      <c r="K26" s="253"/>
      <c r="L26" s="253"/>
      <c r="M26" s="253"/>
      <c r="N26" s="253"/>
      <c r="O26" s="253"/>
      <c r="P26" s="253"/>
      <c r="Q26" s="21"/>
      <c r="R26" s="253"/>
      <c r="S26" s="253"/>
      <c r="T26" s="253"/>
      <c r="U26" s="21"/>
      <c r="V26" s="131"/>
      <c r="W26" s="24" t="s">
        <v>1808</v>
      </c>
      <c r="X26" s="34"/>
    </row>
    <row r="27" spans="1:24" ht="37.5" customHeight="1">
      <c r="A27" s="248">
        <v>22</v>
      </c>
      <c r="B27" s="241" t="str">
        <f t="shared" ca="1" si="0"/>
        <v/>
      </c>
      <c r="C27" s="258"/>
      <c r="D27" s="63"/>
      <c r="E27" s="262"/>
      <c r="F27" s="253"/>
      <c r="G27" s="261"/>
      <c r="H27" s="253"/>
      <c r="I27" s="253"/>
      <c r="J27" s="253"/>
      <c r="K27" s="253"/>
      <c r="L27" s="253"/>
      <c r="M27" s="253"/>
      <c r="N27" s="253"/>
      <c r="O27" s="253"/>
      <c r="P27" s="253"/>
      <c r="Q27" s="21"/>
      <c r="R27" s="253"/>
      <c r="S27" s="253"/>
      <c r="T27" s="253"/>
      <c r="U27" s="21"/>
      <c r="V27" s="131"/>
      <c r="W27" s="24" t="s">
        <v>1808</v>
      </c>
      <c r="X27" s="257"/>
    </row>
    <row r="28" spans="1:24" ht="37.5" customHeight="1">
      <c r="A28" s="248">
        <v>23</v>
      </c>
      <c r="B28" s="241" t="str">
        <f t="shared" ca="1" si="0"/>
        <v/>
      </c>
      <c r="C28" s="254"/>
      <c r="D28" s="63"/>
      <c r="E28" s="262"/>
      <c r="F28" s="253"/>
      <c r="G28" s="261"/>
      <c r="H28" s="253"/>
      <c r="I28" s="253"/>
      <c r="J28" s="253"/>
      <c r="K28" s="253"/>
      <c r="L28" s="253"/>
      <c r="M28" s="253"/>
      <c r="N28" s="253"/>
      <c r="O28" s="253"/>
      <c r="P28" s="253"/>
      <c r="Q28" s="21"/>
      <c r="R28" s="253"/>
      <c r="S28" s="253"/>
      <c r="T28" s="253"/>
      <c r="U28" s="21"/>
      <c r="V28" s="131"/>
      <c r="W28" s="24" t="s">
        <v>1808</v>
      </c>
      <c r="X28" s="257"/>
    </row>
    <row r="29" spans="1:24" ht="37.5" customHeight="1">
      <c r="A29" s="248">
        <v>24</v>
      </c>
      <c r="B29" s="241" t="str">
        <f t="shared" ca="1" si="0"/>
        <v/>
      </c>
      <c r="C29" s="254"/>
      <c r="D29" s="63"/>
      <c r="E29" s="262"/>
      <c r="F29" s="253"/>
      <c r="G29" s="253"/>
      <c r="H29" s="253"/>
      <c r="I29" s="253"/>
      <c r="J29" s="253"/>
      <c r="K29" s="253"/>
      <c r="L29" s="253"/>
      <c r="M29" s="253"/>
      <c r="N29" s="253"/>
      <c r="O29" s="253"/>
      <c r="P29" s="253"/>
      <c r="Q29" s="21"/>
      <c r="R29" s="253"/>
      <c r="S29" s="253"/>
      <c r="T29" s="253"/>
      <c r="U29" s="21"/>
      <c r="V29" s="131"/>
      <c r="W29" s="24" t="s">
        <v>1808</v>
      </c>
      <c r="X29" s="257"/>
    </row>
    <row r="30" spans="1:24" ht="37.5" customHeight="1">
      <c r="A30" s="248">
        <v>25</v>
      </c>
      <c r="B30" s="241" t="str">
        <f t="shared" ca="1" si="0"/>
        <v/>
      </c>
      <c r="C30" s="254"/>
      <c r="D30" s="63"/>
      <c r="E30" s="262"/>
      <c r="F30" s="253"/>
      <c r="G30" s="253"/>
      <c r="H30" s="253"/>
      <c r="I30" s="253"/>
      <c r="J30" s="253"/>
      <c r="K30" s="253"/>
      <c r="L30" s="253"/>
      <c r="M30" s="253"/>
      <c r="N30" s="253"/>
      <c r="O30" s="253"/>
      <c r="P30" s="253"/>
      <c r="Q30" s="21"/>
      <c r="R30" s="253"/>
      <c r="S30" s="253"/>
      <c r="T30" s="253"/>
      <c r="U30" s="21"/>
      <c r="V30" s="131"/>
      <c r="W30" s="24" t="s">
        <v>1808</v>
      </c>
      <c r="X30" s="257"/>
    </row>
    <row r="31" spans="1:24" ht="37.5" customHeight="1">
      <c r="A31" s="248">
        <v>26</v>
      </c>
      <c r="B31" s="241" t="str">
        <f t="shared" ca="1" si="0"/>
        <v/>
      </c>
      <c r="C31" s="254"/>
      <c r="D31" s="63"/>
      <c r="E31" s="262"/>
      <c r="F31" s="253"/>
      <c r="G31" s="253"/>
      <c r="H31" s="253"/>
      <c r="I31" s="253"/>
      <c r="J31" s="253"/>
      <c r="K31" s="253"/>
      <c r="L31" s="253"/>
      <c r="M31" s="253"/>
      <c r="N31" s="253"/>
      <c r="O31" s="253"/>
      <c r="P31" s="253"/>
      <c r="Q31" s="21"/>
      <c r="R31" s="253"/>
      <c r="S31" s="253"/>
      <c r="T31" s="253"/>
      <c r="U31" s="21"/>
      <c r="V31" s="131"/>
      <c r="W31" s="24" t="s">
        <v>1808</v>
      </c>
      <c r="X31" s="257"/>
    </row>
    <row r="32" spans="1:24" ht="37.5" customHeight="1">
      <c r="A32" s="248">
        <v>27</v>
      </c>
      <c r="B32" s="241" t="str">
        <f t="shared" ca="1" si="0"/>
        <v/>
      </c>
      <c r="C32" s="254"/>
      <c r="D32" s="63"/>
      <c r="E32" s="262"/>
      <c r="F32" s="253"/>
      <c r="G32" s="253"/>
      <c r="H32" s="253"/>
      <c r="I32" s="253"/>
      <c r="J32" s="253"/>
      <c r="K32" s="253"/>
      <c r="L32" s="253"/>
      <c r="M32" s="253"/>
      <c r="N32" s="253"/>
      <c r="O32" s="253"/>
      <c r="P32" s="253"/>
      <c r="Q32" s="21"/>
      <c r="R32" s="253"/>
      <c r="S32" s="253"/>
      <c r="T32" s="253"/>
      <c r="U32" s="21"/>
      <c r="V32" s="131"/>
      <c r="W32" s="24" t="s">
        <v>1808</v>
      </c>
      <c r="X32" s="34"/>
    </row>
    <row r="33" spans="1:24" ht="37.5" customHeight="1">
      <c r="A33" s="248">
        <v>28</v>
      </c>
      <c r="B33" s="241" t="str">
        <f t="shared" ca="1" si="0"/>
        <v/>
      </c>
      <c r="C33" s="254"/>
      <c r="D33" s="63"/>
      <c r="E33" s="262"/>
      <c r="F33" s="253"/>
      <c r="G33" s="253"/>
      <c r="H33" s="253"/>
      <c r="I33" s="253"/>
      <c r="J33" s="253"/>
      <c r="K33" s="253"/>
      <c r="L33" s="253"/>
      <c r="M33" s="253"/>
      <c r="N33" s="253"/>
      <c r="O33" s="253"/>
      <c r="P33" s="253"/>
      <c r="Q33" s="21"/>
      <c r="R33" s="253"/>
      <c r="S33" s="253"/>
      <c r="T33" s="253"/>
      <c r="U33" s="21"/>
      <c r="V33" s="131"/>
      <c r="W33" s="24" t="s">
        <v>1808</v>
      </c>
      <c r="X33" s="34"/>
    </row>
    <row r="34" spans="1:24" ht="37.5" customHeight="1">
      <c r="A34" s="248">
        <v>29</v>
      </c>
      <c r="B34" s="241" t="str">
        <f t="shared" ca="1" si="0"/>
        <v/>
      </c>
      <c r="C34" s="258"/>
      <c r="D34" s="63"/>
      <c r="E34" s="262"/>
      <c r="F34" s="253"/>
      <c r="G34" s="253"/>
      <c r="H34" s="253"/>
      <c r="I34" s="253"/>
      <c r="J34" s="253"/>
      <c r="K34" s="253"/>
      <c r="L34" s="253"/>
      <c r="M34" s="253"/>
      <c r="N34" s="253"/>
      <c r="O34" s="253"/>
      <c r="P34" s="253"/>
      <c r="Q34" s="21"/>
      <c r="R34" s="253"/>
      <c r="S34" s="253"/>
      <c r="T34" s="253"/>
      <c r="U34" s="21"/>
      <c r="V34" s="131"/>
      <c r="W34" s="24" t="s">
        <v>1808</v>
      </c>
      <c r="X34" s="34"/>
    </row>
    <row r="35" spans="1:24" ht="37.5" customHeight="1">
      <c r="A35" s="248">
        <v>30</v>
      </c>
      <c r="B35" s="241" t="str">
        <f t="shared" ca="1" si="0"/>
        <v/>
      </c>
      <c r="C35" s="258"/>
      <c r="D35" s="63"/>
      <c r="E35" s="262"/>
      <c r="F35" s="253"/>
      <c r="G35" s="253"/>
      <c r="H35" s="253"/>
      <c r="I35" s="253"/>
      <c r="J35" s="253"/>
      <c r="K35" s="253"/>
      <c r="L35" s="253"/>
      <c r="M35" s="253"/>
      <c r="N35" s="253"/>
      <c r="O35" s="253"/>
      <c r="P35" s="253"/>
      <c r="Q35" s="21"/>
      <c r="R35" s="253"/>
      <c r="S35" s="253"/>
      <c r="T35" s="253"/>
      <c r="U35" s="21"/>
      <c r="V35" s="131"/>
      <c r="W35" s="24" t="s">
        <v>1808</v>
      </c>
      <c r="X35" s="34"/>
    </row>
    <row r="36" spans="1:24" ht="37.5" customHeight="1">
      <c r="A36" s="248">
        <v>31</v>
      </c>
      <c r="B36" s="241" t="str">
        <f t="shared" ca="1" si="0"/>
        <v/>
      </c>
      <c r="C36" s="258"/>
      <c r="D36" s="63"/>
      <c r="E36" s="262"/>
      <c r="F36" s="253"/>
      <c r="G36" s="253"/>
      <c r="H36" s="253"/>
      <c r="I36" s="253"/>
      <c r="J36" s="253"/>
      <c r="K36" s="253"/>
      <c r="L36" s="253"/>
      <c r="M36" s="253"/>
      <c r="N36" s="253"/>
      <c r="O36" s="253"/>
      <c r="P36" s="253"/>
      <c r="Q36" s="21"/>
      <c r="R36" s="253"/>
      <c r="S36" s="253"/>
      <c r="T36" s="253"/>
      <c r="U36" s="21"/>
      <c r="V36" s="131"/>
      <c r="W36" s="24" t="s">
        <v>1808</v>
      </c>
      <c r="X36" s="21"/>
    </row>
    <row r="37" spans="1:24" ht="37.5" customHeight="1">
      <c r="A37" s="248">
        <v>32</v>
      </c>
      <c r="B37" s="241" t="str">
        <f t="shared" ca="1" si="0"/>
        <v/>
      </c>
      <c r="C37" s="258"/>
      <c r="D37" s="63"/>
      <c r="E37" s="262"/>
      <c r="F37" s="253"/>
      <c r="G37" s="253"/>
      <c r="H37" s="253"/>
      <c r="I37" s="253"/>
      <c r="J37" s="253"/>
      <c r="K37" s="253"/>
      <c r="L37" s="253"/>
      <c r="M37" s="253"/>
      <c r="N37" s="253"/>
      <c r="O37" s="253"/>
      <c r="P37" s="253"/>
      <c r="Q37" s="21"/>
      <c r="R37" s="253"/>
      <c r="S37" s="253"/>
      <c r="T37" s="253"/>
      <c r="U37" s="21"/>
      <c r="V37" s="131"/>
      <c r="W37" s="24" t="s">
        <v>1808</v>
      </c>
      <c r="X37" s="21"/>
    </row>
    <row r="38" spans="1:24" ht="37.5" customHeight="1">
      <c r="A38" s="248">
        <v>33</v>
      </c>
      <c r="B38" s="241" t="str">
        <f t="shared" ca="1" si="0"/>
        <v/>
      </c>
      <c r="C38" s="258"/>
      <c r="D38" s="63"/>
      <c r="E38" s="262"/>
      <c r="F38" s="253"/>
      <c r="G38" s="253"/>
      <c r="H38" s="253"/>
      <c r="I38" s="253"/>
      <c r="J38" s="253"/>
      <c r="K38" s="253"/>
      <c r="L38" s="253"/>
      <c r="M38" s="253"/>
      <c r="N38" s="253"/>
      <c r="O38" s="253"/>
      <c r="P38" s="253"/>
      <c r="Q38" s="21"/>
      <c r="R38" s="253"/>
      <c r="S38" s="253"/>
      <c r="T38" s="253"/>
      <c r="U38" s="21"/>
      <c r="V38" s="131"/>
      <c r="W38" s="24" t="s">
        <v>1808</v>
      </c>
      <c r="X38" s="21"/>
    </row>
    <row r="39" spans="1:24" ht="37.5" customHeight="1">
      <c r="A39" s="248">
        <v>34</v>
      </c>
      <c r="B39" s="241" t="str">
        <f t="shared" ca="1" si="0"/>
        <v/>
      </c>
      <c r="C39" s="258"/>
      <c r="D39" s="63"/>
      <c r="E39" s="262"/>
      <c r="F39" s="253"/>
      <c r="G39" s="253"/>
      <c r="H39" s="253"/>
      <c r="I39" s="253"/>
      <c r="J39" s="253"/>
      <c r="K39" s="253"/>
      <c r="L39" s="253"/>
      <c r="M39" s="253"/>
      <c r="N39" s="253"/>
      <c r="O39" s="253"/>
      <c r="P39" s="253"/>
      <c r="Q39" s="21"/>
      <c r="R39" s="253"/>
      <c r="S39" s="253"/>
      <c r="T39" s="253"/>
      <c r="U39" s="21"/>
      <c r="V39" s="131"/>
      <c r="W39" s="24" t="s">
        <v>1808</v>
      </c>
      <c r="X39" s="268"/>
    </row>
    <row r="40" spans="1:24" ht="37.5" customHeight="1">
      <c r="A40" s="248">
        <v>35</v>
      </c>
      <c r="B40" s="241" t="str">
        <f t="shared" ca="1" si="0"/>
        <v/>
      </c>
      <c r="C40" s="258"/>
      <c r="D40" s="63"/>
      <c r="E40" s="262"/>
      <c r="F40" s="253"/>
      <c r="G40" s="253"/>
      <c r="H40" s="253"/>
      <c r="I40" s="253"/>
      <c r="J40" s="253"/>
      <c r="K40" s="253"/>
      <c r="L40" s="253"/>
      <c r="M40" s="253"/>
      <c r="N40" s="253"/>
      <c r="O40" s="253"/>
      <c r="P40" s="253"/>
      <c r="Q40" s="21"/>
      <c r="R40" s="253"/>
      <c r="S40" s="253"/>
      <c r="T40" s="253"/>
      <c r="U40" s="21"/>
      <c r="V40" s="131"/>
      <c r="W40" s="24" t="s">
        <v>1808</v>
      </c>
      <c r="X40" s="268"/>
    </row>
    <row r="41" spans="1:24" ht="37.5" customHeight="1">
      <c r="A41" s="248">
        <v>36</v>
      </c>
      <c r="B41" s="241" t="str">
        <f t="shared" ca="1" si="0"/>
        <v/>
      </c>
      <c r="C41" s="258"/>
      <c r="D41" s="63"/>
      <c r="E41" s="262"/>
      <c r="F41" s="253"/>
      <c r="G41" s="253"/>
      <c r="H41" s="253"/>
      <c r="I41" s="253"/>
      <c r="J41" s="253"/>
      <c r="K41" s="253"/>
      <c r="L41" s="253"/>
      <c r="M41" s="253"/>
      <c r="N41" s="253"/>
      <c r="O41" s="253"/>
      <c r="P41" s="253"/>
      <c r="Q41" s="21"/>
      <c r="R41" s="253"/>
      <c r="S41" s="253"/>
      <c r="T41" s="253"/>
      <c r="U41" s="21"/>
      <c r="V41" s="131"/>
      <c r="W41" s="24" t="s">
        <v>1808</v>
      </c>
      <c r="X41" s="268"/>
    </row>
    <row r="42" spans="1:24" ht="37.5" customHeight="1">
      <c r="A42" s="248">
        <v>37</v>
      </c>
      <c r="B42" s="241" t="str">
        <f t="shared" ca="1" si="0"/>
        <v/>
      </c>
      <c r="C42" s="258"/>
      <c r="D42" s="63"/>
      <c r="E42" s="262"/>
      <c r="F42" s="253"/>
      <c r="G42" s="253"/>
      <c r="H42" s="253"/>
      <c r="I42" s="253"/>
      <c r="J42" s="253"/>
      <c r="K42" s="253"/>
      <c r="L42" s="253"/>
      <c r="M42" s="253"/>
      <c r="N42" s="253"/>
      <c r="O42" s="253"/>
      <c r="P42" s="253"/>
      <c r="Q42" s="21"/>
      <c r="R42" s="253"/>
      <c r="S42" s="253"/>
      <c r="T42" s="253"/>
      <c r="U42" s="21"/>
      <c r="V42" s="131"/>
      <c r="W42" s="24" t="s">
        <v>1808</v>
      </c>
      <c r="X42" s="268"/>
    </row>
    <row r="43" spans="1:24" ht="37.5" customHeight="1">
      <c r="A43" s="248">
        <v>38</v>
      </c>
      <c r="B43" s="241" t="str">
        <f t="shared" ca="1" si="0"/>
        <v/>
      </c>
      <c r="C43" s="258"/>
      <c r="D43" s="63"/>
      <c r="E43" s="262"/>
      <c r="F43" s="253"/>
      <c r="G43" s="253"/>
      <c r="H43" s="253"/>
      <c r="I43" s="253"/>
      <c r="J43" s="253"/>
      <c r="K43" s="253"/>
      <c r="L43" s="253"/>
      <c r="M43" s="253"/>
      <c r="N43" s="253"/>
      <c r="O43" s="253"/>
      <c r="P43" s="253"/>
      <c r="Q43" s="21"/>
      <c r="R43" s="253"/>
      <c r="S43" s="253"/>
      <c r="T43" s="253"/>
      <c r="U43" s="21"/>
      <c r="V43" s="131"/>
      <c r="W43" s="24" t="s">
        <v>1808</v>
      </c>
      <c r="X43" s="268"/>
    </row>
    <row r="44" spans="1:24" ht="37.5" customHeight="1">
      <c r="A44" s="248">
        <v>39</v>
      </c>
      <c r="B44" s="241" t="str">
        <f t="shared" ca="1" si="0"/>
        <v/>
      </c>
      <c r="C44" s="258"/>
      <c r="D44" s="63"/>
      <c r="E44" s="262"/>
      <c r="F44" s="253"/>
      <c r="G44" s="253"/>
      <c r="H44" s="253"/>
      <c r="I44" s="253"/>
      <c r="J44" s="253"/>
      <c r="K44" s="253"/>
      <c r="L44" s="253"/>
      <c r="M44" s="253"/>
      <c r="N44" s="253"/>
      <c r="O44" s="253"/>
      <c r="P44" s="253"/>
      <c r="Q44" s="21"/>
      <c r="R44" s="253"/>
      <c r="S44" s="253"/>
      <c r="T44" s="253"/>
      <c r="U44" s="21"/>
      <c r="V44" s="131"/>
      <c r="W44" s="24" t="s">
        <v>1808</v>
      </c>
      <c r="X44" s="268"/>
    </row>
    <row r="45" spans="1:24" ht="37.5" customHeight="1">
      <c r="A45" s="248">
        <v>40</v>
      </c>
      <c r="B45" s="241" t="str">
        <f t="shared" ca="1" si="0"/>
        <v/>
      </c>
      <c r="C45" s="258"/>
      <c r="D45" s="63"/>
      <c r="E45" s="262"/>
      <c r="F45" s="253"/>
      <c r="G45" s="253"/>
      <c r="H45" s="253"/>
      <c r="I45" s="253"/>
      <c r="J45" s="253"/>
      <c r="K45" s="253"/>
      <c r="L45" s="253"/>
      <c r="M45" s="253"/>
      <c r="N45" s="253"/>
      <c r="O45" s="253"/>
      <c r="P45" s="253"/>
      <c r="Q45" s="21"/>
      <c r="R45" s="253"/>
      <c r="S45" s="253"/>
      <c r="T45" s="253"/>
      <c r="U45" s="21"/>
      <c r="V45" s="131"/>
      <c r="W45" s="24" t="s">
        <v>1808</v>
      </c>
      <c r="X45" s="21"/>
    </row>
    <row r="46" spans="1:24" ht="37.5" customHeight="1">
      <c r="A46" s="248">
        <v>41</v>
      </c>
      <c r="B46" s="241" t="str">
        <f t="shared" ca="1" si="0"/>
        <v/>
      </c>
      <c r="C46" s="258"/>
      <c r="D46" s="63"/>
      <c r="E46" s="262"/>
      <c r="F46" s="253"/>
      <c r="G46" s="253"/>
      <c r="H46" s="253"/>
      <c r="I46" s="253"/>
      <c r="J46" s="253"/>
      <c r="K46" s="253"/>
      <c r="L46" s="253"/>
      <c r="M46" s="253"/>
      <c r="N46" s="253"/>
      <c r="O46" s="253"/>
      <c r="P46" s="253"/>
      <c r="Q46" s="21"/>
      <c r="R46" s="253"/>
      <c r="S46" s="253"/>
      <c r="T46" s="253"/>
      <c r="U46" s="21"/>
      <c r="V46" s="131"/>
      <c r="W46" s="24" t="s">
        <v>1808</v>
      </c>
      <c r="X46" s="268"/>
    </row>
    <row r="47" spans="1:24" ht="37.5" customHeight="1">
      <c r="A47" s="248">
        <v>42</v>
      </c>
      <c r="B47" s="241" t="str">
        <f t="shared" ca="1" si="0"/>
        <v/>
      </c>
      <c r="C47" s="258"/>
      <c r="D47" s="63"/>
      <c r="E47" s="262"/>
      <c r="F47" s="253"/>
      <c r="G47" s="253"/>
      <c r="H47" s="253"/>
      <c r="I47" s="253"/>
      <c r="J47" s="253"/>
      <c r="K47" s="253"/>
      <c r="L47" s="253"/>
      <c r="M47" s="253"/>
      <c r="N47" s="253"/>
      <c r="O47" s="253"/>
      <c r="P47" s="253"/>
      <c r="Q47" s="21"/>
      <c r="R47" s="253"/>
      <c r="S47" s="253"/>
      <c r="T47" s="253"/>
      <c r="U47" s="21"/>
      <c r="V47" s="131"/>
      <c r="W47" s="24" t="s">
        <v>1808</v>
      </c>
      <c r="X47" s="21"/>
    </row>
    <row r="48" spans="1:24" ht="37.5" customHeight="1">
      <c r="A48" s="248">
        <v>43</v>
      </c>
      <c r="B48" s="241" t="str">
        <f t="shared" ca="1" si="0"/>
        <v/>
      </c>
      <c r="C48" s="258"/>
      <c r="D48" s="63"/>
      <c r="E48" s="262"/>
      <c r="F48" s="253"/>
      <c r="G48" s="253"/>
      <c r="H48" s="253"/>
      <c r="I48" s="253"/>
      <c r="J48" s="253"/>
      <c r="K48" s="253"/>
      <c r="L48" s="253"/>
      <c r="M48" s="253"/>
      <c r="N48" s="253"/>
      <c r="O48" s="253"/>
      <c r="P48" s="253"/>
      <c r="Q48" s="21"/>
      <c r="R48" s="253"/>
      <c r="S48" s="253"/>
      <c r="T48" s="253"/>
      <c r="U48" s="21"/>
      <c r="V48" s="131"/>
      <c r="W48" s="24" t="s">
        <v>1808</v>
      </c>
      <c r="X48" s="21"/>
    </row>
    <row r="49" spans="1:24" ht="37.5" customHeight="1">
      <c r="A49" s="248">
        <v>44</v>
      </c>
      <c r="B49" s="241" t="str">
        <f t="shared" ca="1" si="0"/>
        <v/>
      </c>
      <c r="C49" s="258"/>
      <c r="D49" s="63"/>
      <c r="E49" s="262"/>
      <c r="F49" s="253"/>
      <c r="G49" s="253"/>
      <c r="H49" s="253"/>
      <c r="I49" s="253"/>
      <c r="J49" s="253"/>
      <c r="K49" s="253"/>
      <c r="L49" s="253"/>
      <c r="M49" s="253"/>
      <c r="N49" s="253"/>
      <c r="O49" s="253"/>
      <c r="P49" s="253"/>
      <c r="Q49" s="21"/>
      <c r="R49" s="253"/>
      <c r="S49" s="253"/>
      <c r="T49" s="253"/>
      <c r="U49" s="21"/>
      <c r="V49" s="131"/>
      <c r="W49" s="24" t="s">
        <v>1808</v>
      </c>
      <c r="X49" s="21"/>
    </row>
    <row r="50" spans="1:24" ht="37.5" customHeight="1">
      <c r="A50" s="248">
        <v>45</v>
      </c>
      <c r="B50" s="241" t="str">
        <f t="shared" ca="1" si="0"/>
        <v/>
      </c>
      <c r="C50" s="258"/>
      <c r="D50" s="63"/>
      <c r="E50" s="262"/>
      <c r="F50" s="253"/>
      <c r="G50" s="253"/>
      <c r="H50" s="253"/>
      <c r="I50" s="253"/>
      <c r="J50" s="253"/>
      <c r="K50" s="253"/>
      <c r="L50" s="253"/>
      <c r="M50" s="253"/>
      <c r="N50" s="253"/>
      <c r="O50" s="253"/>
      <c r="P50" s="253"/>
      <c r="Q50" s="21"/>
      <c r="R50" s="253"/>
      <c r="S50" s="253"/>
      <c r="T50" s="253"/>
      <c r="U50" s="21"/>
      <c r="V50" s="131"/>
      <c r="W50" s="24" t="s">
        <v>1808</v>
      </c>
      <c r="X50" s="21"/>
    </row>
    <row r="51" spans="1:24" ht="37.5" customHeight="1">
      <c r="A51" s="248">
        <v>46</v>
      </c>
      <c r="B51" s="241" t="str">
        <f t="shared" ca="1" si="0"/>
        <v/>
      </c>
      <c r="C51" s="258"/>
      <c r="D51" s="63"/>
      <c r="E51" s="269"/>
      <c r="F51" s="253"/>
      <c r="G51" s="253"/>
      <c r="H51" s="253"/>
      <c r="I51" s="253"/>
      <c r="J51" s="253"/>
      <c r="K51" s="253"/>
      <c r="L51" s="253"/>
      <c r="M51" s="253"/>
      <c r="N51" s="253"/>
      <c r="O51" s="253"/>
      <c r="P51" s="253"/>
      <c r="Q51" s="21"/>
      <c r="R51" s="253"/>
      <c r="S51" s="253"/>
      <c r="T51" s="253"/>
      <c r="U51" s="21"/>
      <c r="V51" s="131"/>
      <c r="W51" s="24" t="s">
        <v>1808</v>
      </c>
      <c r="X51" s="270"/>
    </row>
    <row r="52" spans="1:24" ht="37.5" customHeight="1">
      <c r="A52" s="248">
        <v>47</v>
      </c>
      <c r="B52" s="241" t="str">
        <f t="shared" ca="1" si="0"/>
        <v/>
      </c>
      <c r="C52" s="258"/>
      <c r="D52" s="63"/>
      <c r="E52" s="262"/>
      <c r="F52" s="253"/>
      <c r="G52" s="207"/>
      <c r="H52" s="253"/>
      <c r="I52" s="253"/>
      <c r="J52" s="253"/>
      <c r="K52" s="253"/>
      <c r="L52" s="253"/>
      <c r="M52" s="253"/>
      <c r="N52" s="253"/>
      <c r="O52" s="253"/>
      <c r="P52" s="253"/>
      <c r="Q52" s="21"/>
      <c r="R52" s="253"/>
      <c r="S52" s="253"/>
      <c r="T52" s="253"/>
      <c r="U52" s="21"/>
      <c r="V52" s="131"/>
      <c r="W52" s="24" t="s">
        <v>1808</v>
      </c>
      <c r="X52" s="21"/>
    </row>
    <row r="53" spans="1:24" ht="37.5" customHeight="1">
      <c r="A53" s="248">
        <v>48</v>
      </c>
      <c r="B53" s="241" t="str">
        <f t="shared" ca="1" si="0"/>
        <v/>
      </c>
      <c r="C53" s="258"/>
      <c r="D53" s="63"/>
      <c r="E53" s="269"/>
      <c r="F53" s="253"/>
      <c r="G53" s="207"/>
      <c r="H53" s="253"/>
      <c r="I53" s="253"/>
      <c r="J53" s="253"/>
      <c r="K53" s="253"/>
      <c r="L53" s="253"/>
      <c r="M53" s="253"/>
      <c r="N53" s="253"/>
      <c r="O53" s="253"/>
      <c r="P53" s="253"/>
      <c r="Q53" s="21"/>
      <c r="R53" s="253"/>
      <c r="S53" s="253"/>
      <c r="T53" s="253"/>
      <c r="U53" s="21"/>
      <c r="V53" s="131"/>
      <c r="W53" s="24" t="s">
        <v>1808</v>
      </c>
      <c r="X53" s="21"/>
    </row>
    <row r="54" spans="1:24" ht="15.75" customHeight="1">
      <c r="D54" s="271"/>
      <c r="E54" s="271"/>
      <c r="G54" s="272"/>
      <c r="U54" s="273"/>
      <c r="X54" s="274"/>
    </row>
    <row r="55" spans="1:24" ht="15.75" customHeight="1">
      <c r="D55" s="271"/>
      <c r="E55" s="271"/>
      <c r="G55" s="272"/>
      <c r="U55" s="273"/>
      <c r="X55" s="274"/>
    </row>
    <row r="56" spans="1:24" ht="15.75" customHeight="1">
      <c r="D56" s="271"/>
      <c r="E56" s="271"/>
      <c r="G56" s="272"/>
      <c r="U56" s="273"/>
      <c r="X56" s="274"/>
    </row>
    <row r="57" spans="1:24" ht="15.75" customHeight="1">
      <c r="D57" s="271"/>
      <c r="E57" s="271"/>
      <c r="G57" s="272"/>
      <c r="U57" s="273"/>
      <c r="X57" s="274"/>
    </row>
    <row r="58" spans="1:24" ht="15.75" customHeight="1">
      <c r="D58" s="271"/>
      <c r="E58" s="271"/>
      <c r="G58" s="272"/>
      <c r="U58" s="273"/>
      <c r="X58" s="274"/>
    </row>
    <row r="59" spans="1:24" ht="15.75" customHeight="1">
      <c r="D59" s="271"/>
      <c r="E59" s="271"/>
      <c r="G59" s="272"/>
      <c r="U59" s="273"/>
      <c r="X59" s="274"/>
    </row>
    <row r="60" spans="1:24" ht="15.75" customHeight="1">
      <c r="D60" s="271"/>
      <c r="E60" s="271"/>
      <c r="G60" s="272"/>
      <c r="U60" s="273"/>
      <c r="X60" s="274"/>
    </row>
    <row r="61" spans="1:24" ht="15.75" customHeight="1">
      <c r="D61" s="271"/>
      <c r="E61" s="271"/>
      <c r="G61" s="272"/>
      <c r="U61" s="273"/>
      <c r="X61" s="274"/>
    </row>
    <row r="62" spans="1:24" ht="15.75" customHeight="1">
      <c r="D62" s="271"/>
      <c r="E62" s="271"/>
      <c r="G62" s="272"/>
      <c r="U62" s="273"/>
      <c r="X62" s="274"/>
    </row>
    <row r="63" spans="1:24" ht="15.75" customHeight="1">
      <c r="D63" s="271"/>
      <c r="E63" s="271"/>
      <c r="G63" s="272"/>
      <c r="U63" s="273"/>
      <c r="X63" s="274"/>
    </row>
    <row r="64" spans="1:24" ht="15.75" customHeight="1">
      <c r="D64" s="271"/>
      <c r="E64" s="271"/>
      <c r="G64" s="272"/>
      <c r="U64" s="273"/>
      <c r="X64" s="274"/>
    </row>
    <row r="65" spans="4:24" ht="15.75" customHeight="1">
      <c r="D65" s="271"/>
      <c r="E65" s="271"/>
      <c r="G65" s="272"/>
      <c r="U65" s="273"/>
      <c r="X65" s="274"/>
    </row>
    <row r="66" spans="4:24" ht="15.75" customHeight="1">
      <c r="D66" s="271"/>
      <c r="E66" s="271"/>
      <c r="G66" s="272"/>
      <c r="U66" s="273"/>
      <c r="X66" s="274"/>
    </row>
    <row r="67" spans="4:24" ht="15.75" customHeight="1">
      <c r="D67" s="271"/>
      <c r="E67" s="271"/>
      <c r="G67" s="272"/>
      <c r="U67" s="273"/>
      <c r="X67" s="274"/>
    </row>
    <row r="68" spans="4:24" ht="15.75" customHeight="1">
      <c r="D68" s="271"/>
      <c r="E68" s="271"/>
      <c r="G68" s="272"/>
      <c r="U68" s="273"/>
      <c r="X68" s="274"/>
    </row>
    <row r="69" spans="4:24" ht="15.75" customHeight="1">
      <c r="D69" s="271"/>
      <c r="E69" s="271"/>
      <c r="G69" s="272"/>
      <c r="U69" s="273"/>
      <c r="X69" s="274"/>
    </row>
    <row r="70" spans="4:24" ht="15.75" customHeight="1">
      <c r="D70" s="271"/>
      <c r="E70" s="271"/>
      <c r="G70" s="272"/>
      <c r="U70" s="273"/>
      <c r="X70" s="274"/>
    </row>
    <row r="71" spans="4:24" ht="15.75" customHeight="1">
      <c r="D71" s="271"/>
      <c r="E71" s="271"/>
      <c r="G71" s="272"/>
      <c r="U71" s="273"/>
      <c r="X71" s="274"/>
    </row>
    <row r="72" spans="4:24" ht="15.75" customHeight="1">
      <c r="D72" s="271"/>
      <c r="E72" s="271"/>
      <c r="G72" s="272"/>
      <c r="U72" s="273"/>
      <c r="X72" s="274"/>
    </row>
    <row r="73" spans="4:24" ht="15.75" customHeight="1">
      <c r="D73" s="271"/>
      <c r="E73" s="271"/>
      <c r="G73" s="272"/>
      <c r="U73" s="273"/>
      <c r="X73" s="274"/>
    </row>
    <row r="74" spans="4:24" ht="15.75" customHeight="1">
      <c r="D74" s="271"/>
      <c r="E74" s="271"/>
      <c r="G74" s="272"/>
      <c r="U74" s="273"/>
      <c r="X74" s="274"/>
    </row>
    <row r="75" spans="4:24" ht="15.75" customHeight="1">
      <c r="D75" s="271"/>
      <c r="E75" s="271"/>
      <c r="G75" s="272"/>
      <c r="U75" s="273"/>
      <c r="X75" s="274"/>
    </row>
    <row r="76" spans="4:24" ht="15.75" customHeight="1">
      <c r="D76" s="271"/>
      <c r="E76" s="271"/>
      <c r="G76" s="272"/>
      <c r="U76" s="273"/>
      <c r="X76" s="274"/>
    </row>
    <row r="77" spans="4:24" ht="15.75" customHeight="1">
      <c r="D77" s="271"/>
      <c r="E77" s="271"/>
      <c r="G77" s="272"/>
      <c r="U77" s="273"/>
      <c r="X77" s="274"/>
    </row>
    <row r="78" spans="4:24" ht="15.75" customHeight="1">
      <c r="D78" s="271"/>
      <c r="E78" s="271"/>
      <c r="G78" s="272"/>
      <c r="U78" s="273"/>
      <c r="X78" s="274"/>
    </row>
    <row r="79" spans="4:24" ht="15.75" customHeight="1">
      <c r="D79" s="271"/>
      <c r="E79" s="271"/>
      <c r="G79" s="272"/>
      <c r="U79" s="273"/>
      <c r="X79" s="274"/>
    </row>
    <row r="80" spans="4:24" ht="15.75" customHeight="1">
      <c r="D80" s="271"/>
      <c r="E80" s="271"/>
      <c r="G80" s="272"/>
      <c r="U80" s="273"/>
      <c r="X80" s="274"/>
    </row>
    <row r="81" spans="4:24" ht="15.75" customHeight="1">
      <c r="D81" s="271"/>
      <c r="E81" s="271"/>
      <c r="G81" s="272"/>
      <c r="U81" s="273"/>
      <c r="X81" s="274"/>
    </row>
    <row r="82" spans="4:24" ht="15.75" customHeight="1">
      <c r="D82" s="271"/>
      <c r="E82" s="271"/>
      <c r="G82" s="272"/>
      <c r="U82" s="273"/>
      <c r="X82" s="274"/>
    </row>
    <row r="83" spans="4:24" ht="15.75" customHeight="1">
      <c r="D83" s="271"/>
      <c r="E83" s="271"/>
      <c r="G83" s="272"/>
      <c r="U83" s="273"/>
      <c r="X83" s="274"/>
    </row>
    <row r="84" spans="4:24" ht="15.75" customHeight="1">
      <c r="D84" s="271"/>
      <c r="E84" s="271"/>
      <c r="G84" s="272"/>
      <c r="U84" s="273"/>
      <c r="X84" s="274"/>
    </row>
    <row r="85" spans="4:24" ht="15.75" customHeight="1">
      <c r="D85" s="271"/>
      <c r="E85" s="271"/>
      <c r="G85" s="272"/>
      <c r="U85" s="273"/>
      <c r="X85" s="274"/>
    </row>
    <row r="86" spans="4:24" ht="15.75" customHeight="1">
      <c r="D86" s="271"/>
      <c r="E86" s="271"/>
      <c r="G86" s="272"/>
      <c r="U86" s="273"/>
      <c r="X86" s="274"/>
    </row>
    <row r="87" spans="4:24" ht="15.75" customHeight="1">
      <c r="D87" s="271"/>
      <c r="E87" s="271"/>
      <c r="G87" s="272"/>
      <c r="U87" s="273"/>
      <c r="X87" s="274"/>
    </row>
    <row r="88" spans="4:24" ht="15.75" customHeight="1">
      <c r="D88" s="271"/>
      <c r="E88" s="271"/>
      <c r="G88" s="272"/>
      <c r="U88" s="273"/>
      <c r="X88" s="274"/>
    </row>
    <row r="89" spans="4:24" ht="15.75" customHeight="1">
      <c r="D89" s="271"/>
      <c r="E89" s="271"/>
      <c r="G89" s="272"/>
      <c r="U89" s="273"/>
      <c r="X89" s="274"/>
    </row>
    <row r="90" spans="4:24" ht="15.75" customHeight="1">
      <c r="D90" s="271"/>
      <c r="E90" s="271"/>
      <c r="G90" s="272"/>
      <c r="U90" s="273"/>
      <c r="X90" s="274"/>
    </row>
    <row r="91" spans="4:24" ht="15.75" customHeight="1">
      <c r="D91" s="271"/>
      <c r="E91" s="271"/>
      <c r="G91" s="272"/>
      <c r="U91" s="273"/>
      <c r="X91" s="274"/>
    </row>
    <row r="92" spans="4:24" ht="15.75" customHeight="1">
      <c r="D92" s="271"/>
      <c r="E92" s="271"/>
      <c r="G92" s="272"/>
      <c r="U92" s="273"/>
      <c r="X92" s="274"/>
    </row>
    <row r="93" spans="4:24" ht="15.75" customHeight="1">
      <c r="D93" s="271"/>
      <c r="E93" s="271"/>
      <c r="G93" s="272"/>
      <c r="U93" s="273"/>
      <c r="X93" s="274"/>
    </row>
    <row r="94" spans="4:24" ht="15.75" customHeight="1">
      <c r="D94" s="271"/>
      <c r="E94" s="271"/>
      <c r="G94" s="272"/>
      <c r="U94" s="273"/>
      <c r="X94" s="274"/>
    </row>
    <row r="95" spans="4:24" ht="15.75" customHeight="1">
      <c r="D95" s="271"/>
      <c r="E95" s="271"/>
      <c r="G95" s="272"/>
      <c r="U95" s="273"/>
      <c r="X95" s="274"/>
    </row>
    <row r="96" spans="4:24" ht="15.75" customHeight="1">
      <c r="D96" s="271"/>
      <c r="E96" s="271"/>
      <c r="G96" s="272"/>
      <c r="U96" s="273"/>
      <c r="X96" s="274"/>
    </row>
    <row r="97" spans="4:24" ht="15.75" customHeight="1">
      <c r="D97" s="271"/>
      <c r="E97" s="271"/>
      <c r="G97" s="272"/>
      <c r="U97" s="273"/>
      <c r="X97" s="274"/>
    </row>
    <row r="98" spans="4:24" ht="15.75" customHeight="1">
      <c r="D98" s="271"/>
      <c r="E98" s="271"/>
      <c r="G98" s="272"/>
      <c r="U98" s="273"/>
      <c r="X98" s="274"/>
    </row>
    <row r="99" spans="4:24" ht="15.75" customHeight="1">
      <c r="D99" s="271"/>
      <c r="E99" s="271"/>
      <c r="G99" s="272"/>
      <c r="U99" s="273"/>
      <c r="X99" s="274"/>
    </row>
    <row r="100" spans="4:24" ht="15.75" customHeight="1">
      <c r="D100" s="271"/>
      <c r="E100" s="271"/>
      <c r="G100" s="272"/>
      <c r="U100" s="273"/>
      <c r="X100" s="274"/>
    </row>
    <row r="101" spans="4:24" ht="15.75" customHeight="1">
      <c r="D101" s="271"/>
      <c r="E101" s="271"/>
      <c r="G101" s="272"/>
      <c r="U101" s="273"/>
      <c r="X101" s="274"/>
    </row>
    <row r="102" spans="4:24" ht="15.75" customHeight="1">
      <c r="D102" s="271"/>
      <c r="E102" s="271"/>
      <c r="G102" s="272"/>
      <c r="U102" s="273"/>
      <c r="X102" s="274"/>
    </row>
    <row r="103" spans="4:24" ht="15.75" customHeight="1">
      <c r="D103" s="271"/>
      <c r="E103" s="271"/>
      <c r="G103" s="272"/>
      <c r="U103" s="273"/>
      <c r="X103" s="274"/>
    </row>
    <row r="104" spans="4:24" ht="15.75" customHeight="1">
      <c r="D104" s="271"/>
      <c r="E104" s="271"/>
      <c r="G104" s="272"/>
      <c r="U104" s="273"/>
      <c r="X104" s="274"/>
    </row>
    <row r="105" spans="4:24" ht="15.75" customHeight="1">
      <c r="D105" s="271"/>
      <c r="E105" s="271"/>
      <c r="G105" s="272"/>
      <c r="U105" s="273"/>
      <c r="X105" s="274"/>
    </row>
    <row r="106" spans="4:24" ht="15.75" customHeight="1">
      <c r="D106" s="271"/>
      <c r="E106" s="271"/>
      <c r="G106" s="272"/>
      <c r="U106" s="273"/>
      <c r="X106" s="274"/>
    </row>
    <row r="107" spans="4:24" ht="15.75" customHeight="1">
      <c r="D107" s="271"/>
      <c r="E107" s="271"/>
      <c r="G107" s="272"/>
      <c r="U107" s="273"/>
      <c r="X107" s="274"/>
    </row>
    <row r="108" spans="4:24" ht="15.75" customHeight="1">
      <c r="D108" s="271"/>
      <c r="E108" s="271"/>
      <c r="G108" s="272"/>
      <c r="U108" s="273"/>
      <c r="X108" s="274"/>
    </row>
    <row r="109" spans="4:24" ht="15.75" customHeight="1">
      <c r="D109" s="271"/>
      <c r="E109" s="271"/>
      <c r="G109" s="272"/>
      <c r="U109" s="273"/>
      <c r="X109" s="274"/>
    </row>
    <row r="110" spans="4:24" ht="15.75" customHeight="1">
      <c r="D110" s="271"/>
      <c r="E110" s="271"/>
      <c r="G110" s="272"/>
      <c r="U110" s="273"/>
      <c r="X110" s="274"/>
    </row>
    <row r="111" spans="4:24" ht="15.75" customHeight="1">
      <c r="D111" s="271"/>
      <c r="E111" s="271"/>
      <c r="G111" s="272"/>
      <c r="U111" s="273"/>
      <c r="X111" s="274"/>
    </row>
    <row r="112" spans="4:24" ht="15.75" customHeight="1">
      <c r="D112" s="271"/>
      <c r="E112" s="271"/>
      <c r="G112" s="272"/>
      <c r="U112" s="273"/>
      <c r="X112" s="274"/>
    </row>
    <row r="113" spans="4:24" ht="15.75" customHeight="1">
      <c r="D113" s="271"/>
      <c r="E113" s="271"/>
      <c r="G113" s="272"/>
      <c r="U113" s="273"/>
      <c r="X113" s="274"/>
    </row>
    <row r="114" spans="4:24" ht="15.75" customHeight="1">
      <c r="D114" s="271"/>
      <c r="E114" s="271"/>
      <c r="G114" s="272"/>
      <c r="U114" s="273"/>
      <c r="X114" s="274"/>
    </row>
    <row r="115" spans="4:24" ht="15.75" customHeight="1">
      <c r="D115" s="271"/>
      <c r="E115" s="271"/>
      <c r="G115" s="272"/>
      <c r="U115" s="273"/>
      <c r="X115" s="274"/>
    </row>
    <row r="116" spans="4:24" ht="15.75" customHeight="1">
      <c r="D116" s="271"/>
      <c r="E116" s="271"/>
      <c r="G116" s="272"/>
      <c r="U116" s="273"/>
      <c r="X116" s="274"/>
    </row>
    <row r="117" spans="4:24" ht="15.75" customHeight="1">
      <c r="D117" s="271"/>
      <c r="E117" s="271"/>
      <c r="G117" s="272"/>
      <c r="U117" s="273"/>
      <c r="X117" s="274"/>
    </row>
    <row r="118" spans="4:24" ht="15.75" customHeight="1">
      <c r="D118" s="271"/>
      <c r="E118" s="271"/>
      <c r="G118" s="272"/>
      <c r="U118" s="273"/>
      <c r="X118" s="274"/>
    </row>
    <row r="119" spans="4:24" ht="15.75" customHeight="1">
      <c r="D119" s="271"/>
      <c r="E119" s="271"/>
      <c r="G119" s="272"/>
      <c r="U119" s="273"/>
      <c r="X119" s="274"/>
    </row>
    <row r="120" spans="4:24" ht="15.75" customHeight="1">
      <c r="D120" s="271"/>
      <c r="E120" s="271"/>
      <c r="G120" s="272"/>
      <c r="U120" s="273"/>
      <c r="X120" s="274"/>
    </row>
    <row r="121" spans="4:24" ht="15.75" customHeight="1">
      <c r="D121" s="271"/>
      <c r="E121" s="271"/>
      <c r="G121" s="272"/>
      <c r="U121" s="273"/>
      <c r="X121" s="274"/>
    </row>
    <row r="122" spans="4:24" ht="15.75" customHeight="1">
      <c r="D122" s="271"/>
      <c r="E122" s="271"/>
      <c r="G122" s="272"/>
      <c r="U122" s="273"/>
      <c r="X122" s="274"/>
    </row>
    <row r="123" spans="4:24" ht="15.75" customHeight="1">
      <c r="D123" s="271"/>
      <c r="E123" s="271"/>
      <c r="G123" s="272"/>
      <c r="U123" s="273"/>
      <c r="X123" s="274"/>
    </row>
    <row r="124" spans="4:24" ht="15.75" customHeight="1">
      <c r="D124" s="271"/>
      <c r="E124" s="271"/>
      <c r="G124" s="272"/>
      <c r="U124" s="273"/>
      <c r="X124" s="274"/>
    </row>
    <row r="125" spans="4:24" ht="15.75" customHeight="1">
      <c r="D125" s="271"/>
      <c r="E125" s="271"/>
      <c r="G125" s="272"/>
      <c r="U125" s="273"/>
      <c r="X125" s="274"/>
    </row>
    <row r="126" spans="4:24" ht="15.75" customHeight="1">
      <c r="D126" s="271"/>
      <c r="E126" s="271"/>
      <c r="G126" s="272"/>
      <c r="U126" s="273"/>
      <c r="X126" s="274"/>
    </row>
    <row r="127" spans="4:24" ht="15.75" customHeight="1">
      <c r="D127" s="271"/>
      <c r="E127" s="271"/>
      <c r="G127" s="272"/>
      <c r="U127" s="273"/>
      <c r="X127" s="274"/>
    </row>
    <row r="128" spans="4:24" ht="15.75" customHeight="1">
      <c r="D128" s="271"/>
      <c r="E128" s="271"/>
      <c r="G128" s="272"/>
      <c r="U128" s="273"/>
      <c r="X128" s="274"/>
    </row>
    <row r="129" spans="4:24" ht="15.75" customHeight="1">
      <c r="D129" s="271"/>
      <c r="E129" s="271"/>
      <c r="G129" s="272"/>
      <c r="U129" s="273"/>
      <c r="X129" s="274"/>
    </row>
    <row r="130" spans="4:24" ht="15.75" customHeight="1">
      <c r="D130" s="271"/>
      <c r="E130" s="271"/>
      <c r="G130" s="272"/>
      <c r="U130" s="273"/>
      <c r="X130" s="274"/>
    </row>
    <row r="131" spans="4:24" ht="15.75" customHeight="1">
      <c r="D131" s="271"/>
      <c r="E131" s="271"/>
      <c r="G131" s="272"/>
      <c r="U131" s="273"/>
      <c r="X131" s="274"/>
    </row>
    <row r="132" spans="4:24" ht="15.75" customHeight="1">
      <c r="D132" s="271"/>
      <c r="E132" s="271"/>
      <c r="G132" s="272"/>
      <c r="U132" s="273"/>
      <c r="X132" s="274"/>
    </row>
    <row r="133" spans="4:24" ht="15.75" customHeight="1">
      <c r="D133" s="271"/>
      <c r="E133" s="271"/>
      <c r="G133" s="272"/>
      <c r="U133" s="273"/>
      <c r="X133" s="274"/>
    </row>
    <row r="134" spans="4:24" ht="15.75" customHeight="1">
      <c r="D134" s="271"/>
      <c r="E134" s="271"/>
      <c r="G134" s="272"/>
      <c r="U134" s="273"/>
      <c r="X134" s="274"/>
    </row>
    <row r="135" spans="4:24" ht="15.75" customHeight="1">
      <c r="D135" s="271"/>
      <c r="E135" s="271"/>
      <c r="G135" s="272"/>
      <c r="U135" s="273"/>
      <c r="X135" s="274"/>
    </row>
    <row r="136" spans="4:24" ht="15.75" customHeight="1">
      <c r="D136" s="271"/>
      <c r="E136" s="271"/>
      <c r="G136" s="272"/>
      <c r="U136" s="273"/>
      <c r="X136" s="274"/>
    </row>
    <row r="137" spans="4:24" ht="15.75" customHeight="1">
      <c r="D137" s="271"/>
      <c r="E137" s="271"/>
      <c r="G137" s="272"/>
      <c r="U137" s="273"/>
      <c r="X137" s="274"/>
    </row>
    <row r="138" spans="4:24" ht="15.75" customHeight="1">
      <c r="D138" s="271"/>
      <c r="E138" s="271"/>
      <c r="G138" s="272"/>
      <c r="U138" s="273"/>
      <c r="X138" s="274"/>
    </row>
    <row r="139" spans="4:24" ht="15.75" customHeight="1">
      <c r="D139" s="271"/>
      <c r="E139" s="271"/>
      <c r="G139" s="272"/>
      <c r="U139" s="273"/>
      <c r="X139" s="274"/>
    </row>
    <row r="140" spans="4:24" ht="15.75" customHeight="1">
      <c r="D140" s="271"/>
      <c r="E140" s="271"/>
      <c r="G140" s="272"/>
      <c r="U140" s="273"/>
      <c r="X140" s="274"/>
    </row>
    <row r="141" spans="4:24" ht="15.75" customHeight="1">
      <c r="D141" s="271"/>
      <c r="E141" s="271"/>
      <c r="G141" s="272"/>
      <c r="U141" s="273"/>
      <c r="X141" s="274"/>
    </row>
    <row r="142" spans="4:24" ht="15.75" customHeight="1">
      <c r="D142" s="271"/>
      <c r="E142" s="271"/>
      <c r="G142" s="272"/>
      <c r="U142" s="273"/>
      <c r="X142" s="274"/>
    </row>
    <row r="143" spans="4:24" ht="15.75" customHeight="1">
      <c r="D143" s="271"/>
      <c r="E143" s="271"/>
      <c r="G143" s="272"/>
      <c r="U143" s="273"/>
      <c r="X143" s="274"/>
    </row>
    <row r="144" spans="4:24" ht="15.75" customHeight="1">
      <c r="D144" s="271"/>
      <c r="E144" s="271"/>
      <c r="G144" s="272"/>
      <c r="U144" s="273"/>
      <c r="X144" s="274"/>
    </row>
    <row r="145" spans="4:24" ht="15.75" customHeight="1">
      <c r="D145" s="271"/>
      <c r="E145" s="271"/>
      <c r="G145" s="272"/>
      <c r="U145" s="273"/>
      <c r="X145" s="274"/>
    </row>
    <row r="146" spans="4:24" ht="15.75" customHeight="1">
      <c r="D146" s="271"/>
      <c r="E146" s="271"/>
      <c r="G146" s="272"/>
      <c r="U146" s="273"/>
      <c r="X146" s="274"/>
    </row>
    <row r="147" spans="4:24" ht="15.75" customHeight="1">
      <c r="D147" s="271"/>
      <c r="E147" s="271"/>
      <c r="G147" s="272"/>
      <c r="U147" s="273"/>
      <c r="X147" s="274"/>
    </row>
    <row r="148" spans="4:24" ht="15.75" customHeight="1">
      <c r="D148" s="271"/>
      <c r="E148" s="271"/>
      <c r="G148" s="272"/>
      <c r="U148" s="273"/>
      <c r="X148" s="274"/>
    </row>
    <row r="149" spans="4:24" ht="15.75" customHeight="1">
      <c r="D149" s="271"/>
      <c r="E149" s="271"/>
      <c r="G149" s="272"/>
      <c r="U149" s="273"/>
      <c r="X149" s="274"/>
    </row>
    <row r="150" spans="4:24" ht="15.75" customHeight="1">
      <c r="D150" s="271"/>
      <c r="E150" s="271"/>
      <c r="G150" s="272"/>
      <c r="U150" s="273"/>
      <c r="X150" s="274"/>
    </row>
    <row r="151" spans="4:24" ht="15.75" customHeight="1">
      <c r="D151" s="271"/>
      <c r="E151" s="271"/>
      <c r="G151" s="272"/>
      <c r="U151" s="273"/>
      <c r="X151" s="274"/>
    </row>
    <row r="152" spans="4:24" ht="15.75" customHeight="1">
      <c r="D152" s="271"/>
      <c r="E152" s="271"/>
      <c r="G152" s="272"/>
      <c r="U152" s="273"/>
      <c r="X152" s="274"/>
    </row>
    <row r="153" spans="4:24" ht="15.75" customHeight="1">
      <c r="D153" s="271"/>
      <c r="E153" s="271"/>
      <c r="G153" s="272"/>
      <c r="U153" s="273"/>
      <c r="X153" s="274"/>
    </row>
    <row r="154" spans="4:24" ht="15.75" customHeight="1">
      <c r="D154" s="271"/>
      <c r="E154" s="271"/>
      <c r="G154" s="272"/>
      <c r="U154" s="273"/>
      <c r="X154" s="274"/>
    </row>
    <row r="155" spans="4:24" ht="15.75" customHeight="1">
      <c r="D155" s="271"/>
      <c r="E155" s="271"/>
      <c r="G155" s="272"/>
      <c r="U155" s="273"/>
      <c r="X155" s="274"/>
    </row>
    <row r="156" spans="4:24" ht="15.75" customHeight="1">
      <c r="D156" s="271"/>
      <c r="E156" s="271"/>
      <c r="G156" s="272"/>
      <c r="U156" s="273"/>
      <c r="X156" s="274"/>
    </row>
    <row r="157" spans="4:24" ht="15.75" customHeight="1">
      <c r="D157" s="271"/>
      <c r="E157" s="271"/>
      <c r="G157" s="272"/>
      <c r="U157" s="273"/>
      <c r="X157" s="274"/>
    </row>
    <row r="158" spans="4:24" ht="15.75" customHeight="1">
      <c r="D158" s="271"/>
      <c r="E158" s="271"/>
      <c r="G158" s="272"/>
      <c r="U158" s="273"/>
      <c r="X158" s="274"/>
    </row>
    <row r="159" spans="4:24" ht="15.75" customHeight="1">
      <c r="D159" s="271"/>
      <c r="E159" s="271"/>
      <c r="G159" s="272"/>
      <c r="U159" s="273"/>
      <c r="X159" s="274"/>
    </row>
    <row r="160" spans="4:24" ht="15.75" customHeight="1">
      <c r="D160" s="271"/>
      <c r="E160" s="271"/>
      <c r="G160" s="272"/>
      <c r="U160" s="273"/>
      <c r="X160" s="274"/>
    </row>
    <row r="161" spans="4:24" ht="15.75" customHeight="1">
      <c r="D161" s="271"/>
      <c r="E161" s="271"/>
      <c r="G161" s="272"/>
      <c r="U161" s="273"/>
      <c r="X161" s="274"/>
    </row>
    <row r="162" spans="4:24" ht="15.75" customHeight="1">
      <c r="D162" s="271"/>
      <c r="E162" s="271"/>
      <c r="G162" s="272"/>
      <c r="U162" s="273"/>
      <c r="X162" s="274"/>
    </row>
    <row r="163" spans="4:24" ht="15.75" customHeight="1">
      <c r="D163" s="271"/>
      <c r="E163" s="271"/>
      <c r="G163" s="272"/>
      <c r="U163" s="273"/>
      <c r="X163" s="274"/>
    </row>
    <row r="164" spans="4:24" ht="15.75" customHeight="1">
      <c r="D164" s="271"/>
      <c r="E164" s="271"/>
      <c r="G164" s="272"/>
      <c r="U164" s="273"/>
      <c r="X164" s="274"/>
    </row>
    <row r="165" spans="4:24" ht="15.75" customHeight="1">
      <c r="D165" s="271"/>
      <c r="E165" s="271"/>
      <c r="G165" s="272"/>
      <c r="U165" s="273"/>
      <c r="X165" s="274"/>
    </row>
    <row r="166" spans="4:24" ht="15.75" customHeight="1">
      <c r="D166" s="271"/>
      <c r="E166" s="271"/>
      <c r="G166" s="272"/>
      <c r="U166" s="273"/>
      <c r="X166" s="274"/>
    </row>
    <row r="167" spans="4:24" ht="15.75" customHeight="1">
      <c r="D167" s="271"/>
      <c r="E167" s="271"/>
      <c r="G167" s="272"/>
      <c r="U167" s="273"/>
      <c r="X167" s="274"/>
    </row>
    <row r="168" spans="4:24" ht="15.75" customHeight="1">
      <c r="D168" s="271"/>
      <c r="E168" s="271"/>
      <c r="G168" s="272"/>
      <c r="U168" s="273"/>
      <c r="X168" s="274"/>
    </row>
    <row r="169" spans="4:24" ht="15.75" customHeight="1">
      <c r="D169" s="271"/>
      <c r="E169" s="271"/>
      <c r="G169" s="272"/>
      <c r="U169" s="273"/>
      <c r="X169" s="274"/>
    </row>
    <row r="170" spans="4:24" ht="15.75" customHeight="1">
      <c r="D170" s="271"/>
      <c r="E170" s="271"/>
      <c r="G170" s="272"/>
      <c r="U170" s="273"/>
      <c r="X170" s="274"/>
    </row>
    <row r="171" spans="4:24" ht="15.75" customHeight="1">
      <c r="D171" s="271"/>
      <c r="E171" s="271"/>
      <c r="G171" s="272"/>
      <c r="U171" s="273"/>
      <c r="X171" s="274"/>
    </row>
    <row r="172" spans="4:24" ht="15.75" customHeight="1">
      <c r="D172" s="271"/>
      <c r="E172" s="271"/>
      <c r="G172" s="272"/>
      <c r="U172" s="273"/>
      <c r="X172" s="274"/>
    </row>
    <row r="173" spans="4:24" ht="15.75" customHeight="1">
      <c r="D173" s="271"/>
      <c r="E173" s="271"/>
      <c r="G173" s="272"/>
      <c r="U173" s="273"/>
      <c r="X173" s="274"/>
    </row>
    <row r="174" spans="4:24" ht="15.75" customHeight="1">
      <c r="D174" s="271"/>
      <c r="E174" s="271"/>
      <c r="G174" s="272"/>
      <c r="U174" s="273"/>
      <c r="X174" s="274"/>
    </row>
    <row r="175" spans="4:24" ht="15.75" customHeight="1">
      <c r="D175" s="271"/>
      <c r="E175" s="271"/>
      <c r="G175" s="272"/>
      <c r="U175" s="273"/>
      <c r="X175" s="274"/>
    </row>
    <row r="176" spans="4:24" ht="15.75" customHeight="1">
      <c r="D176" s="271"/>
      <c r="E176" s="271"/>
      <c r="G176" s="272"/>
      <c r="U176" s="273"/>
      <c r="X176" s="274"/>
    </row>
    <row r="177" spans="4:24" ht="15.75" customHeight="1">
      <c r="D177" s="271"/>
      <c r="E177" s="271"/>
      <c r="G177" s="272"/>
      <c r="U177" s="273"/>
      <c r="X177" s="274"/>
    </row>
    <row r="178" spans="4:24" ht="15.75" customHeight="1">
      <c r="D178" s="271"/>
      <c r="E178" s="271"/>
      <c r="G178" s="272"/>
      <c r="U178" s="273"/>
      <c r="X178" s="274"/>
    </row>
    <row r="179" spans="4:24" ht="15.75" customHeight="1">
      <c r="D179" s="271"/>
      <c r="E179" s="271"/>
      <c r="G179" s="272"/>
      <c r="U179" s="273"/>
      <c r="X179" s="274"/>
    </row>
    <row r="180" spans="4:24" ht="15.75" customHeight="1">
      <c r="D180" s="271"/>
      <c r="E180" s="271"/>
      <c r="G180" s="272"/>
      <c r="U180" s="273"/>
      <c r="X180" s="274"/>
    </row>
    <row r="181" spans="4:24" ht="15.75" customHeight="1">
      <c r="D181" s="271"/>
      <c r="E181" s="271"/>
      <c r="G181" s="272"/>
      <c r="U181" s="273"/>
      <c r="X181" s="274"/>
    </row>
    <row r="182" spans="4:24" ht="15.75" customHeight="1">
      <c r="D182" s="271"/>
      <c r="E182" s="271"/>
      <c r="G182" s="272"/>
      <c r="U182" s="273"/>
      <c r="X182" s="274"/>
    </row>
    <row r="183" spans="4:24" ht="15.75" customHeight="1">
      <c r="D183" s="271"/>
      <c r="E183" s="271"/>
      <c r="G183" s="272"/>
      <c r="U183" s="273"/>
      <c r="X183" s="274"/>
    </row>
    <row r="184" spans="4:24" ht="15.75" customHeight="1">
      <c r="D184" s="271"/>
      <c r="E184" s="271"/>
      <c r="G184" s="272"/>
      <c r="U184" s="273"/>
      <c r="X184" s="274"/>
    </row>
    <row r="185" spans="4:24" ht="15.75" customHeight="1">
      <c r="D185" s="271"/>
      <c r="E185" s="271"/>
      <c r="G185" s="272"/>
      <c r="U185" s="273"/>
      <c r="X185" s="274"/>
    </row>
    <row r="186" spans="4:24" ht="15.75" customHeight="1">
      <c r="D186" s="271"/>
      <c r="E186" s="271"/>
      <c r="G186" s="272"/>
      <c r="U186" s="273"/>
      <c r="X186" s="274"/>
    </row>
    <row r="187" spans="4:24" ht="15.75" customHeight="1">
      <c r="D187" s="271"/>
      <c r="E187" s="271"/>
      <c r="G187" s="272"/>
      <c r="U187" s="273"/>
      <c r="X187" s="274"/>
    </row>
    <row r="188" spans="4:24" ht="15.75" customHeight="1">
      <c r="D188" s="271"/>
      <c r="E188" s="271"/>
      <c r="G188" s="272"/>
      <c r="U188" s="273"/>
      <c r="X188" s="274"/>
    </row>
    <row r="189" spans="4:24" ht="15.75" customHeight="1">
      <c r="D189" s="271"/>
      <c r="E189" s="271"/>
      <c r="G189" s="272"/>
      <c r="U189" s="273"/>
      <c r="X189" s="274"/>
    </row>
    <row r="190" spans="4:24" ht="15.75" customHeight="1">
      <c r="D190" s="271"/>
      <c r="E190" s="271"/>
      <c r="G190" s="272"/>
      <c r="U190" s="273"/>
      <c r="X190" s="274"/>
    </row>
    <row r="191" spans="4:24" ht="15.75" customHeight="1">
      <c r="D191" s="271"/>
      <c r="E191" s="271"/>
      <c r="G191" s="272"/>
      <c r="U191" s="273"/>
      <c r="X191" s="274"/>
    </row>
    <row r="192" spans="4:24" ht="15.75" customHeight="1">
      <c r="D192" s="271"/>
      <c r="E192" s="271"/>
      <c r="G192" s="272"/>
      <c r="U192" s="273"/>
      <c r="X192" s="274"/>
    </row>
    <row r="193" spans="4:24" ht="15.75" customHeight="1">
      <c r="D193" s="271"/>
      <c r="E193" s="271"/>
      <c r="G193" s="272"/>
      <c r="U193" s="273"/>
      <c r="X193" s="274"/>
    </row>
    <row r="194" spans="4:24" ht="15.75" customHeight="1">
      <c r="D194" s="271"/>
      <c r="E194" s="271"/>
      <c r="G194" s="272"/>
      <c r="U194" s="273"/>
      <c r="X194" s="274"/>
    </row>
    <row r="195" spans="4:24" ht="15.75" customHeight="1">
      <c r="D195" s="271"/>
      <c r="E195" s="271"/>
      <c r="G195" s="272"/>
      <c r="U195" s="273"/>
      <c r="X195" s="274"/>
    </row>
    <row r="196" spans="4:24" ht="15.75" customHeight="1">
      <c r="D196" s="271"/>
      <c r="E196" s="271"/>
      <c r="G196" s="272"/>
      <c r="U196" s="273"/>
      <c r="X196" s="274"/>
    </row>
    <row r="197" spans="4:24" ht="15.75" customHeight="1">
      <c r="D197" s="271"/>
      <c r="E197" s="271"/>
      <c r="G197" s="272"/>
      <c r="U197" s="273"/>
      <c r="X197" s="274"/>
    </row>
    <row r="198" spans="4:24" ht="15.75" customHeight="1">
      <c r="D198" s="271"/>
      <c r="E198" s="271"/>
      <c r="G198" s="272"/>
      <c r="U198" s="273"/>
      <c r="X198" s="274"/>
    </row>
    <row r="199" spans="4:24" ht="15.75" customHeight="1">
      <c r="D199" s="271"/>
      <c r="E199" s="271"/>
      <c r="G199" s="272"/>
      <c r="U199" s="273"/>
      <c r="X199" s="274"/>
    </row>
    <row r="200" spans="4:24" ht="15.75" customHeight="1">
      <c r="D200" s="271"/>
      <c r="E200" s="271"/>
      <c r="G200" s="272"/>
      <c r="U200" s="273"/>
      <c r="X200" s="274"/>
    </row>
    <row r="201" spans="4:24" ht="15.75" customHeight="1">
      <c r="D201" s="271"/>
      <c r="E201" s="271"/>
      <c r="G201" s="272"/>
      <c r="U201" s="273"/>
      <c r="X201" s="274"/>
    </row>
    <row r="202" spans="4:24" ht="15.75" customHeight="1">
      <c r="D202" s="271"/>
      <c r="E202" s="271"/>
      <c r="G202" s="272"/>
      <c r="U202" s="273"/>
      <c r="X202" s="274"/>
    </row>
    <row r="203" spans="4:24" ht="15.75" customHeight="1">
      <c r="D203" s="271"/>
      <c r="E203" s="271"/>
      <c r="G203" s="272"/>
      <c r="U203" s="273"/>
      <c r="X203" s="274"/>
    </row>
    <row r="204" spans="4:24" ht="15.75" customHeight="1">
      <c r="D204" s="271"/>
      <c r="E204" s="271"/>
      <c r="G204" s="272"/>
      <c r="U204" s="273"/>
      <c r="X204" s="274"/>
    </row>
    <row r="205" spans="4:24" ht="15.75" customHeight="1">
      <c r="D205" s="271"/>
      <c r="E205" s="271"/>
      <c r="G205" s="272"/>
      <c r="U205" s="273"/>
      <c r="X205" s="274"/>
    </row>
    <row r="206" spans="4:24" ht="15.75" customHeight="1">
      <c r="D206" s="271"/>
      <c r="E206" s="271"/>
      <c r="G206" s="272"/>
      <c r="U206" s="273"/>
      <c r="X206" s="274"/>
    </row>
    <row r="207" spans="4:24" ht="15.75" customHeight="1">
      <c r="D207" s="271"/>
      <c r="E207" s="271"/>
      <c r="G207" s="272"/>
      <c r="U207" s="273"/>
      <c r="X207" s="274"/>
    </row>
    <row r="208" spans="4:24" ht="15.75" customHeight="1">
      <c r="D208" s="271"/>
      <c r="E208" s="271"/>
      <c r="G208" s="272"/>
      <c r="U208" s="273"/>
      <c r="X208" s="274"/>
    </row>
    <row r="209" spans="4:24" ht="15.75" customHeight="1">
      <c r="D209" s="271"/>
      <c r="E209" s="271"/>
      <c r="G209" s="272"/>
      <c r="U209" s="273"/>
      <c r="X209" s="274"/>
    </row>
    <row r="210" spans="4:24" ht="15.75" customHeight="1">
      <c r="D210" s="271"/>
      <c r="E210" s="271"/>
      <c r="G210" s="272"/>
      <c r="U210" s="273"/>
      <c r="X210" s="274"/>
    </row>
    <row r="211" spans="4:24" ht="15.75" customHeight="1">
      <c r="D211" s="271"/>
      <c r="E211" s="271"/>
      <c r="G211" s="272"/>
      <c r="U211" s="273"/>
      <c r="X211" s="274"/>
    </row>
    <row r="212" spans="4:24" ht="15.75" customHeight="1">
      <c r="D212" s="271"/>
      <c r="E212" s="271"/>
      <c r="G212" s="272"/>
      <c r="U212" s="273"/>
      <c r="X212" s="274"/>
    </row>
    <row r="213" spans="4:24" ht="15.75" customHeight="1">
      <c r="D213" s="271"/>
      <c r="E213" s="271"/>
      <c r="G213" s="272"/>
      <c r="U213" s="273"/>
      <c r="X213" s="274"/>
    </row>
    <row r="214" spans="4:24" ht="15.75" customHeight="1">
      <c r="D214" s="271"/>
      <c r="E214" s="271"/>
      <c r="G214" s="272"/>
      <c r="U214" s="273"/>
      <c r="X214" s="274"/>
    </row>
    <row r="215" spans="4:24" ht="15.75" customHeight="1">
      <c r="D215" s="271"/>
      <c r="E215" s="271"/>
      <c r="G215" s="272"/>
      <c r="U215" s="273"/>
      <c r="X215" s="274"/>
    </row>
    <row r="216" spans="4:24" ht="15.75" customHeight="1">
      <c r="D216" s="271"/>
      <c r="E216" s="271"/>
      <c r="G216" s="272"/>
      <c r="U216" s="273"/>
      <c r="X216" s="274"/>
    </row>
    <row r="217" spans="4:24" ht="15.75" customHeight="1">
      <c r="D217" s="271"/>
      <c r="E217" s="271"/>
      <c r="G217" s="272"/>
      <c r="U217" s="273"/>
      <c r="X217" s="274"/>
    </row>
    <row r="218" spans="4:24" ht="15.75" customHeight="1">
      <c r="D218" s="271"/>
      <c r="E218" s="271"/>
      <c r="G218" s="272"/>
      <c r="U218" s="273"/>
      <c r="X218" s="274"/>
    </row>
    <row r="219" spans="4:24" ht="15.75" customHeight="1">
      <c r="D219" s="271"/>
      <c r="E219" s="271"/>
      <c r="G219" s="272"/>
      <c r="U219" s="273"/>
      <c r="X219" s="274"/>
    </row>
    <row r="220" spans="4:24" ht="15.75" customHeight="1">
      <c r="D220" s="271"/>
      <c r="E220" s="271"/>
      <c r="G220" s="272"/>
      <c r="U220" s="273"/>
      <c r="X220" s="274"/>
    </row>
    <row r="221" spans="4:24" ht="15.75" customHeight="1">
      <c r="D221" s="271"/>
      <c r="E221" s="271"/>
      <c r="G221" s="272"/>
      <c r="U221" s="273"/>
      <c r="X221" s="274"/>
    </row>
    <row r="222" spans="4:24" ht="15.75" customHeight="1">
      <c r="D222" s="271"/>
      <c r="E222" s="271"/>
      <c r="G222" s="272"/>
      <c r="U222" s="273"/>
      <c r="X222" s="274"/>
    </row>
    <row r="223" spans="4:24" ht="15.75" customHeight="1">
      <c r="D223" s="271"/>
      <c r="E223" s="271"/>
      <c r="G223" s="272"/>
      <c r="U223" s="273"/>
      <c r="X223" s="274"/>
    </row>
    <row r="224" spans="4:24" ht="15.75" customHeight="1">
      <c r="D224" s="271"/>
      <c r="E224" s="271"/>
      <c r="G224" s="272"/>
      <c r="U224" s="273"/>
      <c r="X224" s="274"/>
    </row>
    <row r="225" spans="4:24" ht="15.75" customHeight="1">
      <c r="D225" s="271"/>
      <c r="E225" s="271"/>
      <c r="G225" s="272"/>
      <c r="U225" s="273"/>
      <c r="X225" s="274"/>
    </row>
    <row r="226" spans="4:24" ht="15.75" customHeight="1">
      <c r="D226" s="271"/>
      <c r="E226" s="271"/>
      <c r="G226" s="272"/>
      <c r="U226" s="273"/>
      <c r="X226" s="274"/>
    </row>
    <row r="227" spans="4:24" ht="15.75" customHeight="1">
      <c r="D227" s="271"/>
      <c r="E227" s="271"/>
      <c r="G227" s="272"/>
      <c r="U227" s="273"/>
      <c r="X227" s="274"/>
    </row>
    <row r="228" spans="4:24" ht="15.75" customHeight="1">
      <c r="D228" s="271"/>
      <c r="E228" s="271"/>
      <c r="G228" s="272"/>
      <c r="U228" s="273"/>
      <c r="X228" s="274"/>
    </row>
    <row r="229" spans="4:24" ht="15.75" customHeight="1">
      <c r="D229" s="271"/>
      <c r="E229" s="271"/>
      <c r="G229" s="272"/>
      <c r="U229" s="273"/>
      <c r="X229" s="274"/>
    </row>
    <row r="230" spans="4:24" ht="15.75" customHeight="1">
      <c r="D230" s="271"/>
      <c r="E230" s="271"/>
      <c r="G230" s="272"/>
      <c r="U230" s="273"/>
      <c r="X230" s="274"/>
    </row>
    <row r="231" spans="4:24" ht="15.75" customHeight="1">
      <c r="D231" s="271"/>
      <c r="E231" s="271"/>
      <c r="G231" s="272"/>
      <c r="U231" s="273"/>
      <c r="X231" s="274"/>
    </row>
    <row r="232" spans="4:24" ht="15.75" customHeight="1">
      <c r="D232" s="271"/>
      <c r="E232" s="271"/>
      <c r="G232" s="272"/>
      <c r="U232" s="273"/>
      <c r="X232" s="274"/>
    </row>
    <row r="233" spans="4:24" ht="15.75" customHeight="1">
      <c r="D233" s="271"/>
      <c r="E233" s="271"/>
      <c r="G233" s="272"/>
      <c r="U233" s="273"/>
      <c r="X233" s="274"/>
    </row>
    <row r="234" spans="4:24" ht="15.75" customHeight="1">
      <c r="D234" s="271"/>
      <c r="E234" s="271"/>
      <c r="G234" s="272"/>
      <c r="U234" s="273"/>
      <c r="X234" s="274"/>
    </row>
    <row r="235" spans="4:24" ht="15.75" customHeight="1">
      <c r="D235" s="271"/>
      <c r="E235" s="271"/>
      <c r="G235" s="272"/>
      <c r="U235" s="273"/>
      <c r="X235" s="274"/>
    </row>
    <row r="236" spans="4:24" ht="15.75" customHeight="1">
      <c r="D236" s="271"/>
      <c r="E236" s="271"/>
      <c r="G236" s="272"/>
      <c r="U236" s="273"/>
      <c r="X236" s="274"/>
    </row>
    <row r="237" spans="4:24" ht="15.75" customHeight="1">
      <c r="D237" s="271"/>
      <c r="E237" s="271"/>
      <c r="G237" s="272"/>
      <c r="U237" s="273"/>
      <c r="X237" s="274"/>
    </row>
    <row r="238" spans="4:24" ht="15.75" customHeight="1">
      <c r="D238" s="271"/>
      <c r="E238" s="271"/>
      <c r="G238" s="272"/>
      <c r="U238" s="273"/>
      <c r="X238" s="274"/>
    </row>
    <row r="239" spans="4:24" ht="15.75" customHeight="1">
      <c r="D239" s="271"/>
      <c r="E239" s="271"/>
      <c r="G239" s="272"/>
      <c r="U239" s="273"/>
      <c r="X239" s="274"/>
    </row>
    <row r="240" spans="4:24" ht="15.75" customHeight="1">
      <c r="D240" s="271"/>
      <c r="E240" s="271"/>
      <c r="G240" s="272"/>
      <c r="U240" s="273"/>
      <c r="X240" s="274"/>
    </row>
    <row r="241" spans="4:24" ht="15.75" customHeight="1">
      <c r="D241" s="271"/>
      <c r="E241" s="271"/>
      <c r="G241" s="272"/>
      <c r="U241" s="273"/>
      <c r="X241" s="274"/>
    </row>
    <row r="242" spans="4:24" ht="15.75" customHeight="1">
      <c r="D242" s="271"/>
      <c r="E242" s="271"/>
      <c r="G242" s="272"/>
      <c r="U242" s="273"/>
      <c r="X242" s="274"/>
    </row>
    <row r="243" spans="4:24" ht="15.75" customHeight="1">
      <c r="D243" s="271"/>
      <c r="E243" s="271"/>
      <c r="G243" s="272"/>
      <c r="U243" s="273"/>
      <c r="X243" s="274"/>
    </row>
    <row r="244" spans="4:24" ht="15.75" customHeight="1">
      <c r="D244" s="271"/>
      <c r="E244" s="271"/>
      <c r="G244" s="272"/>
      <c r="U244" s="273"/>
      <c r="X244" s="274"/>
    </row>
    <row r="245" spans="4:24" ht="15.75" customHeight="1">
      <c r="D245" s="271"/>
      <c r="E245" s="271"/>
      <c r="G245" s="272"/>
      <c r="U245" s="273"/>
      <c r="X245" s="274"/>
    </row>
    <row r="246" spans="4:24" ht="15.75" customHeight="1">
      <c r="D246" s="271"/>
      <c r="E246" s="271"/>
      <c r="U246" s="273"/>
      <c r="X246" s="275"/>
    </row>
    <row r="247" spans="4:24" ht="15.75" customHeight="1">
      <c r="D247" s="271"/>
      <c r="E247" s="271"/>
      <c r="U247" s="273"/>
      <c r="X247" s="275"/>
    </row>
    <row r="248" spans="4:24" ht="15.75" customHeight="1">
      <c r="D248" s="271"/>
      <c r="E248" s="271"/>
      <c r="U248" s="273"/>
      <c r="X248" s="275"/>
    </row>
    <row r="249" spans="4:24" ht="15.75" customHeight="1">
      <c r="D249" s="271"/>
      <c r="E249" s="271"/>
      <c r="U249" s="273"/>
      <c r="X249" s="275"/>
    </row>
    <row r="250" spans="4:24" ht="15.75" customHeight="1">
      <c r="D250" s="271"/>
      <c r="E250" s="271"/>
      <c r="U250" s="273"/>
      <c r="X250" s="275"/>
    </row>
    <row r="251" spans="4:24" ht="15.75" customHeight="1">
      <c r="D251" s="271"/>
      <c r="E251" s="271"/>
      <c r="U251" s="273"/>
      <c r="X251" s="275"/>
    </row>
    <row r="252" spans="4:24" ht="15.75" customHeight="1">
      <c r="D252" s="271"/>
      <c r="E252" s="271"/>
      <c r="U252" s="273"/>
      <c r="X252" s="275"/>
    </row>
    <row r="253" spans="4:24" ht="15.75" customHeight="1">
      <c r="D253" s="271"/>
      <c r="E253" s="271"/>
      <c r="U253" s="273"/>
      <c r="X253" s="275"/>
    </row>
    <row r="254" spans="4:24" ht="15.75" customHeight="1">
      <c r="U254" s="273"/>
    </row>
    <row r="255" spans="4:24" ht="15.75" customHeight="1">
      <c r="U255" s="273"/>
    </row>
    <row r="256" spans="4:24" ht="15.75" customHeight="1">
      <c r="U256" s="273"/>
    </row>
    <row r="257" spans="21:21" ht="15.75" customHeight="1">
      <c r="U257" s="273"/>
    </row>
    <row r="258" spans="21:21" ht="15.75" customHeight="1">
      <c r="U258" s="273"/>
    </row>
    <row r="259" spans="21:21" ht="15.75" customHeight="1">
      <c r="U259" s="273"/>
    </row>
    <row r="260" spans="21:21" ht="15.75" customHeight="1">
      <c r="U260" s="273"/>
    </row>
    <row r="261" spans="21:21" ht="15.75" customHeight="1">
      <c r="U261" s="273"/>
    </row>
    <row r="262" spans="21:21" ht="15.75" customHeight="1">
      <c r="U262" s="273"/>
    </row>
    <row r="263" spans="21:21" ht="15.75" customHeight="1">
      <c r="U263" s="273"/>
    </row>
    <row r="264" spans="21:21" ht="15.75" customHeight="1">
      <c r="U264" s="273"/>
    </row>
    <row r="265" spans="21:21" ht="15.75" customHeight="1">
      <c r="U265" s="273"/>
    </row>
    <row r="266" spans="21:21" ht="15.75" customHeight="1">
      <c r="U266" s="273"/>
    </row>
    <row r="267" spans="21:21" ht="15.75" customHeight="1">
      <c r="U267" s="273"/>
    </row>
    <row r="268" spans="21:21" ht="15.75" customHeight="1">
      <c r="U268" s="273"/>
    </row>
    <row r="269" spans="21:21" ht="15.75" customHeight="1">
      <c r="U269" s="273"/>
    </row>
    <row r="270" spans="21:21" ht="15.75" customHeight="1">
      <c r="U270" s="273"/>
    </row>
    <row r="271" spans="21:21" ht="15.75" customHeight="1">
      <c r="U271" s="273"/>
    </row>
    <row r="272" spans="21:21" ht="15.75" customHeight="1">
      <c r="U272" s="273"/>
    </row>
    <row r="273" spans="21:21" ht="15.75" customHeight="1">
      <c r="U273" s="273"/>
    </row>
    <row r="274" spans="21:21" ht="15.75" customHeight="1">
      <c r="U274" s="273"/>
    </row>
    <row r="275" spans="21:21" ht="15.75" customHeight="1">
      <c r="U275" s="273"/>
    </row>
    <row r="276" spans="21:21" ht="15.75" customHeight="1">
      <c r="U276" s="273"/>
    </row>
    <row r="277" spans="21:21" ht="15.75" customHeight="1">
      <c r="U277" s="273"/>
    </row>
    <row r="278" spans="21:21" ht="15.75" customHeight="1">
      <c r="U278" s="273"/>
    </row>
    <row r="279" spans="21:21" ht="15.75" customHeight="1">
      <c r="U279" s="273"/>
    </row>
    <row r="280" spans="21:21" ht="15.75" customHeight="1">
      <c r="U280" s="273"/>
    </row>
    <row r="281" spans="21:21" ht="15.75" customHeight="1">
      <c r="U281" s="273"/>
    </row>
    <row r="282" spans="21:21" ht="15.75" customHeight="1">
      <c r="U282" s="273"/>
    </row>
    <row r="283" spans="21:21" ht="15.75" customHeight="1">
      <c r="U283" s="273"/>
    </row>
    <row r="284" spans="21:21" ht="15.75" customHeight="1">
      <c r="U284" s="273"/>
    </row>
    <row r="285" spans="21:21" ht="15.75" customHeight="1">
      <c r="U285" s="273"/>
    </row>
    <row r="286" spans="21:21" ht="15.75" customHeight="1">
      <c r="U286" s="273"/>
    </row>
    <row r="287" spans="21:21" ht="15.75" customHeight="1">
      <c r="U287" s="273"/>
    </row>
    <row r="288" spans="21:21" ht="15.75" customHeight="1">
      <c r="U288" s="273"/>
    </row>
    <row r="289" spans="21:21" ht="15.75" customHeight="1">
      <c r="U289" s="273"/>
    </row>
    <row r="290" spans="21:21" ht="15.75" customHeight="1">
      <c r="U290" s="273"/>
    </row>
    <row r="291" spans="21:21" ht="15.75" customHeight="1">
      <c r="U291" s="273"/>
    </row>
    <row r="292" spans="21:21" ht="15.75" customHeight="1">
      <c r="U292" s="273"/>
    </row>
    <row r="293" spans="21:21" ht="15.75" customHeight="1">
      <c r="U293" s="273"/>
    </row>
    <row r="294" spans="21:21" ht="15.75" customHeight="1">
      <c r="U294" s="273"/>
    </row>
    <row r="295" spans="21:21" ht="15.75" customHeight="1">
      <c r="U295" s="273"/>
    </row>
    <row r="296" spans="21:21" ht="15.75" customHeight="1">
      <c r="U296" s="273"/>
    </row>
    <row r="297" spans="21:21" ht="15.75" customHeight="1">
      <c r="U297" s="273"/>
    </row>
    <row r="298" spans="21:21" ht="15.75" customHeight="1">
      <c r="U298" s="273"/>
    </row>
    <row r="299" spans="21:21" ht="15.75" customHeight="1">
      <c r="U299" s="273"/>
    </row>
    <row r="300" spans="21:21" ht="15.75" customHeight="1">
      <c r="U300" s="273"/>
    </row>
    <row r="301" spans="21:21" ht="15.75" customHeight="1">
      <c r="U301" s="273"/>
    </row>
    <row r="302" spans="21:21" ht="15.75" customHeight="1">
      <c r="U302" s="273"/>
    </row>
    <row r="303" spans="21:21" ht="15.75" customHeight="1">
      <c r="U303" s="273"/>
    </row>
    <row r="304" spans="21:21" ht="15.75" customHeight="1">
      <c r="U304" s="273"/>
    </row>
    <row r="305" spans="21:21" ht="15.75" customHeight="1">
      <c r="U305" s="273"/>
    </row>
    <row r="306" spans="21:21" ht="15.75" customHeight="1">
      <c r="U306" s="273"/>
    </row>
    <row r="307" spans="21:21" ht="15.75" customHeight="1">
      <c r="U307" s="273"/>
    </row>
    <row r="308" spans="21:21" ht="15.75" customHeight="1">
      <c r="U308" s="273"/>
    </row>
    <row r="309" spans="21:21" ht="15.75" customHeight="1">
      <c r="U309" s="273"/>
    </row>
    <row r="310" spans="21:21" ht="15.75" customHeight="1">
      <c r="U310" s="273"/>
    </row>
    <row r="311" spans="21:21" ht="15.75" customHeight="1">
      <c r="U311" s="273"/>
    </row>
    <row r="312" spans="21:21" ht="15.75" customHeight="1">
      <c r="U312" s="273"/>
    </row>
    <row r="313" spans="21:21" ht="15.75" customHeight="1">
      <c r="U313" s="273"/>
    </row>
    <row r="314" spans="21:21" ht="15.75" customHeight="1">
      <c r="U314" s="273"/>
    </row>
    <row r="315" spans="21:21" ht="15.75" customHeight="1">
      <c r="U315" s="273"/>
    </row>
    <row r="316" spans="21:21" ht="15.75" customHeight="1">
      <c r="U316" s="273"/>
    </row>
    <row r="317" spans="21:21" ht="15.75" customHeight="1">
      <c r="U317" s="273"/>
    </row>
    <row r="318" spans="21:21" ht="15.75" customHeight="1">
      <c r="U318" s="273"/>
    </row>
    <row r="319" spans="21:21" ht="15.75" customHeight="1">
      <c r="U319" s="273"/>
    </row>
    <row r="320" spans="21:21" ht="15.75" customHeight="1">
      <c r="U320" s="273"/>
    </row>
    <row r="321" spans="21:21" ht="15.75" customHeight="1">
      <c r="U321" s="273"/>
    </row>
    <row r="322" spans="21:21" ht="15.75" customHeight="1">
      <c r="U322" s="273"/>
    </row>
    <row r="323" spans="21:21" ht="15.75" customHeight="1">
      <c r="U323" s="273"/>
    </row>
    <row r="324" spans="21:21" ht="15.75" customHeight="1">
      <c r="U324" s="273"/>
    </row>
    <row r="325" spans="21:21" ht="15.75" customHeight="1">
      <c r="U325" s="273"/>
    </row>
    <row r="326" spans="21:21" ht="15.75" customHeight="1">
      <c r="U326" s="273"/>
    </row>
    <row r="327" spans="21:21" ht="15.75" customHeight="1">
      <c r="U327" s="273"/>
    </row>
    <row r="328" spans="21:21" ht="15.75" customHeight="1">
      <c r="U328" s="273"/>
    </row>
    <row r="329" spans="21:21" ht="15.75" customHeight="1">
      <c r="U329" s="273"/>
    </row>
    <row r="330" spans="21:21" ht="15.75" customHeight="1">
      <c r="U330" s="273"/>
    </row>
    <row r="331" spans="21:21" ht="15.75" customHeight="1">
      <c r="U331" s="273"/>
    </row>
    <row r="332" spans="21:21" ht="15.75" customHeight="1">
      <c r="U332" s="273"/>
    </row>
    <row r="333" spans="21:21" ht="15.75" customHeight="1">
      <c r="U333" s="273"/>
    </row>
    <row r="334" spans="21:21" ht="15.75" customHeight="1">
      <c r="U334" s="273"/>
    </row>
    <row r="335" spans="21:21" ht="15.75" customHeight="1">
      <c r="U335" s="273"/>
    </row>
    <row r="336" spans="21:21" ht="15.75" customHeight="1">
      <c r="U336" s="273"/>
    </row>
    <row r="337" spans="21:21" ht="15.75" customHeight="1">
      <c r="U337" s="273"/>
    </row>
    <row r="338" spans="21:21" ht="15.75" customHeight="1">
      <c r="U338" s="273"/>
    </row>
    <row r="339" spans="21:21" ht="15.75" customHeight="1">
      <c r="U339" s="273"/>
    </row>
    <row r="340" spans="21:21" ht="15.75" customHeight="1">
      <c r="U340" s="273"/>
    </row>
    <row r="341" spans="21:21" ht="15.75" customHeight="1">
      <c r="U341" s="273"/>
    </row>
    <row r="342" spans="21:21" ht="15.75" customHeight="1">
      <c r="U342" s="273"/>
    </row>
    <row r="343" spans="21:21" ht="15.75" customHeight="1">
      <c r="U343" s="273"/>
    </row>
    <row r="344" spans="21:21" ht="15.75" customHeight="1">
      <c r="U344" s="273"/>
    </row>
    <row r="345" spans="21:21" ht="15.75" customHeight="1">
      <c r="U345" s="273"/>
    </row>
    <row r="346" spans="21:21" ht="15.75" customHeight="1">
      <c r="U346" s="273"/>
    </row>
    <row r="347" spans="21:21" ht="15.75" customHeight="1">
      <c r="U347" s="273"/>
    </row>
    <row r="348" spans="21:21" ht="15.75" customHeight="1">
      <c r="U348" s="273"/>
    </row>
    <row r="349" spans="21:21" ht="15.75" customHeight="1">
      <c r="U349" s="273"/>
    </row>
    <row r="350" spans="21:21" ht="15.75" customHeight="1">
      <c r="U350" s="273"/>
    </row>
    <row r="351" spans="21:21" ht="15.75" customHeight="1">
      <c r="U351" s="273"/>
    </row>
    <row r="352" spans="21:21" ht="15.75" customHeight="1">
      <c r="U352" s="273"/>
    </row>
    <row r="353" spans="21:21" ht="15.75" customHeight="1">
      <c r="U353" s="273"/>
    </row>
    <row r="354" spans="21:21" ht="15.75" customHeight="1">
      <c r="U354" s="273"/>
    </row>
    <row r="355" spans="21:21" ht="15.75" customHeight="1">
      <c r="U355" s="273"/>
    </row>
    <row r="356" spans="21:21" ht="15.75" customHeight="1">
      <c r="U356" s="273"/>
    </row>
    <row r="357" spans="21:21" ht="15.75" customHeight="1">
      <c r="U357" s="273"/>
    </row>
    <row r="358" spans="21:21" ht="15.75" customHeight="1">
      <c r="U358" s="273"/>
    </row>
    <row r="359" spans="21:21" ht="15.75" customHeight="1">
      <c r="U359" s="273"/>
    </row>
    <row r="360" spans="21:21" ht="15.75" customHeight="1">
      <c r="U360" s="273"/>
    </row>
    <row r="361" spans="21:21" ht="15.75" customHeight="1">
      <c r="U361" s="273"/>
    </row>
    <row r="362" spans="21:21" ht="15.75" customHeight="1">
      <c r="U362" s="273"/>
    </row>
    <row r="363" spans="21:21" ht="15.75" customHeight="1">
      <c r="U363" s="273"/>
    </row>
    <row r="364" spans="21:21" ht="15.75" customHeight="1">
      <c r="U364" s="273"/>
    </row>
    <row r="365" spans="21:21" ht="15.75" customHeight="1">
      <c r="U365" s="273"/>
    </row>
    <row r="366" spans="21:21" ht="15.75" customHeight="1">
      <c r="U366" s="273"/>
    </row>
    <row r="367" spans="21:21" ht="15.75" customHeight="1">
      <c r="U367" s="273"/>
    </row>
    <row r="368" spans="21:21" ht="15.75" customHeight="1">
      <c r="U368" s="273"/>
    </row>
    <row r="369" spans="21:21" ht="15.75" customHeight="1">
      <c r="U369" s="273"/>
    </row>
    <row r="370" spans="21:21" ht="15.75" customHeight="1">
      <c r="U370" s="273"/>
    </row>
    <row r="371" spans="21:21" ht="15.75" customHeight="1">
      <c r="U371" s="273"/>
    </row>
    <row r="372" spans="21:21" ht="15.75" customHeight="1">
      <c r="U372" s="273"/>
    </row>
    <row r="373" spans="21:21" ht="15.75" customHeight="1">
      <c r="U373" s="273"/>
    </row>
    <row r="374" spans="21:21" ht="15.75" customHeight="1">
      <c r="U374" s="273"/>
    </row>
    <row r="375" spans="21:21" ht="15.75" customHeight="1">
      <c r="U375" s="273"/>
    </row>
    <row r="376" spans="21:21" ht="15.75" customHeight="1">
      <c r="U376" s="273"/>
    </row>
    <row r="377" spans="21:21" ht="15.75" customHeight="1">
      <c r="U377" s="273"/>
    </row>
    <row r="378" spans="21:21" ht="15.75" customHeight="1">
      <c r="U378" s="273"/>
    </row>
    <row r="379" spans="21:21" ht="15.75" customHeight="1">
      <c r="U379" s="273"/>
    </row>
    <row r="380" spans="21:21" ht="15.75" customHeight="1">
      <c r="U380" s="273"/>
    </row>
    <row r="381" spans="21:21" ht="15.75" customHeight="1">
      <c r="U381" s="273"/>
    </row>
    <row r="382" spans="21:21" ht="15.75" customHeight="1">
      <c r="U382" s="273"/>
    </row>
    <row r="383" spans="21:21" ht="15.75" customHeight="1">
      <c r="U383" s="273"/>
    </row>
    <row r="384" spans="21:21" ht="15.75" customHeight="1">
      <c r="U384" s="273"/>
    </row>
    <row r="385" spans="21:21" ht="15.75" customHeight="1">
      <c r="U385" s="273"/>
    </row>
    <row r="386" spans="21:21" ht="15.75" customHeight="1">
      <c r="U386" s="273"/>
    </row>
    <row r="387" spans="21:21" ht="15.75" customHeight="1">
      <c r="U387" s="273"/>
    </row>
    <row r="388" spans="21:21" ht="15.75" customHeight="1">
      <c r="U388" s="273"/>
    </row>
    <row r="389" spans="21:21" ht="15.75" customHeight="1">
      <c r="U389" s="273"/>
    </row>
    <row r="390" spans="21:21" ht="15.75" customHeight="1">
      <c r="U390" s="273"/>
    </row>
    <row r="391" spans="21:21" ht="15.75" customHeight="1">
      <c r="U391" s="273"/>
    </row>
    <row r="392" spans="21:21" ht="15.75" customHeight="1">
      <c r="U392" s="273"/>
    </row>
    <row r="393" spans="21:21" ht="15.75" customHeight="1">
      <c r="U393" s="273"/>
    </row>
    <row r="394" spans="21:21" ht="15.75" customHeight="1">
      <c r="U394" s="273"/>
    </row>
    <row r="395" spans="21:21" ht="15.75" customHeight="1">
      <c r="U395" s="273"/>
    </row>
    <row r="396" spans="21:21" ht="15.75" customHeight="1">
      <c r="U396" s="273"/>
    </row>
    <row r="397" spans="21:21" ht="15.75" customHeight="1">
      <c r="U397" s="273"/>
    </row>
    <row r="398" spans="21:21" ht="15.75" customHeight="1">
      <c r="U398" s="273"/>
    </row>
    <row r="399" spans="21:21" ht="15.75" customHeight="1">
      <c r="U399" s="273"/>
    </row>
    <row r="400" spans="21:21" ht="15.75" customHeight="1">
      <c r="U400" s="273"/>
    </row>
    <row r="401" spans="21:21" ht="15.75" customHeight="1">
      <c r="U401" s="273"/>
    </row>
    <row r="402" spans="21:21" ht="15.75" customHeight="1">
      <c r="U402" s="273"/>
    </row>
    <row r="403" spans="21:21" ht="15.75" customHeight="1">
      <c r="U403" s="273"/>
    </row>
    <row r="404" spans="21:21" ht="15.75" customHeight="1">
      <c r="U404" s="273"/>
    </row>
    <row r="405" spans="21:21" ht="15.75" customHeight="1">
      <c r="U405" s="273"/>
    </row>
    <row r="406" spans="21:21" ht="15.75" customHeight="1">
      <c r="U406" s="273"/>
    </row>
    <row r="407" spans="21:21" ht="15.75" customHeight="1">
      <c r="U407" s="273"/>
    </row>
    <row r="408" spans="21:21" ht="15.75" customHeight="1">
      <c r="U408" s="273"/>
    </row>
    <row r="409" spans="21:21" ht="15.75" customHeight="1">
      <c r="U409" s="273"/>
    </row>
    <row r="410" spans="21:21" ht="15.75" customHeight="1">
      <c r="U410" s="273"/>
    </row>
    <row r="411" spans="21:21" ht="15.75" customHeight="1">
      <c r="U411" s="273"/>
    </row>
    <row r="412" spans="21:21" ht="15.75" customHeight="1">
      <c r="U412" s="273"/>
    </row>
    <row r="413" spans="21:21" ht="15.75" customHeight="1">
      <c r="U413" s="273"/>
    </row>
    <row r="414" spans="21:21" ht="15.75" customHeight="1">
      <c r="U414" s="273"/>
    </row>
    <row r="415" spans="21:21" ht="15.75" customHeight="1">
      <c r="U415" s="273"/>
    </row>
    <row r="416" spans="21:21" ht="15.75" customHeight="1">
      <c r="U416" s="273"/>
    </row>
    <row r="417" spans="21:21" ht="15.75" customHeight="1">
      <c r="U417" s="273"/>
    </row>
    <row r="418" spans="21:21" ht="15.75" customHeight="1">
      <c r="U418" s="273"/>
    </row>
    <row r="419" spans="21:21" ht="15.75" customHeight="1">
      <c r="U419" s="273"/>
    </row>
    <row r="420" spans="21:21" ht="15.75" customHeight="1">
      <c r="U420" s="273"/>
    </row>
    <row r="421" spans="21:21" ht="15.75" customHeight="1">
      <c r="U421" s="273"/>
    </row>
    <row r="422" spans="21:21" ht="15.75" customHeight="1">
      <c r="U422" s="273"/>
    </row>
    <row r="423" spans="21:21" ht="15.75" customHeight="1">
      <c r="U423" s="273"/>
    </row>
    <row r="424" spans="21:21" ht="15.75" customHeight="1">
      <c r="U424" s="273"/>
    </row>
    <row r="425" spans="21:21" ht="15.75" customHeight="1">
      <c r="U425" s="273"/>
    </row>
    <row r="426" spans="21:21" ht="15.75" customHeight="1">
      <c r="U426" s="273"/>
    </row>
    <row r="427" spans="21:21" ht="15.75" customHeight="1">
      <c r="U427" s="273"/>
    </row>
    <row r="428" spans="21:21" ht="15.75" customHeight="1">
      <c r="U428" s="273"/>
    </row>
    <row r="429" spans="21:21" ht="15.75" customHeight="1">
      <c r="U429" s="273"/>
    </row>
    <row r="430" spans="21:21" ht="15.75" customHeight="1">
      <c r="U430" s="273"/>
    </row>
    <row r="431" spans="21:21" ht="15.75" customHeight="1">
      <c r="U431" s="273"/>
    </row>
    <row r="432" spans="21:21" ht="15.75" customHeight="1">
      <c r="U432" s="273"/>
    </row>
    <row r="433" spans="21:21" ht="15.75" customHeight="1">
      <c r="U433" s="273"/>
    </row>
    <row r="434" spans="21:21" ht="15.75" customHeight="1">
      <c r="U434" s="273"/>
    </row>
    <row r="435" spans="21:21" ht="15.75" customHeight="1">
      <c r="U435" s="273"/>
    </row>
    <row r="436" spans="21:21" ht="15.75" customHeight="1">
      <c r="U436" s="273"/>
    </row>
    <row r="437" spans="21:21" ht="15.75" customHeight="1">
      <c r="U437" s="273"/>
    </row>
    <row r="438" spans="21:21" ht="15.75" customHeight="1">
      <c r="U438" s="273"/>
    </row>
    <row r="439" spans="21:21" ht="15.75" customHeight="1">
      <c r="U439" s="273"/>
    </row>
    <row r="440" spans="21:21" ht="15.75" customHeight="1">
      <c r="U440" s="273"/>
    </row>
    <row r="441" spans="21:21" ht="15.75" customHeight="1">
      <c r="U441" s="273"/>
    </row>
    <row r="442" spans="21:21" ht="15.75" customHeight="1">
      <c r="U442" s="273"/>
    </row>
    <row r="443" spans="21:21" ht="15.75" customHeight="1">
      <c r="U443" s="273"/>
    </row>
    <row r="444" spans="21:21" ht="15.75" customHeight="1">
      <c r="U444" s="273"/>
    </row>
    <row r="445" spans="21:21" ht="15.75" customHeight="1">
      <c r="U445" s="273"/>
    </row>
    <row r="446" spans="21:21" ht="15.75" customHeight="1">
      <c r="U446" s="273"/>
    </row>
    <row r="447" spans="21:21" ht="15.75" customHeight="1">
      <c r="U447" s="273"/>
    </row>
    <row r="448" spans="21:21" ht="15.75" customHeight="1">
      <c r="U448" s="273"/>
    </row>
    <row r="449" spans="21:21" ht="15.75" customHeight="1">
      <c r="U449" s="273"/>
    </row>
    <row r="450" spans="21:21" ht="15.75" customHeight="1">
      <c r="U450" s="273"/>
    </row>
    <row r="451" spans="21:21" ht="15.75" customHeight="1">
      <c r="U451" s="273"/>
    </row>
    <row r="452" spans="21:21" ht="15.75" customHeight="1">
      <c r="U452" s="273"/>
    </row>
    <row r="453" spans="21:21" ht="15.75" customHeight="1">
      <c r="U453" s="273"/>
    </row>
    <row r="454" spans="21:21" ht="15.75" customHeight="1">
      <c r="U454" s="273"/>
    </row>
    <row r="455" spans="21:21" ht="15.75" customHeight="1">
      <c r="U455" s="273"/>
    </row>
    <row r="456" spans="21:21" ht="15.75" customHeight="1">
      <c r="U456" s="273"/>
    </row>
    <row r="457" spans="21:21" ht="15.75" customHeight="1">
      <c r="U457" s="273"/>
    </row>
    <row r="458" spans="21:21" ht="15.75" customHeight="1">
      <c r="U458" s="273"/>
    </row>
    <row r="459" spans="21:21" ht="15.75" customHeight="1">
      <c r="U459" s="273"/>
    </row>
    <row r="460" spans="21:21" ht="15.75" customHeight="1">
      <c r="U460" s="273"/>
    </row>
    <row r="461" spans="21:21" ht="15.75" customHeight="1">
      <c r="U461" s="273"/>
    </row>
    <row r="462" spans="21:21" ht="15.75" customHeight="1">
      <c r="U462" s="273"/>
    </row>
    <row r="463" spans="21:21" ht="15.75" customHeight="1">
      <c r="U463" s="273"/>
    </row>
    <row r="464" spans="21:21" ht="15.75" customHeight="1">
      <c r="U464" s="273"/>
    </row>
    <row r="465" spans="21:21" ht="15.75" customHeight="1">
      <c r="U465" s="273"/>
    </row>
    <row r="466" spans="21:21" ht="15.75" customHeight="1">
      <c r="U466" s="273"/>
    </row>
    <row r="467" spans="21:21" ht="15.75" customHeight="1">
      <c r="U467" s="273"/>
    </row>
    <row r="468" spans="21:21" ht="15.75" customHeight="1">
      <c r="U468" s="273"/>
    </row>
    <row r="469" spans="21:21" ht="15.75" customHeight="1">
      <c r="U469" s="273"/>
    </row>
    <row r="470" spans="21:21" ht="15.75" customHeight="1">
      <c r="U470" s="273"/>
    </row>
    <row r="471" spans="21:21" ht="15.75" customHeight="1">
      <c r="U471" s="273"/>
    </row>
    <row r="472" spans="21:21" ht="15.75" customHeight="1">
      <c r="U472" s="273"/>
    </row>
    <row r="473" spans="21:21" ht="15.75" customHeight="1">
      <c r="U473" s="273"/>
    </row>
    <row r="474" spans="21:21" ht="15.75" customHeight="1">
      <c r="U474" s="273"/>
    </row>
    <row r="475" spans="21:21" ht="15.75" customHeight="1">
      <c r="U475" s="273"/>
    </row>
    <row r="476" spans="21:21" ht="15.75" customHeight="1">
      <c r="U476" s="273"/>
    </row>
    <row r="477" spans="21:21" ht="15.75" customHeight="1">
      <c r="U477" s="273"/>
    </row>
    <row r="478" spans="21:21" ht="15.75" customHeight="1">
      <c r="U478" s="273"/>
    </row>
    <row r="479" spans="21:21" ht="15.75" customHeight="1">
      <c r="U479" s="273"/>
    </row>
    <row r="480" spans="21:21" ht="15.75" customHeight="1">
      <c r="U480" s="273"/>
    </row>
    <row r="481" spans="21:21" ht="15.75" customHeight="1">
      <c r="U481" s="273"/>
    </row>
    <row r="482" spans="21:21" ht="15.75" customHeight="1">
      <c r="U482" s="273"/>
    </row>
    <row r="483" spans="21:21" ht="15.75" customHeight="1">
      <c r="U483" s="273"/>
    </row>
    <row r="484" spans="21:21" ht="15.75" customHeight="1">
      <c r="U484" s="273"/>
    </row>
    <row r="485" spans="21:21" ht="15.75" customHeight="1">
      <c r="U485" s="273"/>
    </row>
    <row r="486" spans="21:21" ht="15.75" customHeight="1">
      <c r="U486" s="273"/>
    </row>
    <row r="487" spans="21:21" ht="15.75" customHeight="1">
      <c r="U487" s="273"/>
    </row>
    <row r="488" spans="21:21" ht="15.75" customHeight="1">
      <c r="U488" s="273"/>
    </row>
    <row r="489" spans="21:21" ht="15.75" customHeight="1">
      <c r="U489" s="273"/>
    </row>
    <row r="490" spans="21:21" ht="15.75" customHeight="1">
      <c r="U490" s="273"/>
    </row>
    <row r="491" spans="21:21" ht="15.75" customHeight="1">
      <c r="U491" s="273"/>
    </row>
    <row r="492" spans="21:21" ht="15.75" customHeight="1">
      <c r="U492" s="273"/>
    </row>
    <row r="493" spans="21:21" ht="15.75" customHeight="1">
      <c r="U493" s="273"/>
    </row>
    <row r="494" spans="21:21" ht="15.75" customHeight="1">
      <c r="U494" s="273"/>
    </row>
    <row r="495" spans="21:21" ht="15.75" customHeight="1">
      <c r="U495" s="273"/>
    </row>
    <row r="496" spans="21:21" ht="15.75" customHeight="1">
      <c r="U496" s="273"/>
    </row>
    <row r="497" spans="21:21" ht="15.75" customHeight="1">
      <c r="U497" s="273"/>
    </row>
    <row r="498" spans="21:21" ht="15.75" customHeight="1">
      <c r="U498" s="273"/>
    </row>
    <row r="499" spans="21:21" ht="15.75" customHeight="1">
      <c r="U499" s="273"/>
    </row>
    <row r="500" spans="21:21" ht="15.75" customHeight="1">
      <c r="U500" s="273"/>
    </row>
    <row r="501" spans="21:21" ht="15.75" customHeight="1">
      <c r="U501" s="273"/>
    </row>
    <row r="502" spans="21:21" ht="15.75" customHeight="1">
      <c r="U502" s="273"/>
    </row>
    <row r="503" spans="21:21" ht="15.75" customHeight="1">
      <c r="U503" s="273"/>
    </row>
    <row r="504" spans="21:21" ht="15.75" customHeight="1">
      <c r="U504" s="273"/>
    </row>
    <row r="505" spans="21:21" ht="15.75" customHeight="1">
      <c r="U505" s="273"/>
    </row>
    <row r="506" spans="21:21" ht="15.75" customHeight="1">
      <c r="U506" s="273"/>
    </row>
    <row r="507" spans="21:21" ht="15.75" customHeight="1">
      <c r="U507" s="273"/>
    </row>
    <row r="508" spans="21:21" ht="15.75" customHeight="1">
      <c r="U508" s="273"/>
    </row>
    <row r="509" spans="21:21" ht="15.75" customHeight="1">
      <c r="U509" s="273"/>
    </row>
    <row r="510" spans="21:21" ht="15.75" customHeight="1">
      <c r="U510" s="273"/>
    </row>
    <row r="511" spans="21:21" ht="15.75" customHeight="1">
      <c r="U511" s="273"/>
    </row>
    <row r="512" spans="21:21" ht="15.75" customHeight="1">
      <c r="U512" s="273"/>
    </row>
    <row r="513" spans="21:21" ht="15.75" customHeight="1">
      <c r="U513" s="273"/>
    </row>
    <row r="514" spans="21:21" ht="15.75" customHeight="1">
      <c r="U514" s="273"/>
    </row>
    <row r="515" spans="21:21" ht="15.75" customHeight="1">
      <c r="U515" s="273"/>
    </row>
    <row r="516" spans="21:21" ht="15.75" customHeight="1">
      <c r="U516" s="273"/>
    </row>
    <row r="517" spans="21:21" ht="15.75" customHeight="1">
      <c r="U517" s="273"/>
    </row>
    <row r="518" spans="21:21" ht="15.75" customHeight="1">
      <c r="U518" s="273"/>
    </row>
    <row r="519" spans="21:21" ht="15.75" customHeight="1">
      <c r="U519" s="273"/>
    </row>
    <row r="520" spans="21:21" ht="15.75" customHeight="1">
      <c r="U520" s="273"/>
    </row>
    <row r="521" spans="21:21" ht="15.75" customHeight="1">
      <c r="U521" s="273"/>
    </row>
    <row r="522" spans="21:21" ht="15.75" customHeight="1">
      <c r="U522" s="273"/>
    </row>
    <row r="523" spans="21:21" ht="15.75" customHeight="1">
      <c r="U523" s="273"/>
    </row>
    <row r="524" spans="21:21" ht="15.75" customHeight="1">
      <c r="U524" s="273"/>
    </row>
    <row r="525" spans="21:21" ht="15.75" customHeight="1">
      <c r="U525" s="273"/>
    </row>
    <row r="526" spans="21:21" ht="15.75" customHeight="1">
      <c r="U526" s="273"/>
    </row>
    <row r="527" spans="21:21" ht="15.75" customHeight="1">
      <c r="U527" s="273"/>
    </row>
    <row r="528" spans="21:21" ht="15.75" customHeight="1">
      <c r="U528" s="273"/>
    </row>
    <row r="529" spans="21:21" ht="15.75" customHeight="1">
      <c r="U529" s="273"/>
    </row>
    <row r="530" spans="21:21" ht="15.75" customHeight="1">
      <c r="U530" s="273"/>
    </row>
    <row r="531" spans="21:21" ht="15.75" customHeight="1">
      <c r="U531" s="273"/>
    </row>
    <row r="532" spans="21:21" ht="15.75" customHeight="1">
      <c r="U532" s="273"/>
    </row>
    <row r="533" spans="21:21" ht="15.75" customHeight="1">
      <c r="U533" s="273"/>
    </row>
    <row r="534" spans="21:21" ht="15.75" customHeight="1">
      <c r="U534" s="273"/>
    </row>
    <row r="535" spans="21:21" ht="15.75" customHeight="1">
      <c r="U535" s="273"/>
    </row>
    <row r="536" spans="21:21" ht="15.75" customHeight="1">
      <c r="U536" s="273"/>
    </row>
    <row r="537" spans="21:21" ht="15.75" customHeight="1">
      <c r="U537" s="273"/>
    </row>
    <row r="538" spans="21:21" ht="15.75" customHeight="1">
      <c r="U538" s="273"/>
    </row>
    <row r="539" spans="21:21" ht="15.75" customHeight="1">
      <c r="U539" s="273"/>
    </row>
    <row r="540" spans="21:21" ht="15.75" customHeight="1">
      <c r="U540" s="273"/>
    </row>
    <row r="541" spans="21:21" ht="15.75" customHeight="1">
      <c r="U541" s="273"/>
    </row>
    <row r="542" spans="21:21" ht="15.75" customHeight="1">
      <c r="U542" s="273"/>
    </row>
    <row r="543" spans="21:21" ht="15.75" customHeight="1">
      <c r="U543" s="273"/>
    </row>
    <row r="544" spans="21:21" ht="15.75" customHeight="1">
      <c r="U544" s="273"/>
    </row>
    <row r="545" spans="21:21" ht="15.75" customHeight="1">
      <c r="U545" s="273"/>
    </row>
    <row r="546" spans="21:21" ht="15.75" customHeight="1">
      <c r="U546" s="273"/>
    </row>
    <row r="547" spans="21:21" ht="15.75" customHeight="1">
      <c r="U547" s="273"/>
    </row>
    <row r="548" spans="21:21" ht="15.75" customHeight="1">
      <c r="U548" s="273"/>
    </row>
    <row r="549" spans="21:21" ht="15.75" customHeight="1">
      <c r="U549" s="273"/>
    </row>
    <row r="550" spans="21:21" ht="15.75" customHeight="1">
      <c r="U550" s="273"/>
    </row>
    <row r="551" spans="21:21" ht="15.75" customHeight="1">
      <c r="U551" s="273"/>
    </row>
    <row r="552" spans="21:21" ht="15.75" customHeight="1">
      <c r="U552" s="273"/>
    </row>
    <row r="553" spans="21:21" ht="15.75" customHeight="1">
      <c r="U553" s="273"/>
    </row>
    <row r="554" spans="21:21" ht="15.75" customHeight="1">
      <c r="U554" s="273"/>
    </row>
    <row r="555" spans="21:21" ht="15.75" customHeight="1">
      <c r="U555" s="273"/>
    </row>
    <row r="556" spans="21:21" ht="15.75" customHeight="1">
      <c r="U556" s="273"/>
    </row>
    <row r="557" spans="21:21" ht="15.75" customHeight="1">
      <c r="U557" s="273"/>
    </row>
    <row r="558" spans="21:21" ht="15.75" customHeight="1">
      <c r="U558" s="273"/>
    </row>
    <row r="559" spans="21:21" ht="15.75" customHeight="1">
      <c r="U559" s="273"/>
    </row>
    <row r="560" spans="21:21" ht="15.75" customHeight="1">
      <c r="U560" s="273"/>
    </row>
    <row r="561" spans="21:21" ht="15.75" customHeight="1">
      <c r="U561" s="273"/>
    </row>
    <row r="562" spans="21:21" ht="15.75" customHeight="1">
      <c r="U562" s="273"/>
    </row>
    <row r="563" spans="21:21" ht="15.75" customHeight="1">
      <c r="U563" s="273"/>
    </row>
    <row r="564" spans="21:21" ht="15.75" customHeight="1">
      <c r="U564" s="273"/>
    </row>
    <row r="565" spans="21:21" ht="15.75" customHeight="1">
      <c r="U565" s="273"/>
    </row>
    <row r="566" spans="21:21" ht="15.75" customHeight="1">
      <c r="U566" s="273"/>
    </row>
    <row r="567" spans="21:21" ht="15.75" customHeight="1">
      <c r="U567" s="273"/>
    </row>
    <row r="568" spans="21:21" ht="15.75" customHeight="1">
      <c r="U568" s="273"/>
    </row>
    <row r="569" spans="21:21" ht="15.75" customHeight="1">
      <c r="U569" s="273"/>
    </row>
    <row r="570" spans="21:21" ht="15.75" customHeight="1">
      <c r="U570" s="273"/>
    </row>
    <row r="571" spans="21:21" ht="15.75" customHeight="1">
      <c r="U571" s="273"/>
    </row>
    <row r="572" spans="21:21" ht="15.75" customHeight="1">
      <c r="U572" s="273"/>
    </row>
    <row r="573" spans="21:21" ht="15.75" customHeight="1">
      <c r="U573" s="273"/>
    </row>
    <row r="574" spans="21:21" ht="15.75" customHeight="1">
      <c r="U574" s="273"/>
    </row>
    <row r="575" spans="21:21" ht="15.75" customHeight="1">
      <c r="U575" s="273"/>
    </row>
    <row r="576" spans="21:21" ht="15.75" customHeight="1">
      <c r="U576" s="273"/>
    </row>
    <row r="577" spans="21:21" ht="15.75" customHeight="1">
      <c r="U577" s="273"/>
    </row>
    <row r="578" spans="21:21" ht="15.75" customHeight="1">
      <c r="U578" s="273"/>
    </row>
    <row r="579" spans="21:21" ht="15.75" customHeight="1">
      <c r="U579" s="273"/>
    </row>
    <row r="580" spans="21:21" ht="15.75" customHeight="1">
      <c r="U580" s="273"/>
    </row>
    <row r="581" spans="21:21" ht="15.75" customHeight="1">
      <c r="U581" s="273"/>
    </row>
    <row r="582" spans="21:21" ht="15.75" customHeight="1">
      <c r="U582" s="273"/>
    </row>
    <row r="583" spans="21:21" ht="15.75" customHeight="1">
      <c r="U583" s="273"/>
    </row>
    <row r="584" spans="21:21" ht="15.75" customHeight="1">
      <c r="U584" s="273"/>
    </row>
    <row r="585" spans="21:21" ht="15.75" customHeight="1">
      <c r="U585" s="273"/>
    </row>
    <row r="586" spans="21:21" ht="15.75" customHeight="1">
      <c r="U586" s="273"/>
    </row>
    <row r="587" spans="21:21" ht="15.75" customHeight="1">
      <c r="U587" s="273"/>
    </row>
    <row r="588" spans="21:21" ht="15.75" customHeight="1">
      <c r="U588" s="273"/>
    </row>
    <row r="589" spans="21:21" ht="15.75" customHeight="1">
      <c r="U589" s="273"/>
    </row>
    <row r="590" spans="21:21" ht="15.75" customHeight="1">
      <c r="U590" s="273"/>
    </row>
    <row r="591" spans="21:21" ht="15.75" customHeight="1">
      <c r="U591" s="273"/>
    </row>
    <row r="592" spans="21:21" ht="15.75" customHeight="1">
      <c r="U592" s="273"/>
    </row>
    <row r="593" spans="21:21" ht="15.75" customHeight="1">
      <c r="U593" s="273"/>
    </row>
    <row r="594" spans="21:21" ht="15.75" customHeight="1">
      <c r="U594" s="273"/>
    </row>
    <row r="595" spans="21:21" ht="15.75" customHeight="1">
      <c r="U595" s="273"/>
    </row>
    <row r="596" spans="21:21" ht="15.75" customHeight="1">
      <c r="U596" s="273"/>
    </row>
    <row r="597" spans="21:21" ht="15.75" customHeight="1">
      <c r="U597" s="273"/>
    </row>
    <row r="598" spans="21:21" ht="15.75" customHeight="1">
      <c r="U598" s="273"/>
    </row>
    <row r="599" spans="21:21" ht="15.75" customHeight="1">
      <c r="U599" s="273"/>
    </row>
    <row r="600" spans="21:21" ht="15.75" customHeight="1">
      <c r="U600" s="273"/>
    </row>
    <row r="601" spans="21:21" ht="15.75" customHeight="1">
      <c r="U601" s="273"/>
    </row>
    <row r="602" spans="21:21" ht="15.75" customHeight="1">
      <c r="U602" s="273"/>
    </row>
    <row r="603" spans="21:21" ht="15.75" customHeight="1">
      <c r="U603" s="273"/>
    </row>
    <row r="604" spans="21:21" ht="15.75" customHeight="1">
      <c r="U604" s="273"/>
    </row>
    <row r="605" spans="21:21" ht="15.75" customHeight="1">
      <c r="U605" s="273"/>
    </row>
    <row r="606" spans="21:21" ht="15.75" customHeight="1">
      <c r="U606" s="273"/>
    </row>
    <row r="607" spans="21:21" ht="15.75" customHeight="1">
      <c r="U607" s="273"/>
    </row>
    <row r="608" spans="21:21" ht="15.75" customHeight="1">
      <c r="U608" s="273"/>
    </row>
    <row r="609" spans="21:21" ht="15.75" customHeight="1">
      <c r="U609" s="273"/>
    </row>
    <row r="610" spans="21:21" ht="15.75" customHeight="1">
      <c r="U610" s="273"/>
    </row>
    <row r="611" spans="21:21" ht="15.75" customHeight="1">
      <c r="U611" s="273"/>
    </row>
    <row r="612" spans="21:21" ht="15.75" customHeight="1">
      <c r="U612" s="273"/>
    </row>
    <row r="613" spans="21:21" ht="15.75" customHeight="1">
      <c r="U613" s="273"/>
    </row>
    <row r="614" spans="21:21" ht="15.75" customHeight="1">
      <c r="U614" s="273"/>
    </row>
    <row r="615" spans="21:21" ht="15.75" customHeight="1">
      <c r="U615" s="273"/>
    </row>
    <row r="616" spans="21:21" ht="15.75" customHeight="1">
      <c r="U616" s="273"/>
    </row>
    <row r="617" spans="21:21" ht="15.75" customHeight="1">
      <c r="U617" s="273"/>
    </row>
    <row r="618" spans="21:21" ht="15.75" customHeight="1">
      <c r="U618" s="273"/>
    </row>
    <row r="619" spans="21:21" ht="15.75" customHeight="1">
      <c r="U619" s="273"/>
    </row>
    <row r="620" spans="21:21" ht="15.75" customHeight="1">
      <c r="U620" s="273"/>
    </row>
    <row r="621" spans="21:21" ht="15.75" customHeight="1">
      <c r="U621" s="273"/>
    </row>
    <row r="622" spans="21:21" ht="15.75" customHeight="1">
      <c r="U622" s="273"/>
    </row>
    <row r="623" spans="21:21" ht="15.75" customHeight="1">
      <c r="U623" s="273"/>
    </row>
    <row r="624" spans="21:21" ht="15.75" customHeight="1">
      <c r="U624" s="273"/>
    </row>
    <row r="625" spans="21:21" ht="15.75" customHeight="1">
      <c r="U625" s="273"/>
    </row>
    <row r="626" spans="21:21" ht="15.75" customHeight="1">
      <c r="U626" s="273"/>
    </row>
    <row r="627" spans="21:21" ht="15.75" customHeight="1">
      <c r="U627" s="273"/>
    </row>
    <row r="628" spans="21:21" ht="15.75" customHeight="1">
      <c r="U628" s="273"/>
    </row>
    <row r="629" spans="21:21" ht="15.75" customHeight="1">
      <c r="U629" s="273"/>
    </row>
    <row r="630" spans="21:21" ht="15.75" customHeight="1">
      <c r="U630" s="273"/>
    </row>
    <row r="631" spans="21:21" ht="15.75" customHeight="1">
      <c r="U631" s="273"/>
    </row>
    <row r="632" spans="21:21" ht="15.75" customHeight="1">
      <c r="U632" s="273"/>
    </row>
    <row r="633" spans="21:21" ht="15.75" customHeight="1">
      <c r="U633" s="273"/>
    </row>
    <row r="634" spans="21:21" ht="15.75" customHeight="1">
      <c r="U634" s="273"/>
    </row>
    <row r="635" spans="21:21" ht="15.75" customHeight="1">
      <c r="U635" s="273"/>
    </row>
    <row r="636" spans="21:21" ht="15.75" customHeight="1">
      <c r="U636" s="273"/>
    </row>
    <row r="637" spans="21:21" ht="15.75" customHeight="1">
      <c r="U637" s="273"/>
    </row>
    <row r="638" spans="21:21" ht="15.75" customHeight="1">
      <c r="U638" s="273"/>
    </row>
    <row r="639" spans="21:21" ht="15.75" customHeight="1">
      <c r="U639" s="273"/>
    </row>
    <row r="640" spans="21:21" ht="15.75" customHeight="1">
      <c r="U640" s="273"/>
    </row>
    <row r="641" spans="21:21" ht="15.75" customHeight="1">
      <c r="U641" s="273"/>
    </row>
    <row r="642" spans="21:21" ht="15.75" customHeight="1">
      <c r="U642" s="273"/>
    </row>
    <row r="643" spans="21:21" ht="15.75" customHeight="1">
      <c r="U643" s="273"/>
    </row>
    <row r="644" spans="21:21" ht="15.75" customHeight="1">
      <c r="U644" s="273"/>
    </row>
    <row r="645" spans="21:21" ht="15.75" customHeight="1">
      <c r="U645" s="273"/>
    </row>
    <row r="646" spans="21:21" ht="15.75" customHeight="1">
      <c r="U646" s="273"/>
    </row>
    <row r="647" spans="21:21" ht="15.75" customHeight="1">
      <c r="U647" s="273"/>
    </row>
    <row r="648" spans="21:21" ht="15.75" customHeight="1">
      <c r="U648" s="273"/>
    </row>
    <row r="649" spans="21:21" ht="15.75" customHeight="1">
      <c r="U649" s="273"/>
    </row>
    <row r="650" spans="21:21" ht="15.75" customHeight="1">
      <c r="U650" s="273"/>
    </row>
    <row r="651" spans="21:21" ht="15.75" customHeight="1">
      <c r="U651" s="273"/>
    </row>
    <row r="652" spans="21:21" ht="15.75" customHeight="1">
      <c r="U652" s="273"/>
    </row>
    <row r="653" spans="21:21" ht="15.75" customHeight="1">
      <c r="U653" s="273"/>
    </row>
    <row r="654" spans="21:21" ht="15.75" customHeight="1">
      <c r="U654" s="273"/>
    </row>
    <row r="655" spans="21:21" ht="15.75" customHeight="1">
      <c r="U655" s="273"/>
    </row>
    <row r="656" spans="21:21" ht="15.75" customHeight="1">
      <c r="U656" s="273"/>
    </row>
    <row r="657" spans="21:21" ht="15.75" customHeight="1">
      <c r="U657" s="273"/>
    </row>
    <row r="658" spans="21:21" ht="15.75" customHeight="1">
      <c r="U658" s="273"/>
    </row>
    <row r="659" spans="21:21" ht="15.75" customHeight="1">
      <c r="U659" s="273"/>
    </row>
    <row r="660" spans="21:21" ht="15.75" customHeight="1">
      <c r="U660" s="273"/>
    </row>
    <row r="661" spans="21:21" ht="15.75" customHeight="1">
      <c r="U661" s="273"/>
    </row>
    <row r="662" spans="21:21" ht="15.75" customHeight="1">
      <c r="U662" s="273"/>
    </row>
    <row r="663" spans="21:21" ht="15.75" customHeight="1">
      <c r="U663" s="273"/>
    </row>
    <row r="664" spans="21:21" ht="15.75" customHeight="1">
      <c r="U664" s="273"/>
    </row>
    <row r="665" spans="21:21" ht="15.75" customHeight="1">
      <c r="U665" s="273"/>
    </row>
    <row r="666" spans="21:21" ht="15.75" customHeight="1">
      <c r="U666" s="273"/>
    </row>
    <row r="667" spans="21:21" ht="15.75" customHeight="1">
      <c r="U667" s="273"/>
    </row>
    <row r="668" spans="21:21" ht="15.75" customHeight="1">
      <c r="U668" s="273"/>
    </row>
    <row r="669" spans="21:21" ht="15.75" customHeight="1">
      <c r="U669" s="273"/>
    </row>
    <row r="670" spans="21:21" ht="15.75" customHeight="1">
      <c r="U670" s="273"/>
    </row>
    <row r="671" spans="21:21" ht="15.75" customHeight="1">
      <c r="U671" s="273"/>
    </row>
    <row r="672" spans="21:21" ht="15.75" customHeight="1">
      <c r="U672" s="273"/>
    </row>
    <row r="673" spans="21:21" ht="15.75" customHeight="1">
      <c r="U673" s="273"/>
    </row>
    <row r="674" spans="21:21" ht="15.75" customHeight="1">
      <c r="U674" s="273"/>
    </row>
    <row r="675" spans="21:21" ht="15.75" customHeight="1">
      <c r="U675" s="273"/>
    </row>
    <row r="676" spans="21:21" ht="15.75" customHeight="1">
      <c r="U676" s="273"/>
    </row>
    <row r="677" spans="21:21" ht="15.75" customHeight="1">
      <c r="U677" s="273"/>
    </row>
    <row r="678" spans="21:21" ht="15.75" customHeight="1">
      <c r="U678" s="273"/>
    </row>
    <row r="679" spans="21:21" ht="15.75" customHeight="1">
      <c r="U679" s="273"/>
    </row>
    <row r="680" spans="21:21" ht="15.75" customHeight="1">
      <c r="U680" s="273"/>
    </row>
    <row r="681" spans="21:21" ht="15.75" customHeight="1">
      <c r="U681" s="273"/>
    </row>
    <row r="682" spans="21:21" ht="15.75" customHeight="1">
      <c r="U682" s="273"/>
    </row>
    <row r="683" spans="21:21" ht="15.75" customHeight="1">
      <c r="U683" s="273"/>
    </row>
    <row r="684" spans="21:21" ht="15.75" customHeight="1">
      <c r="U684" s="273"/>
    </row>
    <row r="685" spans="21:21" ht="15.75" customHeight="1">
      <c r="U685" s="273"/>
    </row>
    <row r="686" spans="21:21" ht="15.75" customHeight="1">
      <c r="U686" s="273"/>
    </row>
    <row r="687" spans="21:21" ht="15.75" customHeight="1">
      <c r="U687" s="273"/>
    </row>
    <row r="688" spans="21:21" ht="15.75" customHeight="1">
      <c r="U688" s="273"/>
    </row>
    <row r="689" spans="21:21" ht="15.75" customHeight="1">
      <c r="U689" s="273"/>
    </row>
    <row r="690" spans="21:21" ht="15.75" customHeight="1">
      <c r="U690" s="273"/>
    </row>
    <row r="691" spans="21:21" ht="15.75" customHeight="1">
      <c r="U691" s="273"/>
    </row>
    <row r="692" spans="21:21" ht="15.75" customHeight="1">
      <c r="U692" s="273"/>
    </row>
    <row r="693" spans="21:21" ht="15.75" customHeight="1">
      <c r="U693" s="273"/>
    </row>
    <row r="694" spans="21:21" ht="15.75" customHeight="1">
      <c r="U694" s="273"/>
    </row>
    <row r="695" spans="21:21" ht="15.75" customHeight="1">
      <c r="U695" s="273"/>
    </row>
    <row r="696" spans="21:21" ht="15.75" customHeight="1">
      <c r="U696" s="273"/>
    </row>
    <row r="697" spans="21:21" ht="15.75" customHeight="1">
      <c r="U697" s="273"/>
    </row>
    <row r="698" spans="21:21" ht="15.75" customHeight="1">
      <c r="U698" s="273"/>
    </row>
    <row r="699" spans="21:21" ht="15.75" customHeight="1">
      <c r="U699" s="273"/>
    </row>
    <row r="700" spans="21:21" ht="15.75" customHeight="1">
      <c r="U700" s="273"/>
    </row>
    <row r="701" spans="21:21" ht="15.75" customHeight="1">
      <c r="U701" s="273"/>
    </row>
    <row r="702" spans="21:21" ht="15.75" customHeight="1">
      <c r="U702" s="273"/>
    </row>
    <row r="703" spans="21:21" ht="15.75" customHeight="1">
      <c r="U703" s="273"/>
    </row>
    <row r="704" spans="21:21" ht="15.75" customHeight="1">
      <c r="U704" s="273"/>
    </row>
    <row r="705" spans="21:21" ht="15.75" customHeight="1">
      <c r="U705" s="273"/>
    </row>
    <row r="706" spans="21:21" ht="15.75" customHeight="1">
      <c r="U706" s="273"/>
    </row>
    <row r="707" spans="21:21" ht="15.75" customHeight="1">
      <c r="U707" s="273"/>
    </row>
    <row r="708" spans="21:21" ht="15.75" customHeight="1">
      <c r="U708" s="273"/>
    </row>
    <row r="709" spans="21:21" ht="15.75" customHeight="1">
      <c r="U709" s="273"/>
    </row>
    <row r="710" spans="21:21" ht="15.75" customHeight="1">
      <c r="U710" s="273"/>
    </row>
    <row r="711" spans="21:21" ht="15.75" customHeight="1">
      <c r="U711" s="273"/>
    </row>
    <row r="712" spans="21:21" ht="15.75" customHeight="1">
      <c r="U712" s="273"/>
    </row>
    <row r="713" spans="21:21" ht="15.75" customHeight="1">
      <c r="U713" s="273"/>
    </row>
    <row r="714" spans="21:21" ht="15.75" customHeight="1">
      <c r="U714" s="273"/>
    </row>
    <row r="715" spans="21:21" ht="15.75" customHeight="1">
      <c r="U715" s="273"/>
    </row>
    <row r="716" spans="21:21" ht="15.75" customHeight="1">
      <c r="U716" s="273"/>
    </row>
    <row r="717" spans="21:21" ht="15.75" customHeight="1">
      <c r="U717" s="273"/>
    </row>
    <row r="718" spans="21:21" ht="15.75" customHeight="1">
      <c r="U718" s="273"/>
    </row>
    <row r="719" spans="21:21" ht="15.75" customHeight="1">
      <c r="U719" s="273"/>
    </row>
    <row r="720" spans="21:21" ht="15.75" customHeight="1">
      <c r="U720" s="273"/>
    </row>
    <row r="721" spans="21:21" ht="15.75" customHeight="1">
      <c r="U721" s="273"/>
    </row>
    <row r="722" spans="21:21" ht="15.75" customHeight="1">
      <c r="U722" s="273"/>
    </row>
    <row r="723" spans="21:21" ht="15.75" customHeight="1">
      <c r="U723" s="273"/>
    </row>
    <row r="724" spans="21:21" ht="15.75" customHeight="1">
      <c r="U724" s="273"/>
    </row>
    <row r="725" spans="21:21" ht="15.75" customHeight="1">
      <c r="U725" s="273"/>
    </row>
    <row r="726" spans="21:21" ht="15.75" customHeight="1">
      <c r="U726" s="273"/>
    </row>
    <row r="727" spans="21:21" ht="15.75" customHeight="1">
      <c r="U727" s="273"/>
    </row>
    <row r="728" spans="21:21" ht="15.75" customHeight="1">
      <c r="U728" s="273"/>
    </row>
    <row r="729" spans="21:21" ht="15.75" customHeight="1">
      <c r="U729" s="273"/>
    </row>
    <row r="730" spans="21:21" ht="15.75" customHeight="1">
      <c r="U730" s="273"/>
    </row>
    <row r="731" spans="21:21" ht="15.75" customHeight="1">
      <c r="U731" s="273"/>
    </row>
    <row r="732" spans="21:21" ht="15.75" customHeight="1">
      <c r="U732" s="273"/>
    </row>
    <row r="733" spans="21:21" ht="15.75" customHeight="1">
      <c r="U733" s="273"/>
    </row>
    <row r="734" spans="21:21" ht="15.75" customHeight="1">
      <c r="U734" s="273"/>
    </row>
    <row r="735" spans="21:21" ht="15.75" customHeight="1">
      <c r="U735" s="273"/>
    </row>
    <row r="736" spans="21:21" ht="15.75" customHeight="1">
      <c r="U736" s="273"/>
    </row>
    <row r="737" spans="21:21" ht="15.75" customHeight="1">
      <c r="U737" s="273"/>
    </row>
    <row r="738" spans="21:21" ht="15.75" customHeight="1">
      <c r="U738" s="273"/>
    </row>
    <row r="739" spans="21:21" ht="15.75" customHeight="1">
      <c r="U739" s="273"/>
    </row>
    <row r="740" spans="21:21" ht="15.75" customHeight="1">
      <c r="U740" s="273"/>
    </row>
    <row r="741" spans="21:21" ht="15.75" customHeight="1">
      <c r="U741" s="273"/>
    </row>
    <row r="742" spans="21:21" ht="15.75" customHeight="1">
      <c r="U742" s="273"/>
    </row>
    <row r="743" spans="21:21" ht="15.75" customHeight="1">
      <c r="U743" s="273"/>
    </row>
    <row r="744" spans="21:21" ht="15.75" customHeight="1">
      <c r="U744" s="273"/>
    </row>
    <row r="745" spans="21:21" ht="15.75" customHeight="1">
      <c r="U745" s="273"/>
    </row>
    <row r="746" spans="21:21" ht="15.75" customHeight="1">
      <c r="U746" s="273"/>
    </row>
    <row r="747" spans="21:21" ht="15.75" customHeight="1">
      <c r="U747" s="273"/>
    </row>
    <row r="748" spans="21:21" ht="15.75" customHeight="1">
      <c r="U748" s="273"/>
    </row>
    <row r="749" spans="21:21" ht="15.75" customHeight="1">
      <c r="U749" s="273"/>
    </row>
    <row r="750" spans="21:21" ht="15.75" customHeight="1">
      <c r="U750" s="273"/>
    </row>
    <row r="751" spans="21:21" ht="15.75" customHeight="1">
      <c r="U751" s="273"/>
    </row>
    <row r="752" spans="21:21" ht="15.75" customHeight="1">
      <c r="U752" s="273"/>
    </row>
    <row r="753" spans="21:21" ht="15.75" customHeight="1">
      <c r="U753" s="273"/>
    </row>
    <row r="754" spans="21:21" ht="15.75" customHeight="1">
      <c r="U754" s="273"/>
    </row>
    <row r="755" spans="21:21" ht="15.75" customHeight="1">
      <c r="U755" s="273"/>
    </row>
    <row r="756" spans="21:21" ht="15.75" customHeight="1">
      <c r="U756" s="273"/>
    </row>
    <row r="757" spans="21:21" ht="15.75" customHeight="1">
      <c r="U757" s="273"/>
    </row>
    <row r="758" spans="21:21" ht="15.75" customHeight="1">
      <c r="U758" s="273"/>
    </row>
    <row r="759" spans="21:21" ht="15.75" customHeight="1">
      <c r="U759" s="273"/>
    </row>
    <row r="760" spans="21:21" ht="15.75" customHeight="1">
      <c r="U760" s="273"/>
    </row>
    <row r="761" spans="21:21" ht="15.75" customHeight="1">
      <c r="U761" s="273"/>
    </row>
    <row r="762" spans="21:21" ht="15.75" customHeight="1">
      <c r="U762" s="273"/>
    </row>
    <row r="763" spans="21:21" ht="15.75" customHeight="1">
      <c r="U763" s="273"/>
    </row>
    <row r="764" spans="21:21" ht="15.75" customHeight="1">
      <c r="U764" s="273"/>
    </row>
    <row r="765" spans="21:21" ht="15.75" customHeight="1">
      <c r="U765" s="273"/>
    </row>
    <row r="766" spans="21:21" ht="15.75" customHeight="1">
      <c r="U766" s="273"/>
    </row>
    <row r="767" spans="21:21" ht="15.75" customHeight="1">
      <c r="U767" s="273"/>
    </row>
    <row r="768" spans="21:21" ht="15.75" customHeight="1">
      <c r="U768" s="273"/>
    </row>
    <row r="769" spans="21:21" ht="15.75" customHeight="1">
      <c r="U769" s="273"/>
    </row>
    <row r="770" spans="21:21" ht="15.75" customHeight="1">
      <c r="U770" s="273"/>
    </row>
    <row r="771" spans="21:21" ht="15.75" customHeight="1">
      <c r="U771" s="273"/>
    </row>
    <row r="772" spans="21:21" ht="15.75" customHeight="1">
      <c r="U772" s="273"/>
    </row>
    <row r="773" spans="21:21" ht="15.75" customHeight="1">
      <c r="U773" s="273"/>
    </row>
    <row r="774" spans="21:21" ht="15.75" customHeight="1">
      <c r="U774" s="273"/>
    </row>
    <row r="775" spans="21:21" ht="15.75" customHeight="1">
      <c r="U775" s="273"/>
    </row>
    <row r="776" spans="21:21" ht="15.75" customHeight="1">
      <c r="U776" s="273"/>
    </row>
    <row r="777" spans="21:21" ht="15.75" customHeight="1">
      <c r="U777" s="273"/>
    </row>
    <row r="778" spans="21:21" ht="15.75" customHeight="1">
      <c r="U778" s="273"/>
    </row>
    <row r="779" spans="21:21" ht="15.75" customHeight="1">
      <c r="U779" s="273"/>
    </row>
    <row r="780" spans="21:21" ht="15.75" customHeight="1">
      <c r="U780" s="273"/>
    </row>
    <row r="781" spans="21:21" ht="15.75" customHeight="1">
      <c r="U781" s="273"/>
    </row>
    <row r="782" spans="21:21" ht="15.75" customHeight="1">
      <c r="U782" s="273"/>
    </row>
    <row r="783" spans="21:21" ht="15.75" customHeight="1">
      <c r="U783" s="273"/>
    </row>
    <row r="784" spans="21:21" ht="15.75" customHeight="1">
      <c r="U784" s="273"/>
    </row>
    <row r="785" spans="21:21" ht="15.75" customHeight="1">
      <c r="U785" s="273"/>
    </row>
    <row r="786" spans="21:21" ht="15.75" customHeight="1">
      <c r="U786" s="273"/>
    </row>
    <row r="787" spans="21:21" ht="15.75" customHeight="1">
      <c r="U787" s="273"/>
    </row>
    <row r="788" spans="21:21" ht="15.75" customHeight="1">
      <c r="U788" s="273"/>
    </row>
    <row r="789" spans="21:21" ht="15.75" customHeight="1">
      <c r="U789" s="273"/>
    </row>
    <row r="790" spans="21:21" ht="15.75" customHeight="1">
      <c r="U790" s="273"/>
    </row>
    <row r="791" spans="21:21" ht="15.75" customHeight="1">
      <c r="U791" s="273"/>
    </row>
    <row r="792" spans="21:21" ht="15.75" customHeight="1">
      <c r="U792" s="273"/>
    </row>
    <row r="793" spans="21:21" ht="15.75" customHeight="1">
      <c r="U793" s="273"/>
    </row>
    <row r="794" spans="21:21" ht="15.75" customHeight="1">
      <c r="U794" s="273"/>
    </row>
    <row r="795" spans="21:21" ht="15.75" customHeight="1">
      <c r="U795" s="273"/>
    </row>
    <row r="796" spans="21:21" ht="15.75" customHeight="1">
      <c r="U796" s="273"/>
    </row>
    <row r="797" spans="21:21" ht="15.75" customHeight="1">
      <c r="U797" s="273"/>
    </row>
    <row r="798" spans="21:21" ht="15.75" customHeight="1">
      <c r="U798" s="273"/>
    </row>
    <row r="799" spans="21:21" ht="15.75" customHeight="1">
      <c r="U799" s="273"/>
    </row>
    <row r="800" spans="21:21" ht="15.75" customHeight="1">
      <c r="U800" s="273"/>
    </row>
    <row r="801" spans="21:21" ht="15.75" customHeight="1">
      <c r="U801" s="273"/>
    </row>
    <row r="802" spans="21:21" ht="15.75" customHeight="1">
      <c r="U802" s="273"/>
    </row>
    <row r="803" spans="21:21" ht="15.75" customHeight="1">
      <c r="U803" s="273"/>
    </row>
    <row r="804" spans="21:21" ht="15.75" customHeight="1">
      <c r="U804" s="273"/>
    </row>
    <row r="805" spans="21:21" ht="15.75" customHeight="1">
      <c r="U805" s="273"/>
    </row>
    <row r="806" spans="21:21" ht="15.75" customHeight="1">
      <c r="U806" s="273"/>
    </row>
    <row r="807" spans="21:21" ht="15.75" customHeight="1">
      <c r="U807" s="273"/>
    </row>
    <row r="808" spans="21:21" ht="15.75" customHeight="1">
      <c r="U808" s="273"/>
    </row>
    <row r="809" spans="21:21" ht="15.75" customHeight="1">
      <c r="U809" s="273"/>
    </row>
    <row r="810" spans="21:21" ht="15.75" customHeight="1">
      <c r="U810" s="273"/>
    </row>
    <row r="811" spans="21:21" ht="15.75" customHeight="1">
      <c r="U811" s="273"/>
    </row>
    <row r="812" spans="21:21" ht="15.75" customHeight="1">
      <c r="U812" s="273"/>
    </row>
    <row r="813" spans="21:21" ht="15.75" customHeight="1">
      <c r="U813" s="273"/>
    </row>
    <row r="814" spans="21:21" ht="15.75" customHeight="1">
      <c r="U814" s="273"/>
    </row>
    <row r="815" spans="21:21" ht="15.75" customHeight="1">
      <c r="U815" s="273"/>
    </row>
    <row r="816" spans="21:21" ht="15.75" customHeight="1">
      <c r="U816" s="273"/>
    </row>
    <row r="817" spans="21:21" ht="15.75" customHeight="1">
      <c r="U817" s="273"/>
    </row>
    <row r="818" spans="21:21" ht="15.75" customHeight="1">
      <c r="U818" s="273"/>
    </row>
    <row r="819" spans="21:21" ht="15.75" customHeight="1">
      <c r="U819" s="273"/>
    </row>
    <row r="820" spans="21:21" ht="15.75" customHeight="1">
      <c r="U820" s="273"/>
    </row>
    <row r="821" spans="21:21" ht="15.75" customHeight="1">
      <c r="U821" s="273"/>
    </row>
    <row r="822" spans="21:21" ht="15.75" customHeight="1">
      <c r="U822" s="273"/>
    </row>
    <row r="823" spans="21:21" ht="15.75" customHeight="1">
      <c r="U823" s="273"/>
    </row>
    <row r="824" spans="21:21" ht="15.75" customHeight="1">
      <c r="U824" s="273"/>
    </row>
    <row r="825" spans="21:21" ht="15.75" customHeight="1">
      <c r="U825" s="273"/>
    </row>
    <row r="826" spans="21:21" ht="15.75" customHeight="1">
      <c r="U826" s="273"/>
    </row>
    <row r="827" spans="21:21" ht="15.75" customHeight="1">
      <c r="U827" s="273"/>
    </row>
    <row r="828" spans="21:21" ht="15.75" customHeight="1">
      <c r="U828" s="273"/>
    </row>
    <row r="829" spans="21:21" ht="15.75" customHeight="1">
      <c r="U829" s="273"/>
    </row>
    <row r="830" spans="21:21" ht="15.75" customHeight="1">
      <c r="U830" s="273"/>
    </row>
    <row r="831" spans="21:21" ht="15.75" customHeight="1">
      <c r="U831" s="273"/>
    </row>
    <row r="832" spans="21:21" ht="15.75" customHeight="1">
      <c r="U832" s="273"/>
    </row>
    <row r="833" spans="21:21" ht="15.75" customHeight="1">
      <c r="U833" s="273"/>
    </row>
    <row r="834" spans="21:21" ht="15.75" customHeight="1">
      <c r="U834" s="273"/>
    </row>
    <row r="835" spans="21:21" ht="15.75" customHeight="1">
      <c r="U835" s="273"/>
    </row>
    <row r="836" spans="21:21" ht="15.75" customHeight="1">
      <c r="U836" s="273"/>
    </row>
    <row r="837" spans="21:21" ht="15.75" customHeight="1">
      <c r="U837" s="273"/>
    </row>
    <row r="838" spans="21:21" ht="15.75" customHeight="1">
      <c r="U838" s="273"/>
    </row>
    <row r="839" spans="21:21" ht="15.75" customHeight="1">
      <c r="U839" s="273"/>
    </row>
    <row r="840" spans="21:21" ht="15.75" customHeight="1">
      <c r="U840" s="273"/>
    </row>
    <row r="841" spans="21:21" ht="15.75" customHeight="1">
      <c r="U841" s="273"/>
    </row>
    <row r="842" spans="21:21" ht="15.75" customHeight="1">
      <c r="U842" s="273"/>
    </row>
    <row r="843" spans="21:21" ht="15.75" customHeight="1">
      <c r="U843" s="273"/>
    </row>
    <row r="844" spans="21:21" ht="15.75" customHeight="1">
      <c r="U844" s="273"/>
    </row>
    <row r="845" spans="21:21" ht="15.75" customHeight="1">
      <c r="U845" s="273"/>
    </row>
    <row r="846" spans="21:21" ht="15.75" customHeight="1">
      <c r="U846" s="273"/>
    </row>
    <row r="847" spans="21:21" ht="15.75" customHeight="1">
      <c r="U847" s="273"/>
    </row>
    <row r="848" spans="21:21" ht="15.75" customHeight="1">
      <c r="U848" s="273"/>
    </row>
    <row r="849" spans="21:21" ht="15.75" customHeight="1">
      <c r="U849" s="273"/>
    </row>
    <row r="850" spans="21:21" ht="15.75" customHeight="1">
      <c r="U850" s="273"/>
    </row>
    <row r="851" spans="21:21" ht="15.75" customHeight="1">
      <c r="U851" s="273"/>
    </row>
    <row r="852" spans="21:21" ht="15.75" customHeight="1">
      <c r="U852" s="273"/>
    </row>
    <row r="853" spans="21:21" ht="15.75" customHeight="1">
      <c r="U853" s="273"/>
    </row>
    <row r="854" spans="21:21" ht="15.75" customHeight="1">
      <c r="U854" s="273"/>
    </row>
    <row r="855" spans="21:21" ht="15.75" customHeight="1">
      <c r="U855" s="273"/>
    </row>
    <row r="856" spans="21:21" ht="15.75" customHeight="1">
      <c r="U856" s="273"/>
    </row>
    <row r="857" spans="21:21" ht="15.75" customHeight="1">
      <c r="U857" s="273"/>
    </row>
    <row r="858" spans="21:21" ht="15.75" customHeight="1">
      <c r="U858" s="273"/>
    </row>
    <row r="859" spans="21:21" ht="15.75" customHeight="1">
      <c r="U859" s="273"/>
    </row>
    <row r="860" spans="21:21" ht="15.75" customHeight="1">
      <c r="U860" s="273"/>
    </row>
    <row r="861" spans="21:21" ht="15.75" customHeight="1">
      <c r="U861" s="273"/>
    </row>
    <row r="862" spans="21:21" ht="15.75" customHeight="1">
      <c r="U862" s="273"/>
    </row>
    <row r="863" spans="21:21" ht="15.75" customHeight="1">
      <c r="U863" s="273"/>
    </row>
    <row r="864" spans="21:21" ht="15.75" customHeight="1">
      <c r="U864" s="273"/>
    </row>
    <row r="865" spans="21:21" ht="15.75" customHeight="1">
      <c r="U865" s="273"/>
    </row>
    <row r="866" spans="21:21" ht="15.75" customHeight="1">
      <c r="U866" s="273"/>
    </row>
    <row r="867" spans="21:21" ht="15.75" customHeight="1">
      <c r="U867" s="273"/>
    </row>
    <row r="868" spans="21:21" ht="15.75" customHeight="1">
      <c r="U868" s="273"/>
    </row>
    <row r="869" spans="21:21" ht="15.75" customHeight="1">
      <c r="U869" s="273"/>
    </row>
    <row r="870" spans="21:21" ht="15.75" customHeight="1">
      <c r="U870" s="273"/>
    </row>
    <row r="871" spans="21:21" ht="15.75" customHeight="1">
      <c r="U871" s="273"/>
    </row>
    <row r="872" spans="21:21" ht="15.75" customHeight="1">
      <c r="U872" s="273"/>
    </row>
    <row r="873" spans="21:21" ht="15.75" customHeight="1">
      <c r="U873" s="273"/>
    </row>
    <row r="874" spans="21:21" ht="15.75" customHeight="1">
      <c r="U874" s="273"/>
    </row>
    <row r="875" spans="21:21" ht="15.75" customHeight="1">
      <c r="U875" s="273"/>
    </row>
    <row r="876" spans="21:21" ht="15.75" customHeight="1">
      <c r="U876" s="273"/>
    </row>
    <row r="877" spans="21:21" ht="15.75" customHeight="1">
      <c r="U877" s="273"/>
    </row>
    <row r="878" spans="21:21" ht="15.75" customHeight="1">
      <c r="U878" s="273"/>
    </row>
    <row r="879" spans="21:21" ht="15.75" customHeight="1">
      <c r="U879" s="273"/>
    </row>
    <row r="880" spans="21:21" ht="15.75" customHeight="1">
      <c r="U880" s="273"/>
    </row>
    <row r="881" spans="21:21" ht="15.75" customHeight="1">
      <c r="U881" s="273"/>
    </row>
    <row r="882" spans="21:21" ht="15.75" customHeight="1">
      <c r="U882" s="273"/>
    </row>
    <row r="883" spans="21:21" ht="15.75" customHeight="1">
      <c r="U883" s="273"/>
    </row>
    <row r="884" spans="21:21" ht="15.75" customHeight="1">
      <c r="U884" s="273"/>
    </row>
    <row r="885" spans="21:21" ht="15.75" customHeight="1">
      <c r="U885" s="273"/>
    </row>
    <row r="886" spans="21:21" ht="15.75" customHeight="1">
      <c r="U886" s="273"/>
    </row>
    <row r="887" spans="21:21" ht="15.75" customHeight="1">
      <c r="U887" s="273"/>
    </row>
    <row r="888" spans="21:21" ht="15.75" customHeight="1">
      <c r="U888" s="273"/>
    </row>
    <row r="889" spans="21:21" ht="15.75" customHeight="1">
      <c r="U889" s="273"/>
    </row>
    <row r="890" spans="21:21" ht="15.75" customHeight="1">
      <c r="U890" s="273"/>
    </row>
    <row r="891" spans="21:21" ht="15.75" customHeight="1">
      <c r="U891" s="273"/>
    </row>
    <row r="892" spans="21:21" ht="15.75" customHeight="1">
      <c r="U892" s="273"/>
    </row>
    <row r="893" spans="21:21" ht="15.75" customHeight="1">
      <c r="U893" s="273"/>
    </row>
    <row r="894" spans="21:21" ht="15.75" customHeight="1">
      <c r="U894" s="273"/>
    </row>
    <row r="895" spans="21:21" ht="15.75" customHeight="1">
      <c r="U895" s="273"/>
    </row>
    <row r="896" spans="21:21" ht="15.75" customHeight="1">
      <c r="U896" s="273"/>
    </row>
    <row r="897" spans="21:21" ht="15.75" customHeight="1">
      <c r="U897" s="273"/>
    </row>
    <row r="898" spans="21:21" ht="15.75" customHeight="1">
      <c r="U898" s="273"/>
    </row>
    <row r="899" spans="21:21" ht="15.75" customHeight="1">
      <c r="U899" s="273"/>
    </row>
    <row r="900" spans="21:21" ht="15.75" customHeight="1">
      <c r="U900" s="273"/>
    </row>
    <row r="901" spans="21:21" ht="15.75" customHeight="1">
      <c r="U901" s="273"/>
    </row>
    <row r="902" spans="21:21" ht="15.75" customHeight="1">
      <c r="U902" s="273"/>
    </row>
    <row r="903" spans="21:21" ht="15.75" customHeight="1">
      <c r="U903" s="273"/>
    </row>
    <row r="904" spans="21:21" ht="15.75" customHeight="1">
      <c r="U904" s="273"/>
    </row>
    <row r="905" spans="21:21" ht="15.75" customHeight="1">
      <c r="U905" s="273"/>
    </row>
    <row r="906" spans="21:21" ht="15.75" customHeight="1">
      <c r="U906" s="273"/>
    </row>
    <row r="907" spans="21:21" ht="15.75" customHeight="1">
      <c r="U907" s="273"/>
    </row>
    <row r="908" spans="21:21" ht="15.75" customHeight="1">
      <c r="U908" s="273"/>
    </row>
    <row r="909" spans="21:21" ht="15.75" customHeight="1">
      <c r="U909" s="273"/>
    </row>
    <row r="910" spans="21:21" ht="15.75" customHeight="1">
      <c r="U910" s="273"/>
    </row>
    <row r="911" spans="21:21" ht="15.75" customHeight="1">
      <c r="U911" s="273"/>
    </row>
    <row r="912" spans="21:21" ht="15.75" customHeight="1">
      <c r="U912" s="273"/>
    </row>
    <row r="913" spans="21:21" ht="15.75" customHeight="1">
      <c r="U913" s="273"/>
    </row>
    <row r="914" spans="21:21" ht="15.75" customHeight="1">
      <c r="U914" s="273"/>
    </row>
    <row r="915" spans="21:21" ht="15.75" customHeight="1">
      <c r="U915" s="273"/>
    </row>
    <row r="916" spans="21:21" ht="15.75" customHeight="1">
      <c r="U916" s="273"/>
    </row>
    <row r="917" spans="21:21" ht="15.75" customHeight="1">
      <c r="U917" s="273"/>
    </row>
    <row r="918" spans="21:21" ht="15.75" customHeight="1">
      <c r="U918" s="273"/>
    </row>
    <row r="919" spans="21:21" ht="15.75" customHeight="1">
      <c r="U919" s="273"/>
    </row>
    <row r="920" spans="21:21" ht="15.75" customHeight="1">
      <c r="U920" s="273"/>
    </row>
    <row r="921" spans="21:21" ht="15.75" customHeight="1">
      <c r="U921" s="273"/>
    </row>
    <row r="922" spans="21:21" ht="15.75" customHeight="1">
      <c r="U922" s="273"/>
    </row>
    <row r="923" spans="21:21" ht="15.75" customHeight="1">
      <c r="U923" s="273"/>
    </row>
    <row r="924" spans="21:21" ht="15.75" customHeight="1">
      <c r="U924" s="273"/>
    </row>
    <row r="925" spans="21:21" ht="15.75" customHeight="1">
      <c r="U925" s="273"/>
    </row>
    <row r="926" spans="21:21" ht="15.75" customHeight="1">
      <c r="U926" s="273"/>
    </row>
    <row r="927" spans="21:21" ht="15.75" customHeight="1">
      <c r="U927" s="273"/>
    </row>
    <row r="928" spans="21:21" ht="15.75" customHeight="1">
      <c r="U928" s="273"/>
    </row>
    <row r="929" spans="21:21" ht="15.75" customHeight="1">
      <c r="U929" s="273"/>
    </row>
    <row r="930" spans="21:21" ht="15.75" customHeight="1">
      <c r="U930" s="273"/>
    </row>
    <row r="931" spans="21:21" ht="15.75" customHeight="1">
      <c r="U931" s="273"/>
    </row>
    <row r="932" spans="21:21" ht="15.75" customHeight="1">
      <c r="U932" s="273"/>
    </row>
    <row r="933" spans="21:21" ht="15.75" customHeight="1">
      <c r="U933" s="273"/>
    </row>
    <row r="934" spans="21:21" ht="15.75" customHeight="1">
      <c r="U934" s="273"/>
    </row>
    <row r="935" spans="21:21" ht="15.75" customHeight="1">
      <c r="U935" s="273"/>
    </row>
    <row r="936" spans="21:21" ht="15.75" customHeight="1">
      <c r="U936" s="273"/>
    </row>
    <row r="937" spans="21:21" ht="15.75" customHeight="1">
      <c r="U937" s="273"/>
    </row>
    <row r="938" spans="21:21" ht="15.75" customHeight="1">
      <c r="U938" s="273"/>
    </row>
    <row r="939" spans="21:21" ht="15.75" customHeight="1">
      <c r="U939" s="273"/>
    </row>
    <row r="940" spans="21:21" ht="15.75" customHeight="1">
      <c r="U940" s="273"/>
    </row>
    <row r="941" spans="21:21" ht="15.75" customHeight="1">
      <c r="U941" s="273"/>
    </row>
    <row r="942" spans="21:21" ht="15.75" customHeight="1">
      <c r="U942" s="273"/>
    </row>
    <row r="943" spans="21:21" ht="15.75" customHeight="1">
      <c r="U943" s="273"/>
    </row>
    <row r="944" spans="21:21" ht="15.75" customHeight="1">
      <c r="U944" s="273"/>
    </row>
    <row r="945" spans="21:21" ht="15.75" customHeight="1">
      <c r="U945" s="273"/>
    </row>
    <row r="946" spans="21:21" ht="15.75" customHeight="1">
      <c r="U946" s="273"/>
    </row>
    <row r="947" spans="21:21" ht="15.75" customHeight="1">
      <c r="U947" s="273"/>
    </row>
    <row r="948" spans="21:21" ht="15.75" customHeight="1">
      <c r="U948" s="273"/>
    </row>
    <row r="949" spans="21:21" ht="15.75" customHeight="1">
      <c r="U949" s="273"/>
    </row>
    <row r="950" spans="21:21" ht="15.75" customHeight="1">
      <c r="U950" s="273"/>
    </row>
    <row r="951" spans="21:21" ht="15.75" customHeight="1">
      <c r="U951" s="273"/>
    </row>
    <row r="952" spans="21:21" ht="15.75" customHeight="1">
      <c r="U952" s="273"/>
    </row>
    <row r="953" spans="21:21" ht="15.75" customHeight="1">
      <c r="U953" s="273"/>
    </row>
    <row r="954" spans="21:21" ht="15.75" customHeight="1">
      <c r="U954" s="273"/>
    </row>
    <row r="955" spans="21:21" ht="15.75" customHeight="1">
      <c r="U955" s="273"/>
    </row>
    <row r="956" spans="21:21" ht="15.75" customHeight="1">
      <c r="U956" s="273"/>
    </row>
    <row r="957" spans="21:21" ht="15.75" customHeight="1">
      <c r="U957" s="273"/>
    </row>
    <row r="958" spans="21:21" ht="15.75" customHeight="1">
      <c r="U958" s="273"/>
    </row>
    <row r="959" spans="21:21" ht="15.75" customHeight="1">
      <c r="U959" s="273"/>
    </row>
    <row r="960" spans="21:21" ht="15.75" customHeight="1">
      <c r="U960" s="273"/>
    </row>
    <row r="961" spans="21:21" ht="15.75" customHeight="1">
      <c r="U961" s="273"/>
    </row>
    <row r="962" spans="21:21" ht="15.75" customHeight="1">
      <c r="U962" s="273"/>
    </row>
    <row r="963" spans="21:21" ht="15.75" customHeight="1">
      <c r="U963" s="273"/>
    </row>
    <row r="964" spans="21:21" ht="15.75" customHeight="1">
      <c r="U964" s="273"/>
    </row>
    <row r="965" spans="21:21" ht="15.75" customHeight="1">
      <c r="U965" s="273"/>
    </row>
    <row r="966" spans="21:21" ht="15.75" customHeight="1">
      <c r="U966" s="273"/>
    </row>
    <row r="967" spans="21:21" ht="15.75" customHeight="1">
      <c r="U967" s="273"/>
    </row>
    <row r="968" spans="21:21" ht="15.75" customHeight="1">
      <c r="U968" s="273"/>
    </row>
    <row r="969" spans="21:21" ht="15.75" customHeight="1">
      <c r="U969" s="273"/>
    </row>
    <row r="970" spans="21:21" ht="15.75" customHeight="1">
      <c r="U970" s="273"/>
    </row>
    <row r="971" spans="21:21" ht="15.75" customHeight="1">
      <c r="U971" s="273"/>
    </row>
    <row r="972" spans="21:21" ht="15.75" customHeight="1">
      <c r="U972" s="273"/>
    </row>
    <row r="973" spans="21:21" ht="15.75" customHeight="1">
      <c r="U973" s="273"/>
    </row>
    <row r="974" spans="21:21" ht="15.75" customHeight="1">
      <c r="U974" s="273"/>
    </row>
    <row r="975" spans="21:21" ht="15.75" customHeight="1">
      <c r="U975" s="273"/>
    </row>
    <row r="976" spans="21:21" ht="15.75" customHeight="1">
      <c r="U976" s="273"/>
    </row>
    <row r="977" spans="21:21" ht="15.75" customHeight="1">
      <c r="U977" s="273"/>
    </row>
    <row r="978" spans="21:21" ht="15.75" customHeight="1">
      <c r="U978" s="273"/>
    </row>
    <row r="979" spans="21:21" ht="15.75" customHeight="1">
      <c r="U979" s="273"/>
    </row>
    <row r="980" spans="21:21" ht="15.75" customHeight="1">
      <c r="U980" s="273"/>
    </row>
    <row r="981" spans="21:21" ht="15.75" customHeight="1">
      <c r="U981" s="273"/>
    </row>
    <row r="982" spans="21:21" ht="15.75" customHeight="1">
      <c r="U982" s="273"/>
    </row>
    <row r="983" spans="21:21" ht="15.75" customHeight="1">
      <c r="U983" s="273"/>
    </row>
    <row r="984" spans="21:21" ht="15.75" customHeight="1">
      <c r="U984" s="273"/>
    </row>
    <row r="985" spans="21:21" ht="15.75" customHeight="1">
      <c r="U985" s="273"/>
    </row>
    <row r="986" spans="21:21" ht="15.75" customHeight="1">
      <c r="U986" s="273"/>
    </row>
    <row r="987" spans="21:21" ht="15.75" customHeight="1">
      <c r="U987" s="273"/>
    </row>
    <row r="988" spans="21:21" ht="15.75" customHeight="1">
      <c r="U988" s="273"/>
    </row>
    <row r="989" spans="21:21" ht="15.75" customHeight="1">
      <c r="U989" s="273"/>
    </row>
    <row r="990" spans="21:21" ht="15.75" customHeight="1">
      <c r="U990" s="273"/>
    </row>
    <row r="991" spans="21:21" ht="15.75" customHeight="1">
      <c r="U991" s="273"/>
    </row>
    <row r="992" spans="21:21" ht="15.75" customHeight="1">
      <c r="U992" s="273"/>
    </row>
    <row r="993" spans="21:21" ht="15.75" customHeight="1">
      <c r="U993" s="273"/>
    </row>
    <row r="994" spans="21:21" ht="15.75" customHeight="1">
      <c r="U994" s="273"/>
    </row>
    <row r="995" spans="21:21" ht="15.75" customHeight="1">
      <c r="U995" s="273"/>
    </row>
    <row r="996" spans="21:21" ht="15.75" customHeight="1">
      <c r="U996" s="273"/>
    </row>
    <row r="997" spans="21:21" ht="15.75" customHeight="1">
      <c r="U997" s="273"/>
    </row>
    <row r="998" spans="21:21" ht="15.75" customHeight="1">
      <c r="U998" s="273"/>
    </row>
    <row r="999" spans="21:21" ht="15.75" customHeight="1">
      <c r="U999" s="273"/>
    </row>
    <row r="1000" spans="21:21" ht="15.75" customHeight="1">
      <c r="U1000" s="273"/>
    </row>
  </sheetData>
  <autoFilter ref="B5:U54" xr:uid="{00000000-0009-0000-0000-000001000000}">
    <sortState xmlns:xlrd2="http://schemas.microsoft.com/office/spreadsheetml/2017/richdata2" ref="B5:U54">
      <sortCondition descending="1" ref="E5:E54"/>
    </sortState>
  </autoFilter>
  <customSheetViews>
    <customSheetView guid="{FCAF690B-A1CB-4C23-90B1-52725D85E739}" filter="1" showAutoFilter="1">
      <pageMargins left="0.7" right="0.7" top="0.75" bottom="0.75" header="0.3" footer="0.3"/>
      <autoFilter ref="C5:C53" xr:uid="{26EA255C-0127-40AC-99A4-3F6A6E281AC8}"/>
    </customSheetView>
  </customSheetViews>
  <mergeCells count="5">
    <mergeCell ref="A1:F3"/>
    <mergeCell ref="A4:C4"/>
    <mergeCell ref="E4:F4"/>
    <mergeCell ref="G4:K4"/>
    <mergeCell ref="Q4:X4"/>
  </mergeCells>
  <conditionalFormatting sqref="E6:E50 E52">
    <cfRule type="expression" dxfId="28" priority="3">
      <formula>COUNTIF(E:E,E6)&gt;1</formula>
    </cfRule>
  </conditionalFormatting>
  <conditionalFormatting sqref="E21">
    <cfRule type="expression" dxfId="27" priority="1">
      <formula>COUNTIF(E:E,E21)&gt;1</formula>
    </cfRule>
    <cfRule type="expression" dxfId="26" priority="2">
      <formula>AND(COUNTIF(E$6:$F1049,E21)&gt;0,COUNTIF($AE:$AE,E21)&gt;0)</formula>
    </cfRule>
  </conditionalFormatting>
  <dataValidations count="11">
    <dataValidation type="list" allowBlank="1" showErrorMessage="1" sqref="C6:C53" xr:uid="{00000000-0002-0000-0100-000000000000}">
      <formula1>periodestamp</formula1>
    </dataValidation>
    <dataValidation type="list" allowBlank="1" showErrorMessage="1" sqref="G6:P53" xr:uid="{00000000-0002-0000-0100-000001000000}">
      <formula1>nmperiset</formula1>
    </dataValidation>
    <dataValidation type="list" allowBlank="1" showDropDown="1" showErrorMessage="1" sqref="D6:D53" xr:uid="{00000000-0002-0000-0100-000002000000}">
      <formula1>statuskelris</formula1>
    </dataValidation>
    <dataValidation type="list" allowBlank="1" showErrorMessage="1" sqref="F6:F53" xr:uid="{00000000-0002-0000-0100-000003000000}">
      <formula1>kelris</formula1>
    </dataValidation>
    <dataValidation type="list" allowBlank="1" showInputMessage="1" showErrorMessage="1" prompt="Click and enter a value from range" sqref="R6:R53" xr:uid="{00000000-0002-0000-0100-000004000000}">
      <formula1>jnspwrp</formula1>
    </dataValidation>
    <dataValidation type="custom" allowBlank="1" showInputMessage="1" prompt="Duplikasi!! judul yang anda masukkan sudah terdapat pada list sebelumnya" sqref="E21" xr:uid="{00000000-0002-0000-0100-000005000000}">
      <formula1>COUNTIF($F$6:$F1049,#REF!)=1</formula1>
    </dataValidation>
    <dataValidation type="custom" allowBlank="1" showInputMessage="1" prompt="Duplikasi!! judul yang anda masukkan sudah terdapat pada list sebelumnya" sqref="E6 E12:E20 E22:E50 E52" xr:uid="{00000000-0002-0000-0100-000006000000}">
      <formula1>COUNTIF($E$6:$E848,E6)=1</formula1>
    </dataValidation>
    <dataValidation type="list" allowBlank="1" showErrorMessage="1" sqref="T6:T53" xr:uid="{00000000-0002-0000-0100-000007000000}">
      <formula1>mtr</formula1>
    </dataValidation>
    <dataValidation type="custom" allowBlank="1" showInputMessage="1" prompt="Duplikasi!! judul yang anda masukkan sudah terdapat pada list sebelumnya" sqref="E7" xr:uid="{00000000-0002-0000-0100-000008000000}">
      <formula1>COUNTIF($E$5:$E1044,E7)=1</formula1>
    </dataValidation>
    <dataValidation type="list" allowBlank="1" showInputMessage="1" showErrorMessage="1" prompt="Click and enter a value from range" sqref="S6:S53" xr:uid="{00000000-0002-0000-0100-000009000000}">
      <formula1>stspwrp</formula1>
    </dataValidation>
    <dataValidation type="custom" allowBlank="1" showInputMessage="1" prompt="Duplikasi!! judul yang anda masukkan sudah terdapat pada list sebelumnya" sqref="E8:E11" xr:uid="{00000000-0002-0000-0100-00000A000000}">
      <formula1>COUNTIF($E$6:$E851,E8)=1</formula1>
    </dataValidation>
  </dataValidations>
  <hyperlinks>
    <hyperlink ref="W6" r:id="rId1" xr:uid="{00000000-0004-0000-0100-000000000000}"/>
    <hyperlink ref="W7" r:id="rId2" xr:uid="{00000000-0004-0000-0100-000001000000}"/>
    <hyperlink ref="W8" r:id="rId3" xr:uid="{00000000-0004-0000-0100-000002000000}"/>
    <hyperlink ref="W9" r:id="rId4" xr:uid="{00000000-0004-0000-0100-000003000000}"/>
    <hyperlink ref="W10" r:id="rId5" xr:uid="{00000000-0004-0000-0100-000004000000}"/>
    <hyperlink ref="W11" r:id="rId6" xr:uid="{00000000-0004-0000-0100-000005000000}"/>
    <hyperlink ref="W12" r:id="rId7" xr:uid="{00000000-0004-0000-0100-000006000000}"/>
    <hyperlink ref="W13" r:id="rId8" xr:uid="{00000000-0004-0000-0100-000007000000}"/>
    <hyperlink ref="W14" r:id="rId9" xr:uid="{00000000-0004-0000-0100-000008000000}"/>
    <hyperlink ref="W15" r:id="rId10" xr:uid="{00000000-0004-0000-0100-000009000000}"/>
    <hyperlink ref="W16" r:id="rId11" xr:uid="{00000000-0004-0000-0100-00000A000000}"/>
    <hyperlink ref="W17" r:id="rId12" xr:uid="{00000000-0004-0000-0100-00000B000000}"/>
    <hyperlink ref="W18" r:id="rId13" xr:uid="{00000000-0004-0000-0100-00000C000000}"/>
    <hyperlink ref="W19" r:id="rId14" xr:uid="{00000000-0004-0000-0100-00000D000000}"/>
    <hyperlink ref="W20" r:id="rId15" xr:uid="{00000000-0004-0000-0100-00000E000000}"/>
    <hyperlink ref="W21" r:id="rId16" xr:uid="{00000000-0004-0000-0100-00000F000000}"/>
    <hyperlink ref="W22" r:id="rId17" xr:uid="{00000000-0004-0000-0100-000010000000}"/>
    <hyperlink ref="W23" r:id="rId18" xr:uid="{00000000-0004-0000-0100-000011000000}"/>
    <hyperlink ref="W24" r:id="rId19" xr:uid="{00000000-0004-0000-0100-000012000000}"/>
    <hyperlink ref="W25" r:id="rId20" xr:uid="{00000000-0004-0000-0100-000013000000}"/>
    <hyperlink ref="W26" r:id="rId21" xr:uid="{00000000-0004-0000-0100-000014000000}"/>
    <hyperlink ref="W27" r:id="rId22" xr:uid="{00000000-0004-0000-0100-000015000000}"/>
    <hyperlink ref="W28" r:id="rId23" xr:uid="{00000000-0004-0000-0100-000016000000}"/>
    <hyperlink ref="W29" r:id="rId24" xr:uid="{00000000-0004-0000-0100-000017000000}"/>
    <hyperlink ref="W30" r:id="rId25" xr:uid="{00000000-0004-0000-0100-000018000000}"/>
    <hyperlink ref="W31" r:id="rId26" xr:uid="{00000000-0004-0000-0100-000019000000}"/>
    <hyperlink ref="W32" r:id="rId27" xr:uid="{00000000-0004-0000-0100-00001A000000}"/>
    <hyperlink ref="W33" r:id="rId28" xr:uid="{00000000-0004-0000-0100-00001B000000}"/>
    <hyperlink ref="W34" r:id="rId29" xr:uid="{00000000-0004-0000-0100-00001C000000}"/>
    <hyperlink ref="W35" r:id="rId30" xr:uid="{00000000-0004-0000-0100-00001D000000}"/>
    <hyperlink ref="W36" r:id="rId31" xr:uid="{00000000-0004-0000-0100-00001E000000}"/>
    <hyperlink ref="W37" r:id="rId32" xr:uid="{00000000-0004-0000-0100-00001F000000}"/>
    <hyperlink ref="W38" r:id="rId33" xr:uid="{00000000-0004-0000-0100-000020000000}"/>
    <hyperlink ref="W39" r:id="rId34" xr:uid="{00000000-0004-0000-0100-000021000000}"/>
    <hyperlink ref="W40" r:id="rId35" xr:uid="{00000000-0004-0000-0100-000022000000}"/>
    <hyperlink ref="W41" r:id="rId36" xr:uid="{00000000-0004-0000-0100-000023000000}"/>
    <hyperlink ref="W42" r:id="rId37" xr:uid="{00000000-0004-0000-0100-000024000000}"/>
    <hyperlink ref="W43" r:id="rId38" xr:uid="{00000000-0004-0000-0100-000025000000}"/>
    <hyperlink ref="W44" r:id="rId39" xr:uid="{00000000-0004-0000-0100-000026000000}"/>
    <hyperlink ref="W45" r:id="rId40" xr:uid="{00000000-0004-0000-0100-000027000000}"/>
    <hyperlink ref="W46" r:id="rId41" xr:uid="{00000000-0004-0000-0100-000028000000}"/>
    <hyperlink ref="W47" r:id="rId42" xr:uid="{00000000-0004-0000-0100-000029000000}"/>
    <hyperlink ref="W48" r:id="rId43" xr:uid="{00000000-0004-0000-0100-00002A000000}"/>
    <hyperlink ref="W49" r:id="rId44" xr:uid="{00000000-0004-0000-0100-00002B000000}"/>
    <hyperlink ref="W50" r:id="rId45" xr:uid="{00000000-0004-0000-0100-00002C000000}"/>
    <hyperlink ref="W51" r:id="rId46" xr:uid="{00000000-0004-0000-0100-00002D000000}"/>
    <hyperlink ref="W52" r:id="rId47" xr:uid="{00000000-0004-0000-0100-00002E000000}"/>
    <hyperlink ref="W53" r:id="rId48" xr:uid="{00000000-0004-0000-0100-00002F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1"/>
  <sheetViews>
    <sheetView workbookViewId="0">
      <pane xSplit="5" ySplit="4" topLeftCell="F5" activePane="bottomRight" state="frozen"/>
      <selection pane="topRight" activeCell="F1" sqref="F1"/>
      <selection pane="bottomLeft" activeCell="A5" sqref="A5"/>
      <selection pane="bottomRight" activeCell="F5" sqref="F5"/>
    </sheetView>
  </sheetViews>
  <sheetFormatPr defaultColWidth="11.23046875" defaultRowHeight="15" customHeight="1"/>
  <cols>
    <col min="1" max="1" width="3.3046875" customWidth="1"/>
    <col min="2" max="2" width="11.4609375" customWidth="1"/>
    <col min="3" max="3" width="12.07421875" customWidth="1"/>
    <col min="4" max="4" width="2.765625" customWidth="1"/>
    <col min="5" max="5" width="43.69140625" customWidth="1"/>
    <col min="6" max="6" width="23.23046875" customWidth="1"/>
    <col min="7" max="18" width="17.69140625" customWidth="1"/>
    <col min="19" max="19" width="11.23046875" customWidth="1"/>
    <col min="20" max="20" width="12.23046875" customWidth="1"/>
    <col min="21" max="21" width="9.765625" customWidth="1"/>
    <col min="22" max="22" width="33.3046875" customWidth="1"/>
    <col min="23" max="23" width="12.84375" customWidth="1"/>
    <col min="24" max="24" width="25.3046875" customWidth="1"/>
    <col min="25" max="25" width="15.84375" customWidth="1"/>
    <col min="26" max="26" width="12.765625" customWidth="1"/>
    <col min="27" max="27" width="11.23046875" customWidth="1"/>
    <col min="28" max="28" width="9.765625" customWidth="1"/>
    <col min="29" max="29" width="16.07421875" customWidth="1"/>
    <col min="30" max="30" width="13.84375" customWidth="1"/>
    <col min="31" max="33" width="16" customWidth="1"/>
    <col min="34" max="34" width="58.07421875" customWidth="1"/>
  </cols>
  <sheetData>
    <row r="1" spans="1:35" ht="40">
      <c r="A1" s="1195"/>
      <c r="B1" s="1176"/>
      <c r="C1" s="1176"/>
      <c r="D1" s="1176"/>
      <c r="E1" s="1176"/>
      <c r="F1" s="1176"/>
      <c r="G1" s="276"/>
      <c r="H1" s="276"/>
      <c r="I1" s="276"/>
      <c r="J1" s="276"/>
      <c r="K1" s="276"/>
      <c r="L1" s="276"/>
      <c r="M1" s="276"/>
      <c r="N1" s="276"/>
      <c r="O1" s="276"/>
      <c r="P1" s="276"/>
      <c r="Q1" s="276"/>
      <c r="R1" s="276"/>
      <c r="S1" s="276"/>
      <c r="T1" s="276"/>
      <c r="U1" s="229"/>
      <c r="V1" s="229"/>
      <c r="W1" s="229"/>
      <c r="X1" s="229"/>
      <c r="Y1" s="229"/>
      <c r="Z1" s="229"/>
      <c r="AA1" s="229"/>
      <c r="AB1" s="229"/>
      <c r="AC1" s="229"/>
      <c r="AD1" s="229"/>
      <c r="AE1" s="229"/>
      <c r="AF1" s="229"/>
      <c r="AG1" s="229"/>
      <c r="AH1" s="229"/>
      <c r="AI1" s="175"/>
    </row>
    <row r="2" spans="1:35" ht="40">
      <c r="A2" s="1176"/>
      <c r="B2" s="1176"/>
      <c r="C2" s="1176"/>
      <c r="D2" s="1176"/>
      <c r="E2" s="1176"/>
      <c r="F2" s="1176"/>
      <c r="G2" s="276"/>
      <c r="H2" s="276"/>
      <c r="I2" s="276"/>
      <c r="J2" s="276"/>
      <c r="K2" s="276"/>
      <c r="L2" s="276"/>
      <c r="M2" s="276"/>
      <c r="N2" s="276"/>
      <c r="O2" s="276"/>
      <c r="P2" s="276"/>
      <c r="Q2" s="276"/>
      <c r="R2" s="276"/>
      <c r="S2" s="276"/>
      <c r="T2" s="276"/>
      <c r="U2" s="229"/>
      <c r="V2" s="229"/>
      <c r="W2" s="229"/>
      <c r="X2" s="229"/>
      <c r="Y2" s="229"/>
      <c r="Z2" s="229"/>
      <c r="AA2" s="229"/>
      <c r="AB2" s="229"/>
      <c r="AC2" s="229"/>
      <c r="AD2" s="229"/>
      <c r="AE2" s="229"/>
      <c r="AF2" s="229"/>
      <c r="AG2" s="229"/>
      <c r="AH2" s="229"/>
      <c r="AI2" s="175"/>
    </row>
    <row r="3" spans="1:35" ht="33.75" customHeight="1">
      <c r="A3" s="1196" t="s">
        <v>1</v>
      </c>
      <c r="B3" s="1179"/>
      <c r="C3" s="1180"/>
      <c r="D3" s="277"/>
      <c r="E3" s="1197" t="s">
        <v>2</v>
      </c>
      <c r="F3" s="1198"/>
      <c r="G3" s="1199" t="s">
        <v>1827</v>
      </c>
      <c r="H3" s="1184"/>
      <c r="I3" s="1200"/>
      <c r="J3" s="278"/>
      <c r="K3" s="278"/>
      <c r="L3" s="278"/>
      <c r="M3" s="278"/>
      <c r="N3" s="278"/>
      <c r="O3" s="278"/>
      <c r="P3" s="278"/>
      <c r="Q3" s="279"/>
      <c r="Y3" s="1193" t="s">
        <v>1828</v>
      </c>
      <c r="Z3" s="1187"/>
      <c r="AA3" s="1193" t="s">
        <v>1829</v>
      </c>
      <c r="AB3" s="1187"/>
      <c r="AC3" s="1194" t="s">
        <v>1830</v>
      </c>
      <c r="AD3" s="1187"/>
      <c r="AH3" s="275"/>
    </row>
    <row r="4" spans="1:35" ht="24.75" customHeight="1">
      <c r="A4" s="280" t="s">
        <v>5</v>
      </c>
      <c r="B4" s="281" t="s">
        <v>6</v>
      </c>
      <c r="C4" s="282" t="s">
        <v>7</v>
      </c>
      <c r="D4" s="283"/>
      <c r="E4" s="284" t="s">
        <v>9</v>
      </c>
      <c r="F4" s="285" t="s">
        <v>10</v>
      </c>
      <c r="G4" s="286">
        <v>1</v>
      </c>
      <c r="H4" s="286">
        <v>2</v>
      </c>
      <c r="I4" s="286">
        <v>3</v>
      </c>
      <c r="J4" s="286">
        <v>4</v>
      </c>
      <c r="K4" s="286">
        <v>5</v>
      </c>
      <c r="L4" s="286">
        <v>6</v>
      </c>
      <c r="M4" s="286">
        <v>7</v>
      </c>
      <c r="N4" s="286">
        <v>8</v>
      </c>
      <c r="O4" s="286">
        <v>9</v>
      </c>
      <c r="P4" s="286">
        <v>10</v>
      </c>
      <c r="Q4" s="286" t="s">
        <v>21</v>
      </c>
      <c r="R4" s="286" t="s">
        <v>1831</v>
      </c>
      <c r="S4" s="286" t="s">
        <v>22</v>
      </c>
      <c r="T4" s="286" t="s">
        <v>1832</v>
      </c>
      <c r="U4" s="286" t="s">
        <v>1833</v>
      </c>
      <c r="V4" s="286" t="s">
        <v>1834</v>
      </c>
      <c r="W4" s="286" t="s">
        <v>1835</v>
      </c>
      <c r="X4" s="286" t="s">
        <v>1836</v>
      </c>
      <c r="Y4" s="287" t="s">
        <v>1837</v>
      </c>
      <c r="Z4" s="288" t="s">
        <v>1838</v>
      </c>
      <c r="AA4" s="288" t="s">
        <v>1839</v>
      </c>
      <c r="AB4" s="289" t="s">
        <v>1840</v>
      </c>
      <c r="AC4" s="290" t="s">
        <v>1841</v>
      </c>
      <c r="AD4" s="291" t="s">
        <v>1842</v>
      </c>
      <c r="AE4" s="291" t="s">
        <v>1843</v>
      </c>
      <c r="AF4" s="291" t="s">
        <v>1844</v>
      </c>
      <c r="AG4" s="291" t="s">
        <v>1845</v>
      </c>
      <c r="AH4" s="292" t="s">
        <v>30</v>
      </c>
    </row>
    <row r="5" spans="1:35" ht="37.5" customHeight="1">
      <c r="A5" s="293">
        <v>1</v>
      </c>
      <c r="B5" s="294">
        <f t="shared" ref="B5:B8" ca="1" si="0">IF(OR(E5&lt;&gt;"",F5&lt;&gt;""),IF(B5="",NOW(),B5),"")</f>
        <v>45722.425739999999</v>
      </c>
      <c r="C5" s="295" t="s">
        <v>47</v>
      </c>
      <c r="D5" s="63"/>
      <c r="E5" s="106" t="s">
        <v>1846</v>
      </c>
      <c r="F5" s="47" t="s">
        <v>58</v>
      </c>
      <c r="G5" s="296" t="s">
        <v>275</v>
      </c>
      <c r="H5" s="252" t="s">
        <v>192</v>
      </c>
      <c r="I5" s="252" t="s">
        <v>103</v>
      </c>
      <c r="J5" s="252" t="s">
        <v>102</v>
      </c>
      <c r="K5" s="252" t="s">
        <v>59</v>
      </c>
      <c r="L5" s="252" t="s">
        <v>274</v>
      </c>
      <c r="M5" s="252" t="s">
        <v>33</v>
      </c>
      <c r="N5" s="252" t="s">
        <v>128</v>
      </c>
      <c r="O5" s="252"/>
      <c r="P5" s="252"/>
      <c r="Q5" s="250" t="s">
        <v>1847</v>
      </c>
      <c r="R5" s="297" t="s">
        <v>1848</v>
      </c>
      <c r="S5" s="297" t="s">
        <v>1849</v>
      </c>
      <c r="T5" s="297"/>
      <c r="U5" s="252"/>
      <c r="V5" s="166" t="s">
        <v>1850</v>
      </c>
      <c r="W5" s="298"/>
      <c r="X5" s="166"/>
      <c r="Y5" s="166" t="s">
        <v>1851</v>
      </c>
      <c r="Z5" s="299">
        <v>45667</v>
      </c>
      <c r="AA5" s="166"/>
      <c r="AB5" s="300"/>
      <c r="AC5" s="301" t="s">
        <v>1852</v>
      </c>
      <c r="AD5" s="302" t="s">
        <v>1811</v>
      </c>
      <c r="AE5" s="303" t="s">
        <v>1853</v>
      </c>
      <c r="AF5" s="304"/>
      <c r="AG5" s="304"/>
      <c r="AH5" s="304" t="s">
        <v>1854</v>
      </c>
      <c r="AI5" s="305"/>
    </row>
    <row r="6" spans="1:35" ht="37.5" customHeight="1">
      <c r="A6" s="293">
        <v>2</v>
      </c>
      <c r="B6" s="241">
        <f t="shared" ca="1" si="0"/>
        <v>45722.425739999999</v>
      </c>
      <c r="C6" s="306" t="s">
        <v>271</v>
      </c>
      <c r="D6" s="63"/>
      <c r="E6" s="307" t="s">
        <v>1855</v>
      </c>
      <c r="F6" s="47" t="s">
        <v>58</v>
      </c>
      <c r="G6" s="308" t="s">
        <v>1856</v>
      </c>
      <c r="H6" s="251" t="s">
        <v>92</v>
      </c>
      <c r="I6" s="251" t="s">
        <v>159</v>
      </c>
      <c r="J6" s="251" t="s">
        <v>59</v>
      </c>
      <c r="K6" s="251" t="s">
        <v>102</v>
      </c>
      <c r="L6" s="251" t="s">
        <v>274</v>
      </c>
      <c r="M6" s="251" t="s">
        <v>276</v>
      </c>
      <c r="N6" s="251"/>
      <c r="O6" s="251"/>
      <c r="P6" s="251"/>
      <c r="Q6" s="309"/>
      <c r="R6" s="310" t="s">
        <v>1857</v>
      </c>
      <c r="S6" s="310" t="s">
        <v>1849</v>
      </c>
      <c r="T6" s="311" t="s">
        <v>1858</v>
      </c>
      <c r="U6" s="252" t="s">
        <v>1859</v>
      </c>
      <c r="V6" s="312"/>
      <c r="W6" s="313">
        <v>164200000</v>
      </c>
      <c r="X6" s="314" t="s">
        <v>1860</v>
      </c>
      <c r="Y6" s="315" t="s">
        <v>1861</v>
      </c>
      <c r="Z6" s="316">
        <v>45650</v>
      </c>
      <c r="AA6" s="317"/>
      <c r="AB6" s="318"/>
      <c r="AC6" s="301" t="s">
        <v>1852</v>
      </c>
      <c r="AD6" s="302" t="s">
        <v>1811</v>
      </c>
      <c r="AE6" s="303">
        <v>2025</v>
      </c>
      <c r="AF6" s="304"/>
      <c r="AG6" s="304"/>
      <c r="AH6" s="304"/>
      <c r="AI6" s="305"/>
    </row>
    <row r="7" spans="1:35" ht="37.5" customHeight="1">
      <c r="A7" s="293">
        <v>3</v>
      </c>
      <c r="B7" s="241">
        <f t="shared" ca="1" si="0"/>
        <v>45733.363400000002</v>
      </c>
      <c r="C7" s="306" t="s">
        <v>251</v>
      </c>
      <c r="D7" s="63"/>
      <c r="E7" s="244" t="s">
        <v>1862</v>
      </c>
      <c r="F7" s="47" t="s">
        <v>58</v>
      </c>
      <c r="G7" s="319" t="s">
        <v>59</v>
      </c>
      <c r="H7" s="251" t="s">
        <v>192</v>
      </c>
      <c r="I7" s="251" t="s">
        <v>261</v>
      </c>
      <c r="J7" s="251"/>
      <c r="K7" s="251"/>
      <c r="L7" s="251"/>
      <c r="M7" s="251"/>
      <c r="N7" s="251"/>
      <c r="O7" s="251"/>
      <c r="P7" s="251"/>
      <c r="Q7" s="309"/>
      <c r="R7" s="319" t="s">
        <v>1848</v>
      </c>
      <c r="S7" s="319" t="s">
        <v>1849</v>
      </c>
      <c r="T7" s="320"/>
      <c r="U7" s="321"/>
      <c r="V7" s="322" t="s">
        <v>1863</v>
      </c>
      <c r="W7" s="323"/>
      <c r="X7" s="324" t="s">
        <v>1864</v>
      </c>
      <c r="Y7" s="325" t="s">
        <v>1865</v>
      </c>
      <c r="Z7" s="326">
        <v>45470</v>
      </c>
      <c r="AA7" s="251"/>
      <c r="AB7" s="327"/>
      <c r="AC7" s="301" t="s">
        <v>1852</v>
      </c>
      <c r="AD7" s="302" t="s">
        <v>1811</v>
      </c>
      <c r="AE7" s="303">
        <v>2024</v>
      </c>
      <c r="AF7" s="304"/>
      <c r="AG7" s="304"/>
      <c r="AH7" s="328" t="s">
        <v>1866</v>
      </c>
      <c r="AI7" s="305"/>
    </row>
    <row r="8" spans="1:35" ht="37.5" customHeight="1">
      <c r="A8" s="293">
        <v>4</v>
      </c>
      <c r="B8" s="241">
        <f t="shared" ca="1" si="0"/>
        <v>45736.463479999999</v>
      </c>
      <c r="C8" s="295" t="s">
        <v>47</v>
      </c>
      <c r="D8" s="63"/>
      <c r="E8" s="329" t="s">
        <v>1867</v>
      </c>
      <c r="F8" s="330" t="s">
        <v>58</v>
      </c>
      <c r="G8" s="331" t="s">
        <v>192</v>
      </c>
      <c r="H8" s="332" t="s">
        <v>274</v>
      </c>
      <c r="I8" s="333"/>
      <c r="J8" s="333"/>
      <c r="K8" s="333"/>
      <c r="L8" s="333"/>
      <c r="M8" s="333"/>
      <c r="N8" s="333"/>
      <c r="O8" s="333"/>
      <c r="P8" s="333"/>
      <c r="Q8" s="334" t="s">
        <v>1868</v>
      </c>
      <c r="R8" s="335" t="s">
        <v>1857</v>
      </c>
      <c r="S8" s="335" t="s">
        <v>1849</v>
      </c>
      <c r="T8" s="336" t="s">
        <v>1858</v>
      </c>
      <c r="U8" s="333" t="s">
        <v>1859</v>
      </c>
      <c r="V8" s="337"/>
      <c r="W8" s="338">
        <v>90000000</v>
      </c>
      <c r="X8" s="339" t="s">
        <v>1869</v>
      </c>
      <c r="Y8" s="335"/>
      <c r="Z8" s="340"/>
      <c r="AA8" s="334" t="s">
        <v>1870</v>
      </c>
      <c r="AB8" s="341" t="s">
        <v>1871</v>
      </c>
      <c r="AC8" s="301" t="s">
        <v>1852</v>
      </c>
      <c r="AD8" s="302" t="s">
        <v>1811</v>
      </c>
      <c r="AE8" s="303">
        <v>2024</v>
      </c>
      <c r="AF8" s="304"/>
      <c r="AG8" s="304"/>
      <c r="AH8" s="342" t="s">
        <v>1872</v>
      </c>
      <c r="AI8" s="305"/>
    </row>
    <row r="9" spans="1:35" ht="42" customHeight="1">
      <c r="A9" s="293">
        <v>5</v>
      </c>
      <c r="B9" s="241">
        <v>45761</v>
      </c>
      <c r="C9" s="306" t="s">
        <v>175</v>
      </c>
      <c r="D9" s="63"/>
      <c r="E9" s="244" t="s">
        <v>1873</v>
      </c>
      <c r="F9" s="47" t="s">
        <v>201</v>
      </c>
      <c r="G9" s="343" t="s">
        <v>1874</v>
      </c>
      <c r="H9" s="332" t="s">
        <v>375</v>
      </c>
      <c r="I9" s="332" t="s">
        <v>644</v>
      </c>
      <c r="J9" s="332" t="s">
        <v>376</v>
      </c>
      <c r="K9" s="332" t="s">
        <v>374</v>
      </c>
      <c r="L9" s="332" t="s">
        <v>356</v>
      </c>
      <c r="M9" s="332" t="s">
        <v>360</v>
      </c>
      <c r="N9" s="332"/>
      <c r="O9" s="332"/>
      <c r="P9" s="332"/>
      <c r="Q9" s="344" t="s">
        <v>1875</v>
      </c>
      <c r="R9" s="319" t="s">
        <v>1857</v>
      </c>
      <c r="S9" s="319" t="s">
        <v>1849</v>
      </c>
      <c r="T9" s="345" t="s">
        <v>1858</v>
      </c>
      <c r="U9" s="23" t="s">
        <v>1859</v>
      </c>
      <c r="V9" s="322"/>
      <c r="W9" s="313">
        <v>165600000</v>
      </c>
      <c r="X9" s="346" t="s">
        <v>1860</v>
      </c>
      <c r="Y9" s="325"/>
      <c r="Z9" s="326"/>
      <c r="AA9" s="334" t="s">
        <v>1876</v>
      </c>
      <c r="AB9" s="347">
        <v>45761</v>
      </c>
      <c r="AC9" s="301" t="s">
        <v>1852</v>
      </c>
      <c r="AD9" s="302" t="s">
        <v>1811</v>
      </c>
      <c r="AE9" s="303">
        <v>2025</v>
      </c>
      <c r="AF9" s="304"/>
      <c r="AG9" s="304"/>
      <c r="AH9" s="328" t="s">
        <v>1877</v>
      </c>
      <c r="AI9" s="305"/>
    </row>
    <row r="10" spans="1:35" ht="42" customHeight="1">
      <c r="A10" s="293">
        <v>6</v>
      </c>
      <c r="B10" s="241">
        <f t="shared" ref="B10:B11" ca="1" si="1">IF(OR(E10&lt;&gt;"",F10&lt;&gt;""),IF(B10="",NOW(),B10),"")</f>
        <v>45805.38336</v>
      </c>
      <c r="C10" s="348"/>
      <c r="D10" s="63"/>
      <c r="E10" s="349" t="s">
        <v>1855</v>
      </c>
      <c r="F10" s="309" t="s">
        <v>58</v>
      </c>
      <c r="G10" s="308" t="s">
        <v>1856</v>
      </c>
      <c r="H10" s="251" t="s">
        <v>92</v>
      </c>
      <c r="I10" s="251" t="s">
        <v>159</v>
      </c>
      <c r="J10" s="251" t="s">
        <v>59</v>
      </c>
      <c r="K10" s="251" t="s">
        <v>102</v>
      </c>
      <c r="L10" s="251" t="s">
        <v>274</v>
      </c>
      <c r="M10" s="252" t="s">
        <v>276</v>
      </c>
      <c r="N10" s="252"/>
      <c r="O10" s="252"/>
      <c r="P10" s="252"/>
      <c r="Q10" s="250"/>
      <c r="R10" s="335" t="s">
        <v>1857</v>
      </c>
      <c r="S10" s="335" t="s">
        <v>1849</v>
      </c>
      <c r="T10" s="350" t="s">
        <v>1858</v>
      </c>
      <c r="U10" s="252" t="s">
        <v>1878</v>
      </c>
      <c r="V10" s="351"/>
      <c r="W10" s="352"/>
      <c r="X10" s="309"/>
      <c r="Y10" s="353"/>
      <c r="Z10" s="354"/>
      <c r="AA10" s="252" t="s">
        <v>1879</v>
      </c>
      <c r="AB10" s="355">
        <v>45567</v>
      </c>
      <c r="AC10" s="301" t="s">
        <v>1852</v>
      </c>
      <c r="AD10" s="302" t="s">
        <v>1811</v>
      </c>
      <c r="AE10" s="303">
        <v>2024</v>
      </c>
      <c r="AF10" s="304"/>
      <c r="AG10" s="304"/>
      <c r="AH10" s="342"/>
      <c r="AI10" s="305"/>
    </row>
    <row r="11" spans="1:35" ht="37.5" customHeight="1">
      <c r="A11" s="293">
        <v>7</v>
      </c>
      <c r="B11" s="241">
        <f t="shared" ca="1" si="1"/>
        <v>45805.40206</v>
      </c>
      <c r="C11" s="295" t="s">
        <v>251</v>
      </c>
      <c r="D11" s="63"/>
      <c r="E11" s="344" t="s">
        <v>1880</v>
      </c>
      <c r="F11" s="356" t="s">
        <v>58</v>
      </c>
      <c r="G11" s="332" t="s">
        <v>102</v>
      </c>
      <c r="H11" s="252" t="s">
        <v>192</v>
      </c>
      <c r="I11" s="252" t="s">
        <v>59</v>
      </c>
      <c r="J11" s="252" t="s">
        <v>92</v>
      </c>
      <c r="K11" s="252" t="s">
        <v>159</v>
      </c>
      <c r="L11" s="252" t="s">
        <v>273</v>
      </c>
      <c r="M11" s="252" t="s">
        <v>275</v>
      </c>
      <c r="N11" s="252" t="s">
        <v>274</v>
      </c>
      <c r="O11" s="252"/>
      <c r="P11" s="252"/>
      <c r="Q11" s="250" t="s">
        <v>1881</v>
      </c>
      <c r="R11" s="333" t="s">
        <v>1848</v>
      </c>
      <c r="S11" s="333" t="s">
        <v>1849</v>
      </c>
      <c r="T11" s="333"/>
      <c r="U11" s="333" t="s">
        <v>1878</v>
      </c>
      <c r="V11" s="337" t="s">
        <v>1882</v>
      </c>
      <c r="W11" s="357"/>
      <c r="X11" s="309"/>
      <c r="Y11" s="333" t="s">
        <v>1883</v>
      </c>
      <c r="Z11" s="318">
        <v>45456</v>
      </c>
      <c r="AA11" s="252"/>
      <c r="AB11" s="355"/>
      <c r="AC11" s="301" t="s">
        <v>1852</v>
      </c>
      <c r="AD11" s="302" t="s">
        <v>1811</v>
      </c>
      <c r="AE11" s="303">
        <v>2024</v>
      </c>
      <c r="AF11" s="358"/>
      <c r="AG11" s="358"/>
      <c r="AH11" s="359" t="s">
        <v>1884</v>
      </c>
      <c r="AI11" s="305"/>
    </row>
    <row r="12" spans="1:35" ht="37.5" customHeight="1">
      <c r="A12" s="293">
        <v>8</v>
      </c>
      <c r="B12" s="241">
        <v>45805</v>
      </c>
      <c r="C12" s="295" t="s">
        <v>182</v>
      </c>
      <c r="D12" s="63"/>
      <c r="E12" s="334" t="s">
        <v>1885</v>
      </c>
      <c r="F12" s="356" t="s">
        <v>58</v>
      </c>
      <c r="G12" s="332" t="s">
        <v>59</v>
      </c>
      <c r="H12" s="252" t="s">
        <v>275</v>
      </c>
      <c r="I12" s="252" t="s">
        <v>102</v>
      </c>
      <c r="J12" s="252" t="s">
        <v>137</v>
      </c>
      <c r="K12" s="252" t="s">
        <v>273</v>
      </c>
      <c r="L12" s="252" t="s">
        <v>92</v>
      </c>
      <c r="M12" s="252" t="s">
        <v>274</v>
      </c>
      <c r="N12" s="252" t="s">
        <v>159</v>
      </c>
      <c r="O12" s="252" t="s">
        <v>192</v>
      </c>
      <c r="P12" s="252" t="s">
        <v>103</v>
      </c>
      <c r="Q12" s="250" t="s">
        <v>1886</v>
      </c>
      <c r="R12" s="333" t="s">
        <v>1848</v>
      </c>
      <c r="S12" s="333" t="s">
        <v>1849</v>
      </c>
      <c r="T12" s="333"/>
      <c r="U12" s="333" t="s">
        <v>1878</v>
      </c>
      <c r="V12" s="351" t="s">
        <v>1887</v>
      </c>
      <c r="W12" s="357"/>
      <c r="X12" s="309"/>
      <c r="Y12" s="252" t="s">
        <v>1888</v>
      </c>
      <c r="Z12" s="360">
        <v>45490</v>
      </c>
      <c r="AA12" s="361"/>
      <c r="AB12" s="355"/>
      <c r="AC12" s="301" t="s">
        <v>1852</v>
      </c>
      <c r="AD12" s="302"/>
      <c r="AE12" s="303">
        <v>2024</v>
      </c>
      <c r="AF12" s="362"/>
      <c r="AG12" s="362"/>
      <c r="AH12" s="363" t="s">
        <v>1889</v>
      </c>
      <c r="AI12" s="305"/>
    </row>
    <row r="13" spans="1:35" ht="37.5" customHeight="1">
      <c r="A13" s="293">
        <v>9</v>
      </c>
      <c r="B13" s="241">
        <v>45805</v>
      </c>
      <c r="C13" s="295" t="s">
        <v>182</v>
      </c>
      <c r="D13" s="63"/>
      <c r="E13" s="364" t="s">
        <v>1890</v>
      </c>
      <c r="F13" s="356" t="s">
        <v>58</v>
      </c>
      <c r="G13" s="365" t="s">
        <v>59</v>
      </c>
      <c r="H13" s="252" t="s">
        <v>275</v>
      </c>
      <c r="I13" s="252" t="s">
        <v>102</v>
      </c>
      <c r="J13" s="252" t="s">
        <v>137</v>
      </c>
      <c r="K13" s="252" t="s">
        <v>273</v>
      </c>
      <c r="L13" s="252" t="s">
        <v>92</v>
      </c>
      <c r="M13" s="252" t="s">
        <v>274</v>
      </c>
      <c r="N13" s="252" t="s">
        <v>159</v>
      </c>
      <c r="O13" s="252" t="s">
        <v>192</v>
      </c>
      <c r="P13" s="252" t="s">
        <v>103</v>
      </c>
      <c r="Q13" s="250" t="s">
        <v>1891</v>
      </c>
      <c r="R13" s="366" t="s">
        <v>1848</v>
      </c>
      <c r="S13" s="366" t="s">
        <v>1849</v>
      </c>
      <c r="T13" s="366"/>
      <c r="U13" s="366" t="s">
        <v>1878</v>
      </c>
      <c r="V13" s="351" t="s">
        <v>1892</v>
      </c>
      <c r="W13" s="367"/>
      <c r="X13" s="250"/>
      <c r="Y13" s="252" t="s">
        <v>1893</v>
      </c>
      <c r="Z13" s="360">
        <v>45462</v>
      </c>
      <c r="AA13" s="366"/>
      <c r="AB13" s="355"/>
      <c r="AC13" s="301" t="s">
        <v>1852</v>
      </c>
      <c r="AD13" s="302"/>
      <c r="AE13" s="303">
        <v>2024</v>
      </c>
      <c r="AF13" s="368"/>
      <c r="AG13" s="368"/>
      <c r="AH13" s="328" t="s">
        <v>1894</v>
      </c>
    </row>
    <row r="14" spans="1:35" ht="37.5" customHeight="1">
      <c r="A14" s="293">
        <v>10</v>
      </c>
      <c r="B14" s="241">
        <f t="shared" ref="B14:B46" ca="1" si="2">IF(OR(E14&lt;&gt;"",F14&lt;&gt;""),IF(B14="",NOW(),B14),"")</f>
        <v>45825.594830000002</v>
      </c>
      <c r="C14" s="369"/>
      <c r="D14" s="63"/>
      <c r="E14" s="250" t="s">
        <v>1895</v>
      </c>
      <c r="F14" s="250" t="s">
        <v>58</v>
      </c>
      <c r="G14" s="251" t="s">
        <v>273</v>
      </c>
      <c r="H14" s="252"/>
      <c r="I14" s="252"/>
      <c r="J14" s="252"/>
      <c r="K14" s="252"/>
      <c r="L14" s="252"/>
      <c r="M14" s="252"/>
      <c r="N14" s="252"/>
      <c r="O14" s="252"/>
      <c r="P14" s="252"/>
      <c r="Q14" s="250" t="s">
        <v>1896</v>
      </c>
      <c r="R14" s="252" t="s">
        <v>1857</v>
      </c>
      <c r="S14" s="252" t="s">
        <v>1849</v>
      </c>
      <c r="T14" s="252" t="s">
        <v>1858</v>
      </c>
      <c r="U14" s="252" t="s">
        <v>1878</v>
      </c>
      <c r="V14" s="351" t="s">
        <v>1897</v>
      </c>
      <c r="W14" s="367">
        <v>104000000</v>
      </c>
      <c r="X14" s="250" t="s">
        <v>1898</v>
      </c>
      <c r="Y14" s="252"/>
      <c r="Z14" s="360"/>
      <c r="AA14" s="252"/>
      <c r="AB14" s="355"/>
      <c r="AC14" s="301" t="s">
        <v>1852</v>
      </c>
      <c r="AD14" s="302"/>
      <c r="AE14" s="303">
        <v>2024</v>
      </c>
      <c r="AF14" s="304"/>
      <c r="AG14" s="304"/>
      <c r="AH14" s="370" t="s">
        <v>1899</v>
      </c>
      <c r="AI14" s="305"/>
    </row>
    <row r="15" spans="1:35" ht="37.5" customHeight="1">
      <c r="A15" s="293">
        <v>11</v>
      </c>
      <c r="B15" s="241">
        <f t="shared" ca="1" si="2"/>
        <v>45862.832119999999</v>
      </c>
      <c r="C15" s="306" t="s">
        <v>423</v>
      </c>
      <c r="D15" s="63"/>
      <c r="E15" s="250" t="s">
        <v>1900</v>
      </c>
      <c r="F15" s="356" t="s">
        <v>58</v>
      </c>
      <c r="G15" s="251" t="s">
        <v>192</v>
      </c>
      <c r="H15" s="252" t="s">
        <v>261</v>
      </c>
      <c r="I15" s="252"/>
      <c r="J15" s="252"/>
      <c r="K15" s="252"/>
      <c r="L15" s="252"/>
      <c r="M15" s="252"/>
      <c r="N15" s="252"/>
      <c r="O15" s="252"/>
      <c r="P15" s="252"/>
      <c r="Q15" s="250"/>
      <c r="R15" s="252" t="s">
        <v>1848</v>
      </c>
      <c r="S15" s="252" t="s">
        <v>1849</v>
      </c>
      <c r="T15" s="252" t="s">
        <v>1901</v>
      </c>
      <c r="U15" s="252"/>
      <c r="V15" s="351" t="s">
        <v>1897</v>
      </c>
      <c r="W15" s="371"/>
      <c r="X15" s="250"/>
      <c r="Y15" s="372" t="s">
        <v>1902</v>
      </c>
      <c r="Z15" s="372" t="s">
        <v>1903</v>
      </c>
      <c r="AA15" s="252"/>
      <c r="AB15" s="355"/>
      <c r="AC15" s="301" t="s">
        <v>1852</v>
      </c>
      <c r="AD15" s="302" t="s">
        <v>1811</v>
      </c>
      <c r="AE15" s="304"/>
      <c r="AF15" s="368"/>
      <c r="AG15" s="368"/>
      <c r="AH15" s="359"/>
      <c r="AI15" s="305"/>
    </row>
    <row r="16" spans="1:35" ht="37.5" customHeight="1">
      <c r="A16" s="293">
        <v>12</v>
      </c>
      <c r="B16" s="241">
        <f t="shared" ca="1" si="2"/>
        <v>45862.841840000001</v>
      </c>
      <c r="C16" s="306" t="s">
        <v>423</v>
      </c>
      <c r="D16" s="63"/>
      <c r="E16" s="250" t="s">
        <v>1904</v>
      </c>
      <c r="F16" s="356" t="s">
        <v>58</v>
      </c>
      <c r="G16" s="251" t="s">
        <v>192</v>
      </c>
      <c r="H16" s="252"/>
      <c r="I16" s="252"/>
      <c r="J16" s="252"/>
      <c r="K16" s="252"/>
      <c r="L16" s="252"/>
      <c r="M16" s="252"/>
      <c r="N16" s="252"/>
      <c r="O16" s="252"/>
      <c r="P16" s="252"/>
      <c r="Q16" s="250"/>
      <c r="R16" s="252" t="s">
        <v>1848</v>
      </c>
      <c r="S16" s="252" t="s">
        <v>1849</v>
      </c>
      <c r="T16" s="252" t="s">
        <v>1901</v>
      </c>
      <c r="U16" s="252"/>
      <c r="V16" s="351" t="s">
        <v>1905</v>
      </c>
      <c r="W16" s="371"/>
      <c r="X16" s="250"/>
      <c r="Y16" s="372" t="s">
        <v>1906</v>
      </c>
      <c r="Z16" s="372" t="s">
        <v>1907</v>
      </c>
      <c r="AA16" s="252"/>
      <c r="AB16" s="355"/>
      <c r="AC16" s="301" t="s">
        <v>1852</v>
      </c>
      <c r="AD16" s="302" t="s">
        <v>1811</v>
      </c>
      <c r="AE16" s="373">
        <v>2021</v>
      </c>
      <c r="AF16" s="362"/>
      <c r="AG16" s="362"/>
      <c r="AH16" s="328" t="s">
        <v>1908</v>
      </c>
      <c r="AI16" s="305"/>
    </row>
    <row r="17" spans="1:35" ht="37.5" customHeight="1">
      <c r="A17" s="293">
        <v>13</v>
      </c>
      <c r="B17" s="241">
        <f t="shared" ca="1" si="2"/>
        <v>45862.855450000003</v>
      </c>
      <c r="C17" s="306" t="s">
        <v>423</v>
      </c>
      <c r="D17" s="63"/>
      <c r="E17" s="374" t="s">
        <v>1909</v>
      </c>
      <c r="F17" s="356" t="s">
        <v>58</v>
      </c>
      <c r="G17" s="251" t="s">
        <v>192</v>
      </c>
      <c r="H17" s="252" t="s">
        <v>531</v>
      </c>
      <c r="I17" s="252"/>
      <c r="J17" s="252"/>
      <c r="K17" s="252"/>
      <c r="L17" s="252"/>
      <c r="M17" s="252"/>
      <c r="N17" s="252"/>
      <c r="O17" s="252"/>
      <c r="P17" s="252"/>
      <c r="Q17" s="250"/>
      <c r="R17" s="252" t="s">
        <v>1848</v>
      </c>
      <c r="S17" s="252" t="s">
        <v>1849</v>
      </c>
      <c r="T17" s="252" t="s">
        <v>1901</v>
      </c>
      <c r="U17" s="252"/>
      <c r="V17" s="351" t="s">
        <v>1910</v>
      </c>
      <c r="W17" s="371"/>
      <c r="X17" s="250"/>
      <c r="Y17" s="372" t="s">
        <v>1911</v>
      </c>
      <c r="Z17" s="372" t="s">
        <v>1912</v>
      </c>
      <c r="AA17" s="252"/>
      <c r="AB17" s="355"/>
      <c r="AC17" s="301" t="s">
        <v>1852</v>
      </c>
      <c r="AD17" s="302" t="s">
        <v>1811</v>
      </c>
      <c r="AE17" s="373">
        <v>2024</v>
      </c>
      <c r="AF17" s="362"/>
      <c r="AG17" s="362"/>
      <c r="AH17" s="328" t="s">
        <v>1913</v>
      </c>
      <c r="AI17" s="305"/>
    </row>
    <row r="18" spans="1:35" ht="37.5" customHeight="1">
      <c r="A18" s="293">
        <v>14</v>
      </c>
      <c r="B18" s="241">
        <f t="shared" ca="1" si="2"/>
        <v>45880.358359999998</v>
      </c>
      <c r="C18" s="295" t="s">
        <v>480</v>
      </c>
      <c r="D18" s="63"/>
      <c r="E18" s="250" t="s">
        <v>1914</v>
      </c>
      <c r="F18" s="356" t="s">
        <v>58</v>
      </c>
      <c r="G18" s="251" t="s">
        <v>159</v>
      </c>
      <c r="H18" s="252"/>
      <c r="I18" s="252"/>
      <c r="J18" s="252"/>
      <c r="K18" s="252"/>
      <c r="L18" s="252"/>
      <c r="M18" s="252"/>
      <c r="N18" s="252"/>
      <c r="O18" s="252"/>
      <c r="P18" s="252"/>
      <c r="Q18" s="250"/>
      <c r="R18" s="375" t="s">
        <v>1848</v>
      </c>
      <c r="S18" s="376" t="s">
        <v>1915</v>
      </c>
      <c r="T18" s="252" t="s">
        <v>1901</v>
      </c>
      <c r="U18" s="252"/>
      <c r="V18" s="377" t="s">
        <v>1916</v>
      </c>
      <c r="W18" s="371"/>
      <c r="X18" s="250" t="s">
        <v>1917</v>
      </c>
      <c r="Y18" s="252" t="s">
        <v>1918</v>
      </c>
      <c r="Z18" s="372" t="s">
        <v>1919</v>
      </c>
      <c r="AA18" s="252"/>
      <c r="AB18" s="355"/>
      <c r="AC18" s="301" t="s">
        <v>1852</v>
      </c>
      <c r="AD18" s="302" t="s">
        <v>1811</v>
      </c>
      <c r="AE18" s="304"/>
      <c r="AF18" s="304"/>
      <c r="AG18" s="378" t="s">
        <v>1920</v>
      </c>
      <c r="AH18" s="328" t="s">
        <v>1921</v>
      </c>
      <c r="AI18" s="305"/>
    </row>
    <row r="19" spans="1:35" ht="37.5" customHeight="1">
      <c r="A19" s="293">
        <v>15</v>
      </c>
      <c r="B19" s="241">
        <f t="shared" ca="1" si="2"/>
        <v>45880.365749999997</v>
      </c>
      <c r="C19" s="348"/>
      <c r="D19" s="63"/>
      <c r="E19" s="250" t="s">
        <v>1922</v>
      </c>
      <c r="F19" s="250" t="s">
        <v>58</v>
      </c>
      <c r="G19" s="251" t="s">
        <v>159</v>
      </c>
      <c r="H19" s="252"/>
      <c r="I19" s="379"/>
      <c r="J19" s="379"/>
      <c r="K19" s="379"/>
      <c r="L19" s="379"/>
      <c r="M19" s="379"/>
      <c r="N19" s="379"/>
      <c r="O19" s="379"/>
      <c r="P19" s="379"/>
      <c r="Q19" s="250"/>
      <c r="R19" s="252" t="s">
        <v>1848</v>
      </c>
      <c r="S19" s="252" t="s">
        <v>1915</v>
      </c>
      <c r="T19" s="252" t="s">
        <v>1901</v>
      </c>
      <c r="U19" s="252"/>
      <c r="V19" s="351" t="s">
        <v>1923</v>
      </c>
      <c r="W19" s="371"/>
      <c r="X19" s="250"/>
      <c r="Y19" s="252"/>
      <c r="Z19" s="360"/>
      <c r="AA19" s="252"/>
      <c r="AB19" s="355"/>
      <c r="AC19" s="301" t="s">
        <v>1852</v>
      </c>
      <c r="AD19" s="302"/>
      <c r="AE19" s="304"/>
      <c r="AF19" s="304"/>
      <c r="AG19" s="304"/>
      <c r="AH19" s="328" t="s">
        <v>1924</v>
      </c>
      <c r="AI19" s="305"/>
    </row>
    <row r="20" spans="1:35" ht="37.5" customHeight="1">
      <c r="A20" s="293">
        <v>16</v>
      </c>
      <c r="B20" s="241">
        <f t="shared" ca="1" si="2"/>
        <v>45881.341189999999</v>
      </c>
      <c r="C20" s="380"/>
      <c r="D20" s="63"/>
      <c r="E20" s="250" t="s">
        <v>1925</v>
      </c>
      <c r="F20" s="250" t="s">
        <v>58</v>
      </c>
      <c r="G20" s="251" t="s">
        <v>159</v>
      </c>
      <c r="H20" s="252"/>
      <c r="I20" s="252"/>
      <c r="J20" s="252"/>
      <c r="K20" s="252"/>
      <c r="L20" s="252"/>
      <c r="M20" s="252"/>
      <c r="N20" s="252"/>
      <c r="O20" s="252"/>
      <c r="P20" s="252"/>
      <c r="Q20" s="250"/>
      <c r="R20" s="252" t="s">
        <v>1848</v>
      </c>
      <c r="S20" s="252" t="s">
        <v>1849</v>
      </c>
      <c r="T20" s="252" t="s">
        <v>1901</v>
      </c>
      <c r="U20" s="252"/>
      <c r="V20" s="351" t="s">
        <v>1926</v>
      </c>
      <c r="W20" s="371"/>
      <c r="X20" s="250"/>
      <c r="Y20" s="252"/>
      <c r="Z20" s="360"/>
      <c r="AA20" s="252"/>
      <c r="AB20" s="355"/>
      <c r="AC20" s="301" t="s">
        <v>1852</v>
      </c>
      <c r="AD20" s="302"/>
      <c r="AE20" s="304"/>
      <c r="AF20" s="304"/>
      <c r="AG20" s="304"/>
      <c r="AH20" s="381"/>
      <c r="AI20" s="305"/>
    </row>
    <row r="21" spans="1:35" ht="37.5" customHeight="1">
      <c r="A21" s="293">
        <v>17</v>
      </c>
      <c r="B21" s="241">
        <f t="shared" ca="1" si="2"/>
        <v>45893.781159999999</v>
      </c>
      <c r="C21" s="295" t="s">
        <v>480</v>
      </c>
      <c r="D21" s="63"/>
      <c r="E21" s="250" t="s">
        <v>1927</v>
      </c>
      <c r="F21" s="356" t="s">
        <v>58</v>
      </c>
      <c r="G21" s="251" t="s">
        <v>273</v>
      </c>
      <c r="H21" s="252"/>
      <c r="I21" s="252"/>
      <c r="J21" s="252"/>
      <c r="K21" s="252"/>
      <c r="L21" s="252"/>
      <c r="M21" s="252"/>
      <c r="N21" s="252"/>
      <c r="O21" s="252"/>
      <c r="P21" s="252"/>
      <c r="Q21" s="250"/>
      <c r="R21" s="252" t="s">
        <v>1848</v>
      </c>
      <c r="S21" s="252" t="s">
        <v>1849</v>
      </c>
      <c r="T21" s="252" t="s">
        <v>1901</v>
      </c>
      <c r="U21" s="252"/>
      <c r="V21" s="351" t="s">
        <v>1928</v>
      </c>
      <c r="W21" s="371"/>
      <c r="X21" s="250"/>
      <c r="Y21" s="372" t="s">
        <v>1929</v>
      </c>
      <c r="Z21" s="372" t="s">
        <v>1930</v>
      </c>
      <c r="AA21" s="252"/>
      <c r="AB21" s="355"/>
      <c r="AC21" s="301" t="s">
        <v>1852</v>
      </c>
      <c r="AD21" s="302" t="s">
        <v>1811</v>
      </c>
      <c r="AE21" s="304"/>
      <c r="AF21" s="304"/>
      <c r="AG21" s="304"/>
      <c r="AH21" s="328"/>
      <c r="AI21" s="305"/>
    </row>
    <row r="22" spans="1:35" ht="37.5" customHeight="1">
      <c r="A22" s="293">
        <v>18</v>
      </c>
      <c r="B22" s="241">
        <f t="shared" ca="1" si="2"/>
        <v>45894.437089999999</v>
      </c>
      <c r="C22" s="295" t="s">
        <v>480</v>
      </c>
      <c r="D22" s="63"/>
      <c r="E22" s="374" t="s">
        <v>1931</v>
      </c>
      <c r="F22" s="356" t="s">
        <v>58</v>
      </c>
      <c r="G22" s="251" t="s">
        <v>59</v>
      </c>
      <c r="H22" s="252"/>
      <c r="I22" s="252"/>
      <c r="J22" s="252"/>
      <c r="K22" s="252"/>
      <c r="L22" s="252"/>
      <c r="M22" s="252"/>
      <c r="N22" s="252"/>
      <c r="O22" s="252"/>
      <c r="P22" s="252"/>
      <c r="Q22" s="250"/>
      <c r="R22" s="375" t="s">
        <v>1848</v>
      </c>
      <c r="S22" s="375" t="s">
        <v>1915</v>
      </c>
      <c r="T22" s="252" t="s">
        <v>1901</v>
      </c>
      <c r="U22" s="252"/>
      <c r="V22" s="351" t="s">
        <v>1932</v>
      </c>
      <c r="W22" s="371"/>
      <c r="X22" s="250" t="s">
        <v>1923</v>
      </c>
      <c r="Y22" s="250" t="s">
        <v>1933</v>
      </c>
      <c r="Z22" s="372" t="s">
        <v>1934</v>
      </c>
      <c r="AA22" s="252"/>
      <c r="AB22" s="355"/>
      <c r="AC22" s="301" t="s">
        <v>1852</v>
      </c>
      <c r="AD22" s="302" t="s">
        <v>1811</v>
      </c>
      <c r="AE22" s="304"/>
      <c r="AF22" s="304"/>
      <c r="AG22" s="304"/>
      <c r="AH22" s="304"/>
      <c r="AI22" s="305"/>
    </row>
    <row r="23" spans="1:35" ht="37.5" customHeight="1">
      <c r="A23" s="293">
        <v>19</v>
      </c>
      <c r="B23" s="241">
        <f t="shared" ca="1" si="2"/>
        <v>45924.823069999999</v>
      </c>
      <c r="C23" s="295" t="s">
        <v>334</v>
      </c>
      <c r="D23" s="63"/>
      <c r="E23" s="250" t="s">
        <v>1935</v>
      </c>
      <c r="F23" s="356" t="s">
        <v>58</v>
      </c>
      <c r="G23" s="252" t="s">
        <v>274</v>
      </c>
      <c r="H23" s="252"/>
      <c r="I23" s="252"/>
      <c r="J23" s="252"/>
      <c r="K23" s="252"/>
      <c r="L23" s="252"/>
      <c r="M23" s="252"/>
      <c r="N23" s="252"/>
      <c r="O23" s="252"/>
      <c r="P23" s="252"/>
      <c r="Q23" s="250"/>
      <c r="R23" s="252" t="s">
        <v>1848</v>
      </c>
      <c r="S23" s="252" t="s">
        <v>1849</v>
      </c>
      <c r="T23" s="252" t="s">
        <v>1901</v>
      </c>
      <c r="U23" s="252" t="s">
        <v>1878</v>
      </c>
      <c r="V23" s="351" t="s">
        <v>1936</v>
      </c>
      <c r="W23" s="371"/>
      <c r="X23" s="250"/>
      <c r="Y23" s="372" t="s">
        <v>1937</v>
      </c>
      <c r="Z23" s="372" t="s">
        <v>1938</v>
      </c>
      <c r="AA23" s="252"/>
      <c r="AB23" s="355"/>
      <c r="AC23" s="301" t="s">
        <v>1852</v>
      </c>
      <c r="AD23" s="302" t="s">
        <v>1811</v>
      </c>
      <c r="AE23" s="304"/>
      <c r="AF23" s="304"/>
      <c r="AG23" s="304"/>
      <c r="AH23" s="304"/>
      <c r="AI23" s="305"/>
    </row>
    <row r="24" spans="1:35" ht="37.5" customHeight="1">
      <c r="A24" s="293">
        <v>20</v>
      </c>
      <c r="B24" s="241">
        <f t="shared" ca="1" si="2"/>
        <v>45938.433799999999</v>
      </c>
      <c r="C24" s="306" t="s">
        <v>326</v>
      </c>
      <c r="D24" s="63"/>
      <c r="E24" s="250" t="s">
        <v>1939</v>
      </c>
      <c r="F24" s="382" t="s">
        <v>58</v>
      </c>
      <c r="G24" s="252" t="s">
        <v>159</v>
      </c>
      <c r="H24" s="252"/>
      <c r="I24" s="252"/>
      <c r="J24" s="252"/>
      <c r="K24" s="252"/>
      <c r="L24" s="252"/>
      <c r="M24" s="252"/>
      <c r="N24" s="252"/>
      <c r="O24" s="252"/>
      <c r="P24" s="252"/>
      <c r="Q24" s="250"/>
      <c r="R24" s="252" t="s">
        <v>1857</v>
      </c>
      <c r="S24" s="252" t="s">
        <v>1915</v>
      </c>
      <c r="T24" s="252" t="s">
        <v>1901</v>
      </c>
      <c r="U24" s="252" t="s">
        <v>1878</v>
      </c>
      <c r="V24" s="351"/>
      <c r="W24" s="371">
        <v>70806550</v>
      </c>
      <c r="X24" s="383"/>
      <c r="Y24" s="383"/>
      <c r="Z24" s="384"/>
      <c r="AA24" s="252"/>
      <c r="AB24" s="355"/>
      <c r="AC24" s="301" t="s">
        <v>1852</v>
      </c>
      <c r="AD24" s="302" t="s">
        <v>1811</v>
      </c>
      <c r="AE24" s="304"/>
      <c r="AF24" s="304"/>
      <c r="AG24" s="304"/>
      <c r="AH24" s="304"/>
      <c r="AI24" s="305"/>
    </row>
    <row r="25" spans="1:35" ht="51" customHeight="1">
      <c r="A25" s="293">
        <v>21</v>
      </c>
      <c r="B25" s="241">
        <f t="shared" ca="1" si="2"/>
        <v>45722.425739999999</v>
      </c>
      <c r="C25" s="295" t="s">
        <v>47</v>
      </c>
      <c r="D25" s="63"/>
      <c r="E25" s="106" t="s">
        <v>1940</v>
      </c>
      <c r="F25" s="47" t="s">
        <v>67</v>
      </c>
      <c r="G25" s="308" t="s">
        <v>68</v>
      </c>
      <c r="H25" s="252" t="s">
        <v>220</v>
      </c>
      <c r="I25" s="252" t="s">
        <v>698</v>
      </c>
      <c r="J25" s="252" t="s">
        <v>358</v>
      </c>
      <c r="K25" s="252" t="s">
        <v>111</v>
      </c>
      <c r="L25" s="252"/>
      <c r="M25" s="252"/>
      <c r="N25" s="252"/>
      <c r="O25" s="252"/>
      <c r="P25" s="252"/>
      <c r="Q25" s="250"/>
      <c r="R25" s="297" t="s">
        <v>1848</v>
      </c>
      <c r="S25" s="297" t="s">
        <v>1849</v>
      </c>
      <c r="T25" s="297"/>
      <c r="U25" s="252"/>
      <c r="V25" s="22" t="s">
        <v>1941</v>
      </c>
      <c r="W25" s="298">
        <v>187240000</v>
      </c>
      <c r="X25" s="106" t="s">
        <v>1942</v>
      </c>
      <c r="Y25" s="166" t="s">
        <v>1943</v>
      </c>
      <c r="Z25" s="299">
        <v>45649</v>
      </c>
      <c r="AA25" s="317"/>
      <c r="AB25" s="355"/>
      <c r="AC25" s="301" t="s">
        <v>1852</v>
      </c>
      <c r="AD25" s="302" t="s">
        <v>1811</v>
      </c>
      <c r="AE25" s="304"/>
      <c r="AF25" s="304"/>
      <c r="AG25" s="304"/>
      <c r="AH25" s="304" t="s">
        <v>1944</v>
      </c>
      <c r="AI25" s="305"/>
    </row>
    <row r="26" spans="1:35" ht="37.5" customHeight="1">
      <c r="A26" s="293">
        <v>22</v>
      </c>
      <c r="B26" s="241">
        <f t="shared" ca="1" si="2"/>
        <v>45861.352059999997</v>
      </c>
      <c r="C26" s="385" t="s">
        <v>423</v>
      </c>
      <c r="D26" s="63"/>
      <c r="E26" s="386" t="s">
        <v>1945</v>
      </c>
      <c r="F26" s="387" t="s">
        <v>67</v>
      </c>
      <c r="G26" s="331" t="s">
        <v>220</v>
      </c>
      <c r="H26" s="335"/>
      <c r="I26" s="335"/>
      <c r="J26" s="335"/>
      <c r="K26" s="335"/>
      <c r="L26" s="335"/>
      <c r="M26" s="335"/>
      <c r="N26" s="335"/>
      <c r="O26" s="335"/>
      <c r="P26" s="335"/>
      <c r="Q26" s="386"/>
      <c r="R26" s="335" t="s">
        <v>1848</v>
      </c>
      <c r="S26" s="335" t="s">
        <v>1849</v>
      </c>
      <c r="T26" s="335"/>
      <c r="U26" s="335"/>
      <c r="V26" s="388" t="s">
        <v>1946</v>
      </c>
      <c r="W26" s="352"/>
      <c r="X26" s="386"/>
      <c r="Y26" s="389" t="s">
        <v>1947</v>
      </c>
      <c r="Z26" s="389" t="s">
        <v>1948</v>
      </c>
      <c r="AA26" s="335"/>
      <c r="AB26" s="390"/>
      <c r="AC26" s="301" t="s">
        <v>1852</v>
      </c>
      <c r="AD26" s="391" t="s">
        <v>1811</v>
      </c>
      <c r="AE26" s="392">
        <v>2024</v>
      </c>
      <c r="AF26" s="393"/>
      <c r="AG26" s="393"/>
      <c r="AH26" s="394" t="s">
        <v>1949</v>
      </c>
      <c r="AI26" s="395"/>
    </row>
    <row r="27" spans="1:35" ht="57" customHeight="1">
      <c r="A27" s="293">
        <v>23</v>
      </c>
      <c r="B27" s="241">
        <f t="shared" ca="1" si="2"/>
        <v>45862.883869999998</v>
      </c>
      <c r="C27" s="306" t="s">
        <v>182</v>
      </c>
      <c r="D27" s="63"/>
      <c r="E27" s="250" t="s">
        <v>1809</v>
      </c>
      <c r="F27" s="356" t="s">
        <v>67</v>
      </c>
      <c r="G27" s="251" t="s">
        <v>220</v>
      </c>
      <c r="H27" s="252" t="s">
        <v>698</v>
      </c>
      <c r="I27" s="252" t="s">
        <v>376</v>
      </c>
      <c r="J27" s="252"/>
      <c r="K27" s="252"/>
      <c r="L27" s="252"/>
      <c r="M27" s="252"/>
      <c r="N27" s="252"/>
      <c r="O27" s="252"/>
      <c r="P27" s="252"/>
      <c r="Q27" s="250"/>
      <c r="R27" s="252" t="s">
        <v>1848</v>
      </c>
      <c r="S27" s="252" t="s">
        <v>1849</v>
      </c>
      <c r="T27" s="252" t="s">
        <v>1901</v>
      </c>
      <c r="U27" s="252"/>
      <c r="V27" s="351" t="s">
        <v>1812</v>
      </c>
      <c r="W27" s="371"/>
      <c r="X27" s="250" t="s">
        <v>1950</v>
      </c>
      <c r="Y27" s="250"/>
      <c r="Z27" s="360"/>
      <c r="AA27" s="166" t="s">
        <v>1951</v>
      </c>
      <c r="AB27" s="396">
        <v>45370</v>
      </c>
      <c r="AC27" s="301" t="s">
        <v>1852</v>
      </c>
      <c r="AD27" s="302" t="s">
        <v>1811</v>
      </c>
      <c r="AE27" s="304">
        <v>2024</v>
      </c>
      <c r="AF27" s="368"/>
      <c r="AG27" s="397" t="s">
        <v>1952</v>
      </c>
      <c r="AH27" s="398" t="s">
        <v>1953</v>
      </c>
      <c r="AI27" s="395"/>
    </row>
    <row r="28" spans="1:35" ht="37.5" customHeight="1">
      <c r="A28" s="293">
        <v>24</v>
      </c>
      <c r="B28" s="241">
        <f t="shared" ca="1" si="2"/>
        <v>45862.897779999999</v>
      </c>
      <c r="C28" s="306" t="s">
        <v>423</v>
      </c>
      <c r="D28" s="63"/>
      <c r="E28" s="250" t="s">
        <v>1954</v>
      </c>
      <c r="F28" s="356" t="s">
        <v>67</v>
      </c>
      <c r="G28" s="251" t="s">
        <v>220</v>
      </c>
      <c r="H28" s="252" t="s">
        <v>192</v>
      </c>
      <c r="I28" s="252"/>
      <c r="J28" s="252"/>
      <c r="K28" s="252"/>
      <c r="L28" s="252"/>
      <c r="M28" s="252"/>
      <c r="N28" s="252"/>
      <c r="O28" s="252"/>
      <c r="P28" s="252"/>
      <c r="Q28" s="250"/>
      <c r="R28" s="252" t="s">
        <v>1848</v>
      </c>
      <c r="S28" s="252" t="s">
        <v>1849</v>
      </c>
      <c r="T28" s="252" t="s">
        <v>1901</v>
      </c>
      <c r="U28" s="252"/>
      <c r="V28" s="351" t="s">
        <v>1955</v>
      </c>
      <c r="W28" s="371"/>
      <c r="X28" s="250"/>
      <c r="Y28" s="372" t="s">
        <v>1956</v>
      </c>
      <c r="Z28" s="372" t="s">
        <v>1957</v>
      </c>
      <c r="AA28" s="252"/>
      <c r="AB28" s="355"/>
      <c r="AC28" s="301" t="s">
        <v>1852</v>
      </c>
      <c r="AD28" s="399" t="s">
        <v>1811</v>
      </c>
      <c r="AE28" s="304">
        <v>2024</v>
      </c>
      <c r="AF28" s="362"/>
      <c r="AG28" s="400" t="s">
        <v>1958</v>
      </c>
      <c r="AH28" s="304"/>
      <c r="AI28" s="395"/>
    </row>
    <row r="29" spans="1:35" ht="37.5" customHeight="1">
      <c r="A29" s="293">
        <v>25</v>
      </c>
      <c r="B29" s="241">
        <f t="shared" ca="1" si="2"/>
        <v>45733.363400000002</v>
      </c>
      <c r="C29" s="306" t="s">
        <v>251</v>
      </c>
      <c r="D29" s="63"/>
      <c r="E29" s="58" t="s">
        <v>1959</v>
      </c>
      <c r="F29" s="401" t="s">
        <v>201</v>
      </c>
      <c r="G29" s="402" t="s">
        <v>374</v>
      </c>
      <c r="H29" s="403"/>
      <c r="I29" s="403"/>
      <c r="J29" s="403"/>
      <c r="K29" s="403"/>
      <c r="L29" s="403"/>
      <c r="M29" s="403"/>
      <c r="N29" s="403"/>
      <c r="O29" s="403"/>
      <c r="P29" s="403"/>
      <c r="Q29" s="309"/>
      <c r="R29" s="404" t="s">
        <v>1848</v>
      </c>
      <c r="S29" s="404" t="s">
        <v>1849</v>
      </c>
      <c r="T29" s="321"/>
      <c r="U29" s="321"/>
      <c r="V29" s="405" t="s">
        <v>1960</v>
      </c>
      <c r="W29" s="406"/>
      <c r="X29" s="407" t="s">
        <v>1864</v>
      </c>
      <c r="Y29" s="403"/>
      <c r="Z29" s="408"/>
      <c r="AA29" s="402" t="s">
        <v>1961</v>
      </c>
      <c r="AB29" s="409" t="s">
        <v>1962</v>
      </c>
      <c r="AC29" s="301" t="s">
        <v>1852</v>
      </c>
      <c r="AD29" s="399" t="s">
        <v>1811</v>
      </c>
      <c r="AE29" s="410"/>
      <c r="AF29" s="411"/>
      <c r="AG29" s="411"/>
      <c r="AH29" s="410"/>
      <c r="AI29" s="395"/>
    </row>
    <row r="30" spans="1:35" ht="37.5" customHeight="1">
      <c r="A30" s="293">
        <v>26</v>
      </c>
      <c r="B30" s="241">
        <f t="shared" ca="1" si="2"/>
        <v>45733.363400000002</v>
      </c>
      <c r="C30" s="295"/>
      <c r="D30" s="63"/>
      <c r="E30" s="412" t="s">
        <v>1963</v>
      </c>
      <c r="F30" s="100" t="s">
        <v>201</v>
      </c>
      <c r="G30" s="321" t="s">
        <v>356</v>
      </c>
      <c r="H30" s="251"/>
      <c r="I30" s="251"/>
      <c r="J30" s="251"/>
      <c r="K30" s="251"/>
      <c r="L30" s="251"/>
      <c r="M30" s="251"/>
      <c r="N30" s="251"/>
      <c r="O30" s="251"/>
      <c r="P30" s="251"/>
      <c r="Q30" s="309"/>
      <c r="R30" s="321" t="s">
        <v>1848</v>
      </c>
      <c r="S30" s="321" t="s">
        <v>1849</v>
      </c>
      <c r="T30" s="321"/>
      <c r="U30" s="321"/>
      <c r="V30" s="413" t="s">
        <v>1964</v>
      </c>
      <c r="W30" s="414"/>
      <c r="X30" s="309"/>
      <c r="Y30" s="251"/>
      <c r="Z30" s="415"/>
      <c r="AA30" s="321" t="s">
        <v>1965</v>
      </c>
      <c r="AB30" s="416" t="s">
        <v>1966</v>
      </c>
      <c r="AC30" s="301" t="s">
        <v>1852</v>
      </c>
      <c r="AD30" s="399"/>
      <c r="AE30" s="304"/>
      <c r="AF30" s="362"/>
      <c r="AG30" s="362"/>
      <c r="AH30" s="359" t="s">
        <v>1967</v>
      </c>
      <c r="AI30" s="417" t="s">
        <v>1968</v>
      </c>
    </row>
    <row r="31" spans="1:35" ht="37.5" customHeight="1">
      <c r="A31" s="293">
        <v>27</v>
      </c>
      <c r="B31" s="241">
        <f t="shared" ca="1" si="2"/>
        <v>45735.469700000001</v>
      </c>
      <c r="C31" s="306" t="s">
        <v>423</v>
      </c>
      <c r="D31" s="63"/>
      <c r="E31" s="418" t="s">
        <v>1969</v>
      </c>
      <c r="F31" s="419" t="s">
        <v>201</v>
      </c>
      <c r="G31" s="420" t="s">
        <v>193</v>
      </c>
      <c r="H31" s="421"/>
      <c r="I31" s="421"/>
      <c r="J31" s="421"/>
      <c r="K31" s="421"/>
      <c r="L31" s="421"/>
      <c r="M31" s="421"/>
      <c r="N31" s="421"/>
      <c r="O31" s="421"/>
      <c r="P31" s="421"/>
      <c r="Q31" s="250"/>
      <c r="R31" s="252" t="s">
        <v>1848</v>
      </c>
      <c r="S31" s="252" t="s">
        <v>1849</v>
      </c>
      <c r="T31" s="252" t="s">
        <v>1901</v>
      </c>
      <c r="U31" s="252"/>
      <c r="V31" s="422" t="s">
        <v>1970</v>
      </c>
      <c r="W31" s="423">
        <v>512160000</v>
      </c>
      <c r="X31" s="420"/>
      <c r="Y31" s="424" t="s">
        <v>1971</v>
      </c>
      <c r="Z31" s="424" t="s">
        <v>1972</v>
      </c>
      <c r="AA31" s="421"/>
      <c r="AB31" s="425"/>
      <c r="AC31" s="301" t="s">
        <v>1852</v>
      </c>
      <c r="AD31" s="399" t="s">
        <v>1811</v>
      </c>
      <c r="AE31" s="426" t="s">
        <v>1973</v>
      </c>
      <c r="AF31" s="427"/>
      <c r="AG31" s="427"/>
      <c r="AH31" s="428"/>
      <c r="AI31" s="175"/>
    </row>
    <row r="32" spans="1:35" ht="37.5" customHeight="1">
      <c r="A32" s="293">
        <v>28</v>
      </c>
      <c r="B32" s="241">
        <f t="shared" ca="1" si="2"/>
        <v>45736.487150000001</v>
      </c>
      <c r="C32" s="369" t="s">
        <v>47</v>
      </c>
      <c r="D32" s="63"/>
      <c r="E32" s="100" t="s">
        <v>1974</v>
      </c>
      <c r="F32" s="330" t="s">
        <v>201</v>
      </c>
      <c r="G32" s="251" t="s">
        <v>496</v>
      </c>
      <c r="H32" s="252"/>
      <c r="I32" s="252"/>
      <c r="J32" s="252"/>
      <c r="K32" s="252"/>
      <c r="L32" s="252"/>
      <c r="M32" s="252"/>
      <c r="N32" s="252"/>
      <c r="O32" s="252"/>
      <c r="P32" s="252"/>
      <c r="Q32" s="250" t="s">
        <v>1975</v>
      </c>
      <c r="R32" s="252" t="s">
        <v>1857</v>
      </c>
      <c r="S32" s="252" t="s">
        <v>1915</v>
      </c>
      <c r="T32" s="252" t="s">
        <v>1901</v>
      </c>
      <c r="U32" s="252" t="s">
        <v>1878</v>
      </c>
      <c r="V32" s="351" t="s">
        <v>1976</v>
      </c>
      <c r="W32" s="429">
        <v>26169600</v>
      </c>
      <c r="X32" s="339"/>
      <c r="Y32" s="252"/>
      <c r="Z32" s="360"/>
      <c r="AA32" s="252"/>
      <c r="AB32" s="355"/>
      <c r="AC32" s="301" t="s">
        <v>1852</v>
      </c>
      <c r="AD32" s="399" t="s">
        <v>1811</v>
      </c>
      <c r="AE32" s="430" t="s">
        <v>1977</v>
      </c>
      <c r="AF32" s="431"/>
      <c r="AG32" s="431"/>
      <c r="AH32" s="370" t="s">
        <v>1978</v>
      </c>
      <c r="AI32" s="175"/>
    </row>
    <row r="33" spans="1:35" ht="37.5" customHeight="1">
      <c r="A33" s="293">
        <v>29</v>
      </c>
      <c r="B33" s="241">
        <f t="shared" ca="1" si="2"/>
        <v>45787.815580000002</v>
      </c>
      <c r="C33" s="432" t="s">
        <v>423</v>
      </c>
      <c r="D33" s="63"/>
      <c r="E33" s="349" t="s">
        <v>1979</v>
      </c>
      <c r="F33" s="433" t="s">
        <v>201</v>
      </c>
      <c r="G33" s="251" t="s">
        <v>360</v>
      </c>
      <c r="H33" s="335"/>
      <c r="I33" s="335"/>
      <c r="J33" s="335"/>
      <c r="K33" s="335"/>
      <c r="L33" s="335"/>
      <c r="M33" s="335"/>
      <c r="N33" s="335"/>
      <c r="O33" s="335"/>
      <c r="P33" s="335"/>
      <c r="Q33" s="250"/>
      <c r="R33" s="252" t="s">
        <v>1857</v>
      </c>
      <c r="S33" s="252" t="s">
        <v>1915</v>
      </c>
      <c r="T33" s="252" t="s">
        <v>1901</v>
      </c>
      <c r="U33" s="252" t="s">
        <v>1878</v>
      </c>
      <c r="V33" s="388" t="s">
        <v>1980</v>
      </c>
      <c r="W33" s="352">
        <v>57757712</v>
      </c>
      <c r="X33" s="349" t="s">
        <v>1981</v>
      </c>
      <c r="Y33" s="335"/>
      <c r="Z33" s="354"/>
      <c r="AA33" s="335"/>
      <c r="AB33" s="390"/>
      <c r="AC33" s="301" t="s">
        <v>1852</v>
      </c>
      <c r="AD33" s="399" t="s">
        <v>1811</v>
      </c>
      <c r="AE33" s="434"/>
      <c r="AF33" s="435"/>
      <c r="AG33" s="435"/>
      <c r="AH33" s="370"/>
      <c r="AI33" s="175"/>
    </row>
    <row r="34" spans="1:35" ht="37.5" customHeight="1">
      <c r="A34" s="293">
        <v>30</v>
      </c>
      <c r="B34" s="241">
        <f t="shared" ca="1" si="2"/>
        <v>0</v>
      </c>
      <c r="C34" s="369" t="s">
        <v>423</v>
      </c>
      <c r="D34" s="63"/>
      <c r="E34" s="436" t="s">
        <v>1982</v>
      </c>
      <c r="F34" s="437" t="s">
        <v>201</v>
      </c>
      <c r="G34" s="251" t="s">
        <v>416</v>
      </c>
      <c r="H34" s="438"/>
      <c r="I34" s="438"/>
      <c r="J34" s="438"/>
      <c r="K34" s="438"/>
      <c r="L34" s="438"/>
      <c r="M34" s="438"/>
      <c r="N34" s="438"/>
      <c r="O34" s="438"/>
      <c r="P34" s="438"/>
      <c r="Q34" s="250"/>
      <c r="R34" s="252" t="s">
        <v>1857</v>
      </c>
      <c r="S34" s="252" t="s">
        <v>1915</v>
      </c>
      <c r="T34" s="252" t="s">
        <v>1983</v>
      </c>
      <c r="U34" s="252" t="s">
        <v>1878</v>
      </c>
      <c r="V34" s="439" t="s">
        <v>1984</v>
      </c>
      <c r="W34" s="440">
        <v>40000000</v>
      </c>
      <c r="X34" s="436" t="s">
        <v>1985</v>
      </c>
      <c r="Y34" s="438"/>
      <c r="Z34" s="441"/>
      <c r="AA34" s="438"/>
      <c r="AB34" s="442"/>
      <c r="AC34" s="301" t="s">
        <v>1852</v>
      </c>
      <c r="AD34" s="399" t="s">
        <v>1811</v>
      </c>
      <c r="AE34" s="443">
        <v>2023</v>
      </c>
      <c r="AF34" s="444"/>
      <c r="AG34" s="444"/>
      <c r="AH34" s="370" t="s">
        <v>1986</v>
      </c>
      <c r="AI34" s="175"/>
    </row>
    <row r="35" spans="1:35" ht="61.5" customHeight="1">
      <c r="A35" s="293">
        <v>31</v>
      </c>
      <c r="B35" s="241">
        <f t="shared" ca="1" si="2"/>
        <v>45862.904369999997</v>
      </c>
      <c r="C35" s="432" t="s">
        <v>423</v>
      </c>
      <c r="D35" s="63"/>
      <c r="E35" s="250" t="s">
        <v>1987</v>
      </c>
      <c r="F35" s="356" t="s">
        <v>201</v>
      </c>
      <c r="G35" s="251" t="s">
        <v>416</v>
      </c>
      <c r="H35" s="252" t="s">
        <v>192</v>
      </c>
      <c r="I35" s="252" t="s">
        <v>273</v>
      </c>
      <c r="J35" s="252" t="s">
        <v>652</v>
      </c>
      <c r="K35" s="252"/>
      <c r="L35" s="252"/>
      <c r="M35" s="252"/>
      <c r="N35" s="252"/>
      <c r="O35" s="252"/>
      <c r="P35" s="252"/>
      <c r="Q35" s="250"/>
      <c r="R35" s="252" t="s">
        <v>1848</v>
      </c>
      <c r="S35" s="252" t="s">
        <v>1849</v>
      </c>
      <c r="T35" s="252" t="s">
        <v>1901</v>
      </c>
      <c r="U35" s="252"/>
      <c r="V35" s="351" t="s">
        <v>1988</v>
      </c>
      <c r="W35" s="371"/>
      <c r="X35" s="250"/>
      <c r="Y35" s="372" t="s">
        <v>1989</v>
      </c>
      <c r="Z35" s="372" t="s">
        <v>1990</v>
      </c>
      <c r="AA35" s="252"/>
      <c r="AB35" s="360"/>
      <c r="AC35" s="301" t="s">
        <v>1852</v>
      </c>
      <c r="AD35" s="399" t="s">
        <v>1811</v>
      </c>
      <c r="AE35" s="445">
        <v>2024</v>
      </c>
      <c r="AF35" s="182"/>
      <c r="AG35" s="182"/>
      <c r="AH35" s="370"/>
      <c r="AI35" s="175"/>
    </row>
    <row r="36" spans="1:35" ht="37.5" customHeight="1">
      <c r="A36" s="293">
        <v>32</v>
      </c>
      <c r="B36" s="241">
        <f t="shared" ca="1" si="2"/>
        <v>45924.81609</v>
      </c>
      <c r="C36" s="369" t="s">
        <v>334</v>
      </c>
      <c r="D36" s="63"/>
      <c r="E36" s="446" t="s">
        <v>1991</v>
      </c>
      <c r="F36" s="356" t="s">
        <v>201</v>
      </c>
      <c r="G36" s="252" t="s">
        <v>374</v>
      </c>
      <c r="H36" s="421"/>
      <c r="I36" s="421"/>
      <c r="J36" s="421"/>
      <c r="K36" s="421"/>
      <c r="L36" s="421"/>
      <c r="M36" s="421"/>
      <c r="N36" s="421"/>
      <c r="O36" s="421"/>
      <c r="P36" s="421"/>
      <c r="Q36" s="446"/>
      <c r="R36" s="375" t="s">
        <v>1848</v>
      </c>
      <c r="S36" s="375" t="s">
        <v>1915</v>
      </c>
      <c r="T36" s="252" t="s">
        <v>1901</v>
      </c>
      <c r="U36" s="421" t="s">
        <v>1878</v>
      </c>
      <c r="V36" s="422" t="s">
        <v>1992</v>
      </c>
      <c r="W36" s="447"/>
      <c r="X36" s="446"/>
      <c r="Y36" s="421"/>
      <c r="Z36" s="446">
        <v>2025</v>
      </c>
      <c r="AA36" s="421"/>
      <c r="AB36" s="425"/>
      <c r="AC36" s="301" t="s">
        <v>1852</v>
      </c>
      <c r="AD36" s="399" t="s">
        <v>1811</v>
      </c>
      <c r="AE36" s="445">
        <v>2025</v>
      </c>
      <c r="AF36" s="448"/>
      <c r="AG36" s="448"/>
      <c r="AH36" s="370" t="s">
        <v>1993</v>
      </c>
      <c r="AI36" s="175"/>
    </row>
    <row r="37" spans="1:35" ht="37.5" customHeight="1">
      <c r="A37" s="293">
        <v>33</v>
      </c>
      <c r="B37" s="241">
        <f t="shared" ca="1" si="2"/>
        <v>45937.348129999998</v>
      </c>
      <c r="C37" s="432"/>
      <c r="D37" s="63"/>
      <c r="E37" s="250" t="s">
        <v>1994</v>
      </c>
      <c r="F37" s="252" t="s">
        <v>201</v>
      </c>
      <c r="G37" s="252" t="s">
        <v>374</v>
      </c>
      <c r="H37" s="252"/>
      <c r="I37" s="252"/>
      <c r="J37" s="252"/>
      <c r="K37" s="252"/>
      <c r="L37" s="252"/>
      <c r="M37" s="252"/>
      <c r="N37" s="252"/>
      <c r="O37" s="252"/>
      <c r="P37" s="252"/>
      <c r="Q37" s="250"/>
      <c r="R37" s="252" t="s">
        <v>1857</v>
      </c>
      <c r="S37" s="252" t="s">
        <v>1849</v>
      </c>
      <c r="T37" s="449" t="s">
        <v>1858</v>
      </c>
      <c r="U37" s="252" t="s">
        <v>1859</v>
      </c>
      <c r="V37" s="351"/>
      <c r="W37" s="371">
        <v>101000000</v>
      </c>
      <c r="X37" s="450" t="s">
        <v>1995</v>
      </c>
      <c r="Y37" s="383"/>
      <c r="Z37" s="360"/>
      <c r="AA37" s="252"/>
      <c r="AB37" s="355"/>
      <c r="AC37" s="301" t="s">
        <v>1852</v>
      </c>
      <c r="AD37" s="399"/>
      <c r="AE37" s="445">
        <v>2024</v>
      </c>
      <c r="AF37" s="451"/>
      <c r="AG37" s="451"/>
      <c r="AH37" s="370" t="s">
        <v>1986</v>
      </c>
      <c r="AI37" s="175"/>
    </row>
    <row r="38" spans="1:35" ht="40.5" customHeight="1">
      <c r="A38" s="293">
        <v>34</v>
      </c>
      <c r="B38" s="241">
        <f t="shared" ca="1" si="2"/>
        <v>45736.452230000003</v>
      </c>
      <c r="C38" s="432" t="s">
        <v>650</v>
      </c>
      <c r="D38" s="63"/>
      <c r="E38" s="100" t="s">
        <v>1996</v>
      </c>
      <c r="F38" s="330" t="s">
        <v>49</v>
      </c>
      <c r="G38" s="452" t="s">
        <v>1997</v>
      </c>
      <c r="H38" s="252"/>
      <c r="I38" s="252"/>
      <c r="J38" s="252"/>
      <c r="K38" s="252"/>
      <c r="L38" s="252"/>
      <c r="M38" s="252"/>
      <c r="N38" s="252"/>
      <c r="O38" s="252"/>
      <c r="P38" s="252"/>
      <c r="Q38" s="250"/>
      <c r="R38" s="252" t="s">
        <v>1857</v>
      </c>
      <c r="S38" s="252" t="s">
        <v>1849</v>
      </c>
      <c r="T38" s="453" t="s">
        <v>1858</v>
      </c>
      <c r="U38" s="252" t="s">
        <v>1859</v>
      </c>
      <c r="V38" s="351"/>
      <c r="W38" s="429">
        <v>197000000</v>
      </c>
      <c r="X38" s="339" t="s">
        <v>1998</v>
      </c>
      <c r="Y38" s="252"/>
      <c r="Z38" s="360"/>
      <c r="AA38" s="250" t="s">
        <v>1999</v>
      </c>
      <c r="AB38" s="454" t="s">
        <v>2000</v>
      </c>
      <c r="AC38" s="301" t="s">
        <v>1852</v>
      </c>
      <c r="AD38" s="399" t="s">
        <v>1811</v>
      </c>
      <c r="AE38" s="455">
        <v>2024</v>
      </c>
      <c r="AF38" s="328"/>
      <c r="AG38" s="328"/>
      <c r="AH38" s="370" t="s">
        <v>1986</v>
      </c>
      <c r="AI38" s="175"/>
    </row>
    <row r="39" spans="1:35" ht="37.5" customHeight="1">
      <c r="A39" s="293">
        <v>35</v>
      </c>
      <c r="B39" s="241">
        <f t="shared" ca="1" si="2"/>
        <v>45737.352650000001</v>
      </c>
      <c r="C39" s="456" t="s">
        <v>47</v>
      </c>
      <c r="D39" s="63"/>
      <c r="E39" s="418" t="s">
        <v>2001</v>
      </c>
      <c r="F39" s="457" t="s">
        <v>49</v>
      </c>
      <c r="G39" s="420" t="s">
        <v>291</v>
      </c>
      <c r="H39" s="421"/>
      <c r="I39" s="421"/>
      <c r="J39" s="421"/>
      <c r="K39" s="421"/>
      <c r="L39" s="421"/>
      <c r="M39" s="421"/>
      <c r="N39" s="421"/>
      <c r="O39" s="421"/>
      <c r="P39" s="421"/>
      <c r="Q39" s="446"/>
      <c r="R39" s="421" t="s">
        <v>1857</v>
      </c>
      <c r="S39" s="252" t="s">
        <v>1849</v>
      </c>
      <c r="T39" s="458" t="s">
        <v>1858</v>
      </c>
      <c r="U39" s="421" t="s">
        <v>1859</v>
      </c>
      <c r="V39" s="422"/>
      <c r="W39" s="459">
        <v>91000000</v>
      </c>
      <c r="X39" s="460" t="s">
        <v>1998</v>
      </c>
      <c r="Y39" s="421" t="s">
        <v>2002</v>
      </c>
      <c r="Z39" s="461">
        <v>45894</v>
      </c>
      <c r="AA39" s="446" t="s">
        <v>1999</v>
      </c>
      <c r="AB39" s="462" t="s">
        <v>2000</v>
      </c>
      <c r="AC39" s="301" t="s">
        <v>1852</v>
      </c>
      <c r="AD39" s="399" t="s">
        <v>1811</v>
      </c>
      <c r="AE39" s="448"/>
      <c r="AF39" s="448"/>
      <c r="AG39" s="448"/>
      <c r="AH39" s="463"/>
      <c r="AI39" s="175"/>
    </row>
    <row r="40" spans="1:35" ht="37.5" customHeight="1">
      <c r="A40" s="293">
        <v>36</v>
      </c>
      <c r="B40" s="241">
        <f t="shared" ca="1" si="2"/>
        <v>45787.79737</v>
      </c>
      <c r="C40" s="306" t="s">
        <v>334</v>
      </c>
      <c r="D40" s="63"/>
      <c r="E40" s="100" t="s">
        <v>2003</v>
      </c>
      <c r="F40" s="330" t="s">
        <v>49</v>
      </c>
      <c r="G40" s="251" t="s">
        <v>523</v>
      </c>
      <c r="H40" s="252"/>
      <c r="I40" s="252"/>
      <c r="J40" s="252"/>
      <c r="K40" s="252"/>
      <c r="L40" s="252"/>
      <c r="M40" s="252"/>
      <c r="N40" s="252"/>
      <c r="O40" s="252"/>
      <c r="P40" s="252"/>
      <c r="Q40" s="250"/>
      <c r="R40" s="252" t="s">
        <v>1857</v>
      </c>
      <c r="S40" s="252" t="s">
        <v>1915</v>
      </c>
      <c r="T40" s="421" t="s">
        <v>1901</v>
      </c>
      <c r="U40" s="252" t="s">
        <v>1878</v>
      </c>
      <c r="V40" s="351" t="s">
        <v>2004</v>
      </c>
      <c r="W40" s="371">
        <v>20100000</v>
      </c>
      <c r="X40" s="309" t="s">
        <v>2005</v>
      </c>
      <c r="Y40" s="252"/>
      <c r="Z40" s="360"/>
      <c r="AA40" s="252"/>
      <c r="AB40" s="355"/>
      <c r="AC40" s="301" t="s">
        <v>1852</v>
      </c>
      <c r="AD40" s="399" t="s">
        <v>1811</v>
      </c>
      <c r="AE40" s="445">
        <v>2025</v>
      </c>
      <c r="AF40" s="182"/>
      <c r="AG40" s="182"/>
      <c r="AH40" s="182"/>
      <c r="AI40" s="175"/>
    </row>
    <row r="41" spans="1:35" ht="37.5" customHeight="1">
      <c r="A41" s="293">
        <v>37</v>
      </c>
      <c r="B41" s="241">
        <f t="shared" ca="1" si="2"/>
        <v>45866.613740000001</v>
      </c>
      <c r="C41" s="306" t="s">
        <v>423</v>
      </c>
      <c r="D41" s="63"/>
      <c r="E41" s="250" t="s">
        <v>2006</v>
      </c>
      <c r="F41" s="356" t="s">
        <v>49</v>
      </c>
      <c r="G41" s="251" t="s">
        <v>291</v>
      </c>
      <c r="H41" s="252" t="s">
        <v>93</v>
      </c>
      <c r="I41" s="252" t="s">
        <v>193</v>
      </c>
      <c r="J41" s="252"/>
      <c r="K41" s="252"/>
      <c r="L41" s="252"/>
      <c r="M41" s="252"/>
      <c r="N41" s="252"/>
      <c r="O41" s="252"/>
      <c r="P41" s="252"/>
      <c r="Q41" s="250" t="s">
        <v>2007</v>
      </c>
      <c r="R41" s="252" t="s">
        <v>1848</v>
      </c>
      <c r="S41" s="252" t="s">
        <v>1849</v>
      </c>
      <c r="T41" s="252" t="s">
        <v>1901</v>
      </c>
      <c r="U41" s="252" t="s">
        <v>1878</v>
      </c>
      <c r="V41" s="351" t="s">
        <v>2008</v>
      </c>
      <c r="W41" s="371"/>
      <c r="X41" s="250"/>
      <c r="Y41" s="372" t="s">
        <v>2009</v>
      </c>
      <c r="Z41" s="372" t="s">
        <v>2010</v>
      </c>
      <c r="AA41" s="252"/>
      <c r="AB41" s="355"/>
      <c r="AC41" s="301" t="s">
        <v>1852</v>
      </c>
      <c r="AD41" s="399" t="s">
        <v>1811</v>
      </c>
      <c r="AE41" s="445">
        <v>2025</v>
      </c>
      <c r="AF41" s="182"/>
      <c r="AG41" s="182"/>
      <c r="AH41" s="182"/>
      <c r="AI41" s="175"/>
    </row>
    <row r="42" spans="1:35" ht="37.5" customHeight="1">
      <c r="A42" s="293">
        <v>38</v>
      </c>
      <c r="B42" s="241">
        <f t="shared" ca="1" si="2"/>
        <v>45875.611720000001</v>
      </c>
      <c r="C42" s="295" t="s">
        <v>480</v>
      </c>
      <c r="D42" s="63"/>
      <c r="E42" s="250" t="s">
        <v>2011</v>
      </c>
      <c r="F42" s="356" t="s">
        <v>49</v>
      </c>
      <c r="G42" s="251" t="s">
        <v>291</v>
      </c>
      <c r="H42" s="252"/>
      <c r="I42" s="252"/>
      <c r="J42" s="252"/>
      <c r="K42" s="252"/>
      <c r="L42" s="252"/>
      <c r="M42" s="252"/>
      <c r="N42" s="252"/>
      <c r="O42" s="252"/>
      <c r="P42" s="252"/>
      <c r="Q42" s="250"/>
      <c r="R42" s="375" t="s">
        <v>1848</v>
      </c>
      <c r="S42" s="376" t="s">
        <v>1915</v>
      </c>
      <c r="T42" s="252" t="s">
        <v>1901</v>
      </c>
      <c r="U42" s="252"/>
      <c r="V42" s="351" t="s">
        <v>2012</v>
      </c>
      <c r="W42" s="371"/>
      <c r="X42" s="250" t="s">
        <v>2013</v>
      </c>
      <c r="Y42" s="252"/>
      <c r="Z42" s="360"/>
      <c r="AA42" s="252"/>
      <c r="AB42" s="355"/>
      <c r="AC42" s="301" t="s">
        <v>1852</v>
      </c>
      <c r="AD42" s="302" t="s">
        <v>1811</v>
      </c>
      <c r="AE42" s="182"/>
      <c r="AF42" s="182"/>
      <c r="AG42" s="182"/>
      <c r="AH42" s="464" t="s">
        <v>2014</v>
      </c>
      <c r="AI42" s="175"/>
    </row>
    <row r="43" spans="1:35" ht="37.5" customHeight="1">
      <c r="A43" s="293">
        <v>39</v>
      </c>
      <c r="B43" s="241">
        <f t="shared" ca="1" si="2"/>
        <v>45901.538</v>
      </c>
      <c r="C43" s="348"/>
      <c r="D43" s="63"/>
      <c r="E43" s="100" t="s">
        <v>2003</v>
      </c>
      <c r="F43" s="250" t="s">
        <v>49</v>
      </c>
      <c r="G43" s="251" t="s">
        <v>523</v>
      </c>
      <c r="H43" s="252"/>
      <c r="I43" s="252"/>
      <c r="J43" s="252"/>
      <c r="K43" s="252"/>
      <c r="L43" s="252"/>
      <c r="M43" s="252"/>
      <c r="N43" s="252"/>
      <c r="O43" s="252"/>
      <c r="P43" s="252"/>
      <c r="Q43" s="250"/>
      <c r="R43" s="252" t="s">
        <v>1857</v>
      </c>
      <c r="S43" s="252" t="s">
        <v>1915</v>
      </c>
      <c r="T43" s="252" t="s">
        <v>1901</v>
      </c>
      <c r="U43" s="252" t="s">
        <v>1878</v>
      </c>
      <c r="V43" s="351" t="s">
        <v>2015</v>
      </c>
      <c r="W43" s="371">
        <v>20100000</v>
      </c>
      <c r="X43" s="250"/>
      <c r="Y43" s="252"/>
      <c r="Z43" s="360"/>
      <c r="AA43" s="252"/>
      <c r="AB43" s="355"/>
      <c r="AC43" s="301" t="s">
        <v>1852</v>
      </c>
      <c r="AD43" s="302" t="s">
        <v>1811</v>
      </c>
      <c r="AE43" s="182"/>
      <c r="AF43" s="182"/>
      <c r="AG43" s="182"/>
      <c r="AH43" s="383" t="s">
        <v>2016</v>
      </c>
      <c r="AI43" s="175"/>
    </row>
    <row r="44" spans="1:35" ht="37.5" customHeight="1">
      <c r="A44" s="293">
        <v>40</v>
      </c>
      <c r="B44" s="241">
        <f t="shared" ca="1" si="2"/>
        <v>45930.343150000001</v>
      </c>
      <c r="C44" s="295" t="s">
        <v>326</v>
      </c>
      <c r="D44" s="63"/>
      <c r="E44" s="250" t="s">
        <v>2017</v>
      </c>
      <c r="F44" s="252" t="s">
        <v>49</v>
      </c>
      <c r="G44" s="252" t="s">
        <v>291</v>
      </c>
      <c r="H44" s="252"/>
      <c r="I44" s="252"/>
      <c r="J44" s="252"/>
      <c r="K44" s="252"/>
      <c r="L44" s="252"/>
      <c r="M44" s="252"/>
      <c r="N44" s="252"/>
      <c r="O44" s="252"/>
      <c r="P44" s="252"/>
      <c r="Q44" s="250"/>
      <c r="R44" s="252" t="s">
        <v>1848</v>
      </c>
      <c r="S44" s="252" t="s">
        <v>1849</v>
      </c>
      <c r="T44" s="252" t="s">
        <v>1901</v>
      </c>
      <c r="U44" s="252" t="s">
        <v>1878</v>
      </c>
      <c r="V44" s="250" t="s">
        <v>2018</v>
      </c>
      <c r="W44" s="371"/>
      <c r="X44" s="250"/>
      <c r="Y44" s="250" t="s">
        <v>2019</v>
      </c>
      <c r="Z44" s="372" t="s">
        <v>2020</v>
      </c>
      <c r="AA44" s="252"/>
      <c r="AB44" s="355"/>
      <c r="AC44" s="301" t="s">
        <v>1852</v>
      </c>
      <c r="AD44" s="302"/>
      <c r="AE44" s="445">
        <v>2024</v>
      </c>
      <c r="AF44" s="445"/>
      <c r="AG44" s="445"/>
      <c r="AH44" s="445" t="s">
        <v>2021</v>
      </c>
      <c r="AI44" s="175"/>
    </row>
    <row r="45" spans="1:35" ht="37.5" customHeight="1">
      <c r="A45" s="293">
        <v>41</v>
      </c>
      <c r="B45" s="241">
        <f t="shared" ca="1" si="2"/>
        <v>45722.425739999999</v>
      </c>
      <c r="C45" s="295" t="s">
        <v>47</v>
      </c>
      <c r="D45" s="63"/>
      <c r="E45" s="465" t="s">
        <v>2022</v>
      </c>
      <c r="F45" s="466" t="s">
        <v>32</v>
      </c>
      <c r="G45" s="308" t="s">
        <v>2023</v>
      </c>
      <c r="H45" s="310"/>
      <c r="I45" s="310"/>
      <c r="J45" s="467"/>
      <c r="K45" s="467"/>
      <c r="L45" s="467"/>
      <c r="M45" s="467"/>
      <c r="N45" s="467"/>
      <c r="O45" s="467"/>
      <c r="P45" s="468"/>
      <c r="Q45" s="310"/>
      <c r="R45" s="310" t="s">
        <v>1848</v>
      </c>
      <c r="S45" s="310" t="s">
        <v>1849</v>
      </c>
      <c r="T45" s="310"/>
      <c r="U45" s="310"/>
      <c r="V45" s="469" t="s">
        <v>2024</v>
      </c>
      <c r="W45" s="470"/>
      <c r="X45" s="469"/>
      <c r="Y45" s="469" t="s">
        <v>2025</v>
      </c>
      <c r="Z45" s="469" t="s">
        <v>2026</v>
      </c>
      <c r="AA45" s="471"/>
      <c r="AB45" s="472"/>
      <c r="AC45" s="301" t="s">
        <v>1852</v>
      </c>
      <c r="AD45" s="391" t="s">
        <v>1811</v>
      </c>
      <c r="AE45" s="434">
        <v>2025</v>
      </c>
      <c r="AF45" s="473"/>
      <c r="AG45" s="473"/>
      <c r="AH45" s="474"/>
      <c r="AI45" s="175"/>
    </row>
    <row r="46" spans="1:35" ht="37.5" customHeight="1">
      <c r="A46" s="293">
        <v>42</v>
      </c>
      <c r="B46" s="241">
        <f t="shared" ca="1" si="2"/>
        <v>45735.52534</v>
      </c>
      <c r="C46" s="306" t="s">
        <v>251</v>
      </c>
      <c r="D46" s="63"/>
      <c r="E46" s="330" t="s">
        <v>2027</v>
      </c>
      <c r="F46" s="475" t="s">
        <v>32</v>
      </c>
      <c r="G46" s="403" t="s">
        <v>261</v>
      </c>
      <c r="H46" s="438"/>
      <c r="I46" s="438"/>
      <c r="J46" s="438"/>
      <c r="K46" s="438"/>
      <c r="L46" s="438"/>
      <c r="M46" s="438"/>
      <c r="N46" s="438"/>
      <c r="O46" s="438"/>
      <c r="P46" s="438"/>
      <c r="Q46" s="436"/>
      <c r="R46" s="438" t="s">
        <v>1857</v>
      </c>
      <c r="S46" s="438" t="s">
        <v>1849</v>
      </c>
      <c r="T46" s="476" t="s">
        <v>1858</v>
      </c>
      <c r="U46" s="438" t="s">
        <v>1859</v>
      </c>
      <c r="V46" s="439"/>
      <c r="W46" s="440">
        <v>76000000</v>
      </c>
      <c r="X46" s="477" t="s">
        <v>1998</v>
      </c>
      <c r="Y46" s="438"/>
      <c r="Z46" s="441"/>
      <c r="AA46" s="436" t="s">
        <v>1999</v>
      </c>
      <c r="AB46" s="478" t="s">
        <v>2000</v>
      </c>
      <c r="AC46" s="301" t="s">
        <v>1852</v>
      </c>
      <c r="AD46" s="479" t="s">
        <v>1811</v>
      </c>
      <c r="AE46" s="434">
        <v>2025</v>
      </c>
      <c r="AF46" s="182"/>
      <c r="AG46" s="182"/>
      <c r="AH46" s="480" t="s">
        <v>2028</v>
      </c>
      <c r="AI46" s="175"/>
    </row>
    <row r="47" spans="1:35" ht="37.5" customHeight="1">
      <c r="A47" s="293">
        <v>43</v>
      </c>
      <c r="B47" s="241">
        <v>45735.525337592597</v>
      </c>
      <c r="C47" s="295" t="s">
        <v>47</v>
      </c>
      <c r="D47" s="63"/>
      <c r="E47" s="330" t="s">
        <v>2029</v>
      </c>
      <c r="F47" s="330" t="s">
        <v>32</v>
      </c>
      <c r="G47" s="251" t="s">
        <v>260</v>
      </c>
      <c r="H47" s="252"/>
      <c r="I47" s="252"/>
      <c r="J47" s="252"/>
      <c r="K47" s="252"/>
      <c r="L47" s="252"/>
      <c r="M47" s="252"/>
      <c r="N47" s="252"/>
      <c r="O47" s="252"/>
      <c r="P47" s="252"/>
      <c r="Q47" s="250"/>
      <c r="R47" s="252" t="s">
        <v>1848</v>
      </c>
      <c r="S47" s="252" t="s">
        <v>1849</v>
      </c>
      <c r="T47" s="252" t="s">
        <v>1901</v>
      </c>
      <c r="U47" s="252"/>
      <c r="V47" s="351" t="s">
        <v>2030</v>
      </c>
      <c r="W47" s="429"/>
      <c r="X47" s="309" t="s">
        <v>2031</v>
      </c>
      <c r="Y47" s="252"/>
      <c r="Z47" s="360"/>
      <c r="AA47" s="250" t="s">
        <v>2032</v>
      </c>
      <c r="AB47" s="355">
        <v>44431</v>
      </c>
      <c r="AC47" s="301" t="s">
        <v>1852</v>
      </c>
      <c r="AD47" s="302" t="s">
        <v>1811</v>
      </c>
      <c r="AE47" s="182"/>
      <c r="AF47" s="481"/>
      <c r="AG47" s="481"/>
      <c r="AH47" s="370" t="s">
        <v>2033</v>
      </c>
      <c r="AI47" s="175"/>
    </row>
    <row r="48" spans="1:35" ht="37.5" customHeight="1">
      <c r="A48" s="293">
        <v>44</v>
      </c>
      <c r="B48" s="241">
        <f ca="1">IF(OR(E47&lt;&gt;"",F48&lt;&gt;""),IF(B48="",NOW(),B48),"")</f>
        <v>45735.52577</v>
      </c>
      <c r="C48" s="295" t="s">
        <v>47</v>
      </c>
      <c r="D48" s="63"/>
      <c r="E48" s="47" t="s">
        <v>2034</v>
      </c>
      <c r="F48" s="330" t="s">
        <v>32</v>
      </c>
      <c r="G48" s="251" t="s">
        <v>264</v>
      </c>
      <c r="H48" s="252" t="s">
        <v>531</v>
      </c>
      <c r="I48" s="252"/>
      <c r="J48" s="252"/>
      <c r="K48" s="252"/>
      <c r="L48" s="252"/>
      <c r="M48" s="252"/>
      <c r="N48" s="252"/>
      <c r="O48" s="252"/>
      <c r="P48" s="252"/>
      <c r="Q48" s="250"/>
      <c r="R48" s="335" t="s">
        <v>1848</v>
      </c>
      <c r="S48" s="335" t="s">
        <v>1849</v>
      </c>
      <c r="T48" s="438" t="s">
        <v>1901</v>
      </c>
      <c r="U48" s="252"/>
      <c r="V48" s="351" t="s">
        <v>2035</v>
      </c>
      <c r="W48" s="482"/>
      <c r="X48" s="309" t="s">
        <v>2036</v>
      </c>
      <c r="Y48" s="252"/>
      <c r="Z48" s="360"/>
      <c r="AA48" s="250" t="s">
        <v>2037</v>
      </c>
      <c r="AB48" s="454" t="s">
        <v>2038</v>
      </c>
      <c r="AC48" s="301" t="s">
        <v>1852</v>
      </c>
      <c r="AD48" s="479" t="s">
        <v>1811</v>
      </c>
      <c r="AE48" s="434">
        <v>2025</v>
      </c>
      <c r="AF48" s="481"/>
      <c r="AG48" s="481"/>
      <c r="AH48" s="483"/>
      <c r="AI48" s="175"/>
    </row>
    <row r="49" spans="1:35" ht="37.5" customHeight="1">
      <c r="A49" s="293">
        <v>45</v>
      </c>
      <c r="B49" s="241">
        <f t="shared" ref="B49:B56" ca="1" si="3">IF(OR(E49&lt;&gt;"",F49&lt;&gt;""),IF(B49="",NOW(),B49),"")</f>
        <v>45735.958140000002</v>
      </c>
      <c r="C49" s="295" t="s">
        <v>47</v>
      </c>
      <c r="D49" s="63"/>
      <c r="E49" s="330" t="s">
        <v>2039</v>
      </c>
      <c r="F49" s="330" t="s">
        <v>32</v>
      </c>
      <c r="G49" s="251" t="s">
        <v>33</v>
      </c>
      <c r="H49" s="252"/>
      <c r="I49" s="252"/>
      <c r="J49" s="252"/>
      <c r="K49" s="252"/>
      <c r="L49" s="252"/>
      <c r="M49" s="252"/>
      <c r="N49" s="252"/>
      <c r="O49" s="252"/>
      <c r="P49" s="252"/>
      <c r="Q49" s="250"/>
      <c r="R49" s="252" t="s">
        <v>1857</v>
      </c>
      <c r="S49" s="252" t="s">
        <v>1915</v>
      </c>
      <c r="T49" s="252" t="s">
        <v>1901</v>
      </c>
      <c r="U49" s="252" t="s">
        <v>1878</v>
      </c>
      <c r="V49" s="100" t="s">
        <v>2040</v>
      </c>
      <c r="W49" s="429">
        <v>61075000</v>
      </c>
      <c r="X49" s="413" t="s">
        <v>2040</v>
      </c>
      <c r="Y49" s="252"/>
      <c r="Z49" s="360"/>
      <c r="AA49" s="252"/>
      <c r="AB49" s="355"/>
      <c r="AC49" s="301" t="s">
        <v>1852</v>
      </c>
      <c r="AD49" s="399" t="s">
        <v>1811</v>
      </c>
      <c r="AE49" s="434">
        <v>2025</v>
      </c>
      <c r="AF49" s="481"/>
      <c r="AG49" s="481"/>
      <c r="AH49" s="182"/>
      <c r="AI49" s="175"/>
    </row>
    <row r="50" spans="1:35" ht="37.5" customHeight="1">
      <c r="A50" s="293">
        <v>46</v>
      </c>
      <c r="B50" s="241">
        <f t="shared" ca="1" si="3"/>
        <v>45869.499889999999</v>
      </c>
      <c r="C50" s="295" t="s">
        <v>480</v>
      </c>
      <c r="D50" s="63"/>
      <c r="E50" s="387" t="s">
        <v>2041</v>
      </c>
      <c r="F50" s="387" t="s">
        <v>32</v>
      </c>
      <c r="G50" s="331" t="s">
        <v>33</v>
      </c>
      <c r="H50" s="335"/>
      <c r="I50" s="335"/>
      <c r="J50" s="335"/>
      <c r="K50" s="335"/>
      <c r="L50" s="335"/>
      <c r="M50" s="335"/>
      <c r="N50" s="335"/>
      <c r="O50" s="335"/>
      <c r="P50" s="335"/>
      <c r="Q50" s="386"/>
      <c r="R50" s="252" t="s">
        <v>1857</v>
      </c>
      <c r="S50" s="252" t="s">
        <v>1915</v>
      </c>
      <c r="T50" s="252" t="s">
        <v>1901</v>
      </c>
      <c r="U50" s="252" t="s">
        <v>1878</v>
      </c>
      <c r="V50" s="388" t="s">
        <v>2042</v>
      </c>
      <c r="W50" s="352">
        <v>52528400</v>
      </c>
      <c r="X50" s="386" t="s">
        <v>2043</v>
      </c>
      <c r="Y50" s="335"/>
      <c r="Z50" s="354"/>
      <c r="AA50" s="335"/>
      <c r="AB50" s="390"/>
      <c r="AC50" s="301" t="s">
        <v>1852</v>
      </c>
      <c r="AD50" s="399" t="s">
        <v>1811</v>
      </c>
      <c r="AE50" s="434">
        <v>2025</v>
      </c>
      <c r="AF50" s="484"/>
      <c r="AG50" s="484"/>
      <c r="AH50" s="474"/>
      <c r="AI50" s="175"/>
    </row>
    <row r="51" spans="1:35" ht="37.5" customHeight="1">
      <c r="A51" s="293">
        <v>47</v>
      </c>
      <c r="B51" s="241">
        <f t="shared" ca="1" si="3"/>
        <v>45910.430690000001</v>
      </c>
      <c r="C51" s="485"/>
      <c r="D51" s="63"/>
      <c r="E51" s="250" t="s">
        <v>2044</v>
      </c>
      <c r="F51" s="250" t="s">
        <v>32</v>
      </c>
      <c r="G51" s="251" t="s">
        <v>260</v>
      </c>
      <c r="H51" s="252" t="s">
        <v>261</v>
      </c>
      <c r="I51" s="252" t="s">
        <v>128</v>
      </c>
      <c r="J51" s="252" t="s">
        <v>33</v>
      </c>
      <c r="K51" s="252" t="s">
        <v>263</v>
      </c>
      <c r="L51" s="252" t="s">
        <v>262</v>
      </c>
      <c r="M51" s="252" t="s">
        <v>264</v>
      </c>
      <c r="N51" s="252" t="s">
        <v>184</v>
      </c>
      <c r="O51" s="252"/>
      <c r="P51" s="252"/>
      <c r="Q51" s="250" t="s">
        <v>2045</v>
      </c>
      <c r="R51" s="252" t="s">
        <v>1857</v>
      </c>
      <c r="S51" s="252" t="s">
        <v>1849</v>
      </c>
      <c r="T51" s="449" t="s">
        <v>1858</v>
      </c>
      <c r="U51" s="252" t="s">
        <v>1859</v>
      </c>
      <c r="V51" s="351"/>
      <c r="W51" s="371">
        <v>92000000</v>
      </c>
      <c r="X51" s="450" t="s">
        <v>1995</v>
      </c>
      <c r="Y51" s="252"/>
      <c r="Z51" s="360"/>
      <c r="AA51" s="252"/>
      <c r="AB51" s="355"/>
      <c r="AC51" s="301" t="s">
        <v>1852</v>
      </c>
      <c r="AD51" s="302"/>
      <c r="AE51" s="434">
        <v>2025</v>
      </c>
      <c r="AF51" s="486"/>
      <c r="AG51" s="486"/>
      <c r="AH51" s="370" t="s">
        <v>2033</v>
      </c>
      <c r="AI51" s="175"/>
    </row>
    <row r="52" spans="1:35" ht="37.5" customHeight="1">
      <c r="A52" s="293">
        <v>48</v>
      </c>
      <c r="B52" s="241">
        <f t="shared" ca="1" si="3"/>
        <v>45933.347549999999</v>
      </c>
      <c r="C52" s="369" t="s">
        <v>326</v>
      </c>
      <c r="D52" s="63"/>
      <c r="E52" s="356" t="s">
        <v>2046</v>
      </c>
      <c r="F52" s="382" t="s">
        <v>32</v>
      </c>
      <c r="G52" s="252" t="s">
        <v>260</v>
      </c>
      <c r="H52" s="252"/>
      <c r="I52" s="252"/>
      <c r="J52" s="252"/>
      <c r="K52" s="252"/>
      <c r="L52" s="252"/>
      <c r="M52" s="252"/>
      <c r="N52" s="252"/>
      <c r="O52" s="252"/>
      <c r="P52" s="252"/>
      <c r="Q52" s="250" t="s">
        <v>2047</v>
      </c>
      <c r="R52" s="252" t="s">
        <v>2048</v>
      </c>
      <c r="S52" s="252" t="s">
        <v>1849</v>
      </c>
      <c r="T52" s="252" t="s">
        <v>1901</v>
      </c>
      <c r="U52" s="252" t="s">
        <v>1878</v>
      </c>
      <c r="V52" s="351" t="s">
        <v>2049</v>
      </c>
      <c r="W52" s="371">
        <v>54500000</v>
      </c>
      <c r="X52" s="250" t="s">
        <v>2050</v>
      </c>
      <c r="Y52" s="383" t="s">
        <v>2051</v>
      </c>
      <c r="Z52" s="360"/>
      <c r="AA52" s="252"/>
      <c r="AB52" s="355"/>
      <c r="AC52" s="301" t="s">
        <v>1852</v>
      </c>
      <c r="AD52" s="302" t="s">
        <v>1811</v>
      </c>
      <c r="AE52" s="434">
        <v>2025</v>
      </c>
      <c r="AF52" s="487"/>
      <c r="AG52" s="487"/>
      <c r="AH52" s="370"/>
      <c r="AI52" s="175"/>
    </row>
    <row r="53" spans="1:35" ht="37.5" customHeight="1">
      <c r="A53" s="293">
        <v>49</v>
      </c>
      <c r="B53" s="241">
        <f t="shared" ca="1" si="3"/>
        <v>45854.581200000001</v>
      </c>
      <c r="C53" s="369"/>
      <c r="D53" s="63"/>
      <c r="E53" s="250" t="s">
        <v>2052</v>
      </c>
      <c r="F53" s="250" t="s">
        <v>32</v>
      </c>
      <c r="G53" s="250" t="s">
        <v>439</v>
      </c>
      <c r="H53" s="250"/>
      <c r="I53" s="252"/>
      <c r="J53" s="252"/>
      <c r="K53" s="252"/>
      <c r="L53" s="252"/>
      <c r="M53" s="252"/>
      <c r="N53" s="252"/>
      <c r="O53" s="252"/>
      <c r="P53" s="252"/>
      <c r="Q53" s="250" t="s">
        <v>2053</v>
      </c>
      <c r="R53" s="252" t="s">
        <v>2048</v>
      </c>
      <c r="S53" s="252" t="s">
        <v>1849</v>
      </c>
      <c r="T53" s="252" t="s">
        <v>1901</v>
      </c>
      <c r="U53" s="252" t="s">
        <v>1878</v>
      </c>
      <c r="V53" s="351"/>
      <c r="W53" s="371"/>
      <c r="X53" s="250" t="s">
        <v>2054</v>
      </c>
      <c r="Y53" s="252"/>
      <c r="Z53" s="360"/>
      <c r="AA53" s="252"/>
      <c r="AB53" s="355"/>
      <c r="AC53" s="301" t="s">
        <v>1852</v>
      </c>
      <c r="AD53" s="302"/>
      <c r="AE53" s="182"/>
      <c r="AF53" s="488"/>
      <c r="AG53" s="488"/>
      <c r="AH53" s="370"/>
      <c r="AI53" s="175"/>
    </row>
    <row r="54" spans="1:35" ht="37.5" customHeight="1">
      <c r="A54" s="293">
        <v>50</v>
      </c>
      <c r="B54" s="241">
        <f t="shared" ca="1" si="3"/>
        <v>45981.677580000003</v>
      </c>
      <c r="C54" s="369" t="s">
        <v>650</v>
      </c>
      <c r="D54" s="63"/>
      <c r="E54" s="250" t="s">
        <v>2055</v>
      </c>
      <c r="F54" s="356" t="s">
        <v>201</v>
      </c>
      <c r="G54" s="252" t="s">
        <v>497</v>
      </c>
      <c r="H54" s="252"/>
      <c r="I54" s="252"/>
      <c r="J54" s="252"/>
      <c r="K54" s="252"/>
      <c r="L54" s="252"/>
      <c r="M54" s="252"/>
      <c r="N54" s="252"/>
      <c r="O54" s="252"/>
      <c r="P54" s="252"/>
      <c r="Q54" s="250"/>
      <c r="R54" s="375" t="s">
        <v>1848</v>
      </c>
      <c r="S54" s="375" t="s">
        <v>1915</v>
      </c>
      <c r="T54" s="252" t="s">
        <v>1901</v>
      </c>
      <c r="U54" s="252" t="s">
        <v>1878</v>
      </c>
      <c r="V54" s="351" t="s">
        <v>2056</v>
      </c>
      <c r="W54" s="371"/>
      <c r="X54" s="489" t="s">
        <v>2057</v>
      </c>
      <c r="Y54" s="252"/>
      <c r="Z54" s="372" t="s">
        <v>2058</v>
      </c>
      <c r="AA54" s="252"/>
      <c r="AB54" s="355"/>
      <c r="AC54" s="301" t="s">
        <v>1852</v>
      </c>
      <c r="AD54" s="302" t="s">
        <v>1811</v>
      </c>
      <c r="AE54" s="445">
        <v>2025</v>
      </c>
      <c r="AF54" s="483"/>
      <c r="AG54" s="483"/>
      <c r="AH54" s="490"/>
      <c r="AI54" s="175"/>
    </row>
    <row r="55" spans="1:35" ht="37.5" customHeight="1">
      <c r="A55" s="293">
        <v>51</v>
      </c>
      <c r="B55" s="241">
        <f t="shared" ca="1" si="3"/>
        <v>45981.689259999999</v>
      </c>
      <c r="C55" s="369" t="s">
        <v>650</v>
      </c>
      <c r="D55" s="63"/>
      <c r="E55" s="250" t="s">
        <v>1994</v>
      </c>
      <c r="F55" s="356" t="s">
        <v>32</v>
      </c>
      <c r="G55" s="252" t="s">
        <v>260</v>
      </c>
      <c r="H55" s="252" t="s">
        <v>264</v>
      </c>
      <c r="I55" s="252" t="s">
        <v>184</v>
      </c>
      <c r="J55" s="252" t="s">
        <v>374</v>
      </c>
      <c r="K55" s="252" t="s">
        <v>192</v>
      </c>
      <c r="L55" s="252" t="s">
        <v>276</v>
      </c>
      <c r="M55" s="252" t="s">
        <v>169</v>
      </c>
      <c r="N55" s="252" t="s">
        <v>229</v>
      </c>
      <c r="O55" s="252"/>
      <c r="P55" s="252"/>
      <c r="Q55" s="250" t="s">
        <v>2059</v>
      </c>
      <c r="R55" s="375" t="s">
        <v>1848</v>
      </c>
      <c r="S55" s="375" t="s">
        <v>1915</v>
      </c>
      <c r="T55" s="252" t="s">
        <v>1858</v>
      </c>
      <c r="U55" s="252" t="s">
        <v>1878</v>
      </c>
      <c r="V55" s="34" t="s">
        <v>2060</v>
      </c>
      <c r="W55" s="371"/>
      <c r="X55" s="489" t="s">
        <v>2057</v>
      </c>
      <c r="Y55" s="252"/>
      <c r="Z55" s="372" t="s">
        <v>2061</v>
      </c>
      <c r="AA55" s="252"/>
      <c r="AB55" s="355"/>
      <c r="AC55" s="301" t="s">
        <v>1852</v>
      </c>
      <c r="AD55" s="302" t="s">
        <v>1811</v>
      </c>
      <c r="AE55" s="182">
        <v>2025</v>
      </c>
      <c r="AF55" s="483"/>
      <c r="AG55" s="483"/>
      <c r="AH55" s="490" t="s">
        <v>2062</v>
      </c>
      <c r="AI55" s="175"/>
    </row>
    <row r="56" spans="1:35" ht="37.5" customHeight="1">
      <c r="A56" s="293">
        <v>52</v>
      </c>
      <c r="B56" s="241">
        <f t="shared" ca="1" si="3"/>
        <v>45981.860789999999</v>
      </c>
      <c r="C56" s="369" t="s">
        <v>650</v>
      </c>
      <c r="D56" s="63"/>
      <c r="E56" s="436" t="s">
        <v>2063</v>
      </c>
      <c r="F56" s="491" t="s">
        <v>67</v>
      </c>
      <c r="G56" s="438" t="s">
        <v>111</v>
      </c>
      <c r="H56" s="438" t="s">
        <v>192</v>
      </c>
      <c r="I56" s="438" t="s">
        <v>261</v>
      </c>
      <c r="J56" s="438"/>
      <c r="K56" s="438"/>
      <c r="L56" s="438"/>
      <c r="M56" s="438"/>
      <c r="N56" s="438"/>
      <c r="O56" s="438"/>
      <c r="P56" s="438"/>
      <c r="Q56" s="436" t="s">
        <v>2064</v>
      </c>
      <c r="R56" s="252" t="s">
        <v>1848</v>
      </c>
      <c r="S56" s="252" t="s">
        <v>1849</v>
      </c>
      <c r="T56" s="252" t="s">
        <v>1901</v>
      </c>
      <c r="U56" s="252" t="s">
        <v>1878</v>
      </c>
      <c r="V56" s="439" t="s">
        <v>2065</v>
      </c>
      <c r="W56" s="492"/>
      <c r="X56" s="436"/>
      <c r="Y56" s="493" t="s">
        <v>2066</v>
      </c>
      <c r="Z56" s="493" t="s">
        <v>2067</v>
      </c>
      <c r="AA56" s="438"/>
      <c r="AB56" s="442"/>
      <c r="AC56" s="301" t="s">
        <v>1852</v>
      </c>
      <c r="AD56" s="302" t="s">
        <v>1811</v>
      </c>
      <c r="AE56" s="182">
        <v>2025</v>
      </c>
      <c r="AF56" s="494"/>
      <c r="AG56" s="494"/>
      <c r="AH56" s="495"/>
      <c r="AI56" s="175"/>
    </row>
    <row r="57" spans="1:35" ht="37.5" customHeight="1">
      <c r="A57" s="293">
        <v>53</v>
      </c>
      <c r="B57" s="241">
        <v>45989</v>
      </c>
      <c r="C57" s="306" t="s">
        <v>650</v>
      </c>
      <c r="D57" s="63"/>
      <c r="E57" s="374" t="s">
        <v>2068</v>
      </c>
      <c r="F57" s="382" t="s">
        <v>58</v>
      </c>
      <c r="G57" s="252" t="s">
        <v>59</v>
      </c>
      <c r="H57" s="252" t="s">
        <v>192</v>
      </c>
      <c r="I57" s="252" t="s">
        <v>92</v>
      </c>
      <c r="J57" s="252" t="s">
        <v>103</v>
      </c>
      <c r="K57" s="252" t="s">
        <v>159</v>
      </c>
      <c r="L57" s="252" t="s">
        <v>273</v>
      </c>
      <c r="M57" s="252" t="s">
        <v>275</v>
      </c>
      <c r="N57" s="252" t="s">
        <v>102</v>
      </c>
      <c r="O57" s="252" t="s">
        <v>274</v>
      </c>
      <c r="P57" s="252" t="s">
        <v>276</v>
      </c>
      <c r="Q57" s="250" t="s">
        <v>2069</v>
      </c>
      <c r="R57" s="375" t="s">
        <v>1848</v>
      </c>
      <c r="S57" s="375" t="s">
        <v>1915</v>
      </c>
      <c r="T57" s="252" t="s">
        <v>1901</v>
      </c>
      <c r="U57" s="252"/>
      <c r="V57" s="34" t="s">
        <v>2070</v>
      </c>
      <c r="W57" s="371"/>
      <c r="X57" s="489" t="s">
        <v>2057</v>
      </c>
      <c r="Y57" s="252"/>
      <c r="Z57" s="496">
        <v>45876</v>
      </c>
      <c r="AA57" s="252"/>
      <c r="AB57" s="355"/>
      <c r="AC57" s="301" t="s">
        <v>1852</v>
      </c>
      <c r="AD57" s="302" t="s">
        <v>1811</v>
      </c>
      <c r="AE57" s="182"/>
      <c r="AF57" s="483"/>
      <c r="AG57" s="483"/>
      <c r="AH57" s="490" t="s">
        <v>2071</v>
      </c>
      <c r="AI57" s="175"/>
    </row>
    <row r="58" spans="1:35" ht="37.5" customHeight="1">
      <c r="A58" s="293">
        <v>54</v>
      </c>
      <c r="B58" s="241">
        <v>45989</v>
      </c>
      <c r="C58" s="306" t="s">
        <v>650</v>
      </c>
      <c r="D58" s="63"/>
      <c r="E58" s="250" t="s">
        <v>2072</v>
      </c>
      <c r="F58" s="382" t="s">
        <v>58</v>
      </c>
      <c r="G58" s="252" t="s">
        <v>59</v>
      </c>
      <c r="H58" s="252"/>
      <c r="I58" s="252"/>
      <c r="J58" s="252"/>
      <c r="K58" s="252"/>
      <c r="L58" s="252"/>
      <c r="M58" s="252"/>
      <c r="N58" s="252"/>
      <c r="O58" s="252"/>
      <c r="P58" s="252"/>
      <c r="Q58" s="250" t="s">
        <v>60</v>
      </c>
      <c r="R58" s="252" t="s">
        <v>1857</v>
      </c>
      <c r="S58" s="252" t="s">
        <v>1915</v>
      </c>
      <c r="T58" s="252" t="s">
        <v>1901</v>
      </c>
      <c r="U58" s="252" t="s">
        <v>1878</v>
      </c>
      <c r="V58" s="34" t="s">
        <v>2070</v>
      </c>
      <c r="W58" s="371" t="s">
        <v>2073</v>
      </c>
      <c r="X58" s="489"/>
      <c r="Y58" s="252"/>
      <c r="Z58" s="250"/>
      <c r="AA58" s="252"/>
      <c r="AB58" s="355"/>
      <c r="AC58" s="301" t="s">
        <v>1852</v>
      </c>
      <c r="AD58" s="302"/>
      <c r="AE58" s="182"/>
      <c r="AF58" s="483"/>
      <c r="AG58" s="183" t="s">
        <v>2074</v>
      </c>
      <c r="AH58" s="490" t="s">
        <v>2075</v>
      </c>
      <c r="AI58" s="175"/>
    </row>
    <row r="59" spans="1:35" ht="37.5" customHeight="1">
      <c r="A59" s="293">
        <v>55</v>
      </c>
      <c r="B59" s="241">
        <v>45989</v>
      </c>
      <c r="C59" s="306" t="s">
        <v>650</v>
      </c>
      <c r="D59" s="63"/>
      <c r="E59" s="497" t="s">
        <v>2076</v>
      </c>
      <c r="F59" s="382" t="s">
        <v>201</v>
      </c>
      <c r="G59" s="252" t="s">
        <v>94</v>
      </c>
      <c r="H59" s="252" t="s">
        <v>414</v>
      </c>
      <c r="I59" s="252" t="s">
        <v>374</v>
      </c>
      <c r="J59" s="252" t="s">
        <v>375</v>
      </c>
      <c r="K59" s="498" t="s">
        <v>2077</v>
      </c>
      <c r="L59" s="252" t="s">
        <v>376</v>
      </c>
      <c r="M59" s="252" t="s">
        <v>439</v>
      </c>
      <c r="N59" s="252" t="s">
        <v>497</v>
      </c>
      <c r="O59" s="252" t="s">
        <v>416</v>
      </c>
      <c r="P59" s="252" t="s">
        <v>415</v>
      </c>
      <c r="Q59" s="250" t="s">
        <v>2078</v>
      </c>
      <c r="R59" s="252" t="s">
        <v>1848</v>
      </c>
      <c r="S59" s="252" t="s">
        <v>1849</v>
      </c>
      <c r="T59" s="252" t="s">
        <v>1901</v>
      </c>
      <c r="U59" s="252" t="s">
        <v>1878</v>
      </c>
      <c r="V59" s="34" t="s">
        <v>2079</v>
      </c>
      <c r="W59" s="371">
        <v>35000000</v>
      </c>
      <c r="X59" s="489"/>
      <c r="Y59" s="252" t="s">
        <v>2080</v>
      </c>
      <c r="Z59" s="496">
        <v>45874</v>
      </c>
      <c r="AA59" s="252"/>
      <c r="AB59" s="355"/>
      <c r="AC59" s="301" t="s">
        <v>1852</v>
      </c>
      <c r="AD59" s="302" t="s">
        <v>1811</v>
      </c>
      <c r="AE59" s="182"/>
      <c r="AF59" s="483"/>
      <c r="AG59" s="483"/>
      <c r="AH59" s="490"/>
      <c r="AI59" s="175"/>
    </row>
    <row r="60" spans="1:35" ht="40.5" customHeight="1">
      <c r="A60" s="293">
        <v>56</v>
      </c>
      <c r="B60" s="241">
        <f t="shared" ref="B60:B71" ca="1" si="4">IF(OR(E60&lt;&gt;"",F60&lt;&gt;""),IF(B60="",NOW(),B60),"")</f>
        <v>45994.45448</v>
      </c>
      <c r="C60" s="306"/>
      <c r="D60" s="63"/>
      <c r="E60" s="250" t="s">
        <v>2081</v>
      </c>
      <c r="F60" s="252" t="s">
        <v>201</v>
      </c>
      <c r="G60" s="252" t="s">
        <v>237</v>
      </c>
      <c r="H60" s="252"/>
      <c r="I60" s="252"/>
      <c r="J60" s="252"/>
      <c r="K60" s="252"/>
      <c r="L60" s="252"/>
      <c r="M60" s="252"/>
      <c r="N60" s="252"/>
      <c r="O60" s="252"/>
      <c r="P60" s="252"/>
      <c r="Q60" s="250" t="s">
        <v>2082</v>
      </c>
      <c r="R60" s="252" t="s">
        <v>1857</v>
      </c>
      <c r="S60" s="252" t="s">
        <v>1915</v>
      </c>
      <c r="T60" s="252" t="s">
        <v>2083</v>
      </c>
      <c r="U60" s="252" t="s">
        <v>1878</v>
      </c>
      <c r="V60" s="34" t="s">
        <v>2084</v>
      </c>
      <c r="W60" s="371">
        <v>500850000</v>
      </c>
      <c r="X60" s="499" t="s">
        <v>2085</v>
      </c>
      <c r="Y60" s="252"/>
      <c r="Z60" s="250"/>
      <c r="AA60" s="252"/>
      <c r="AB60" s="500" t="s">
        <v>2086</v>
      </c>
      <c r="AC60" s="301" t="s">
        <v>1852</v>
      </c>
      <c r="AD60" s="302"/>
      <c r="AE60" s="182"/>
      <c r="AF60" s="483"/>
      <c r="AG60" s="501" t="s">
        <v>2087</v>
      </c>
      <c r="AH60" s="370" t="s">
        <v>2088</v>
      </c>
      <c r="AI60" s="175"/>
    </row>
    <row r="61" spans="1:35" ht="37.5" customHeight="1">
      <c r="A61" s="293">
        <v>57</v>
      </c>
      <c r="B61" s="241">
        <f t="shared" ca="1" si="4"/>
        <v>45994.548410000003</v>
      </c>
      <c r="C61" s="306" t="s">
        <v>182</v>
      </c>
      <c r="D61" s="63"/>
      <c r="E61" s="250" t="s">
        <v>2089</v>
      </c>
      <c r="F61" s="382" t="s">
        <v>67</v>
      </c>
      <c r="G61" s="252" t="s">
        <v>68</v>
      </c>
      <c r="H61" s="252"/>
      <c r="I61" s="252"/>
      <c r="J61" s="252"/>
      <c r="K61" s="252"/>
      <c r="L61" s="252"/>
      <c r="M61" s="252"/>
      <c r="N61" s="252"/>
      <c r="O61" s="252"/>
      <c r="P61" s="252"/>
      <c r="Q61" s="250"/>
      <c r="R61" s="252" t="s">
        <v>1857</v>
      </c>
      <c r="S61" s="252" t="s">
        <v>1915</v>
      </c>
      <c r="T61" s="252" t="s">
        <v>1901</v>
      </c>
      <c r="U61" s="252" t="s">
        <v>1878</v>
      </c>
      <c r="V61" s="351" t="s">
        <v>2090</v>
      </c>
      <c r="W61" s="371">
        <v>46288995</v>
      </c>
      <c r="X61" s="250"/>
      <c r="Y61" s="250"/>
      <c r="Z61" s="250"/>
      <c r="AA61" s="252"/>
      <c r="AB61" s="355"/>
      <c r="AC61" s="301" t="s">
        <v>1852</v>
      </c>
      <c r="AD61" s="302" t="s">
        <v>1811</v>
      </c>
      <c r="AE61" s="445"/>
      <c r="AF61" s="182"/>
      <c r="AG61" s="182"/>
      <c r="AH61" s="370"/>
      <c r="AI61" s="175"/>
    </row>
    <row r="62" spans="1:35" ht="37.5" customHeight="1">
      <c r="A62" s="293">
        <v>58</v>
      </c>
      <c r="B62" s="241">
        <f t="shared" ca="1" si="4"/>
        <v>45999.604789999998</v>
      </c>
      <c r="C62" s="306"/>
      <c r="D62" s="63"/>
      <c r="E62" s="436" t="s">
        <v>2091</v>
      </c>
      <c r="F62" s="252" t="s">
        <v>201</v>
      </c>
      <c r="G62" s="438" t="s">
        <v>193</v>
      </c>
      <c r="H62" s="252"/>
      <c r="I62" s="252"/>
      <c r="J62" s="252"/>
      <c r="K62" s="252"/>
      <c r="L62" s="252"/>
      <c r="M62" s="252"/>
      <c r="N62" s="252"/>
      <c r="O62" s="252"/>
      <c r="P62" s="252"/>
      <c r="Q62" s="436"/>
      <c r="R62" s="252" t="s">
        <v>1857</v>
      </c>
      <c r="S62" s="252" t="s">
        <v>1915</v>
      </c>
      <c r="T62" s="252" t="s">
        <v>1901</v>
      </c>
      <c r="U62" s="252" t="s">
        <v>1878</v>
      </c>
      <c r="V62" s="439" t="s">
        <v>2092</v>
      </c>
      <c r="W62" s="492"/>
      <c r="X62" s="436"/>
      <c r="Y62" s="436"/>
      <c r="Z62" s="436"/>
      <c r="AA62" s="438"/>
      <c r="AB62" s="442"/>
      <c r="AC62" s="301" t="s">
        <v>1852</v>
      </c>
      <c r="AD62" s="302"/>
      <c r="AE62" s="182"/>
      <c r="AF62" s="494"/>
      <c r="AG62" s="494"/>
      <c r="AH62" s="495"/>
      <c r="AI62" s="175"/>
    </row>
    <row r="63" spans="1:35" ht="37.5" customHeight="1">
      <c r="A63" s="293">
        <v>59</v>
      </c>
      <c r="B63" s="241">
        <f t="shared" ca="1" si="4"/>
        <v>46001.769560000001</v>
      </c>
      <c r="C63" s="306" t="s">
        <v>182</v>
      </c>
      <c r="D63" s="63"/>
      <c r="E63" s="436" t="s">
        <v>2093</v>
      </c>
      <c r="F63" s="382" t="s">
        <v>67</v>
      </c>
      <c r="G63" s="252" t="s">
        <v>68</v>
      </c>
      <c r="H63" s="335"/>
      <c r="I63" s="335"/>
      <c r="J63" s="335"/>
      <c r="K63" s="335"/>
      <c r="L63" s="335"/>
      <c r="M63" s="335"/>
      <c r="N63" s="335"/>
      <c r="O63" s="335"/>
      <c r="P63" s="335"/>
      <c r="Q63" s="436"/>
      <c r="R63" s="252" t="s">
        <v>1857</v>
      </c>
      <c r="S63" s="252" t="s">
        <v>1915</v>
      </c>
      <c r="T63" s="252" t="s">
        <v>1901</v>
      </c>
      <c r="U63" s="252" t="s">
        <v>1878</v>
      </c>
      <c r="V63" s="439" t="s">
        <v>2094</v>
      </c>
      <c r="W63" s="492">
        <v>1502059500</v>
      </c>
      <c r="X63" s="436"/>
      <c r="Y63" s="436"/>
      <c r="Z63" s="436"/>
      <c r="AA63" s="438"/>
      <c r="AB63" s="442"/>
      <c r="AC63" s="301" t="s">
        <v>1852</v>
      </c>
      <c r="AD63" s="302" t="s">
        <v>1811</v>
      </c>
      <c r="AE63" s="182"/>
      <c r="AF63" s="494"/>
      <c r="AG63" s="494"/>
      <c r="AH63" s="495"/>
      <c r="AI63" s="175"/>
    </row>
    <row r="64" spans="1:35" ht="37.5" customHeight="1">
      <c r="A64" s="293">
        <v>60</v>
      </c>
      <c r="B64" s="241" t="str">
        <f t="shared" ca="1" si="4"/>
        <v/>
      </c>
      <c r="C64" s="369"/>
      <c r="D64" s="63"/>
      <c r="E64" s="250"/>
      <c r="F64" s="252"/>
      <c r="G64" s="252"/>
      <c r="H64" s="252"/>
      <c r="I64" s="252"/>
      <c r="J64" s="252"/>
      <c r="K64" s="252"/>
      <c r="L64" s="252"/>
      <c r="M64" s="252"/>
      <c r="N64" s="252"/>
      <c r="O64" s="252"/>
      <c r="P64" s="252"/>
      <c r="Q64" s="250"/>
      <c r="R64" s="252"/>
      <c r="S64" s="252"/>
      <c r="T64" s="252"/>
      <c r="U64" s="252"/>
      <c r="V64" s="351"/>
      <c r="W64" s="371"/>
      <c r="X64" s="252"/>
      <c r="Y64" s="252"/>
      <c r="Z64" s="360"/>
      <c r="AA64" s="252"/>
      <c r="AB64" s="355"/>
      <c r="AC64" s="301" t="s">
        <v>1852</v>
      </c>
      <c r="AD64" s="502"/>
      <c r="AE64" s="503"/>
      <c r="AF64" s="503"/>
      <c r="AG64" s="503"/>
      <c r="AH64" s="504"/>
    </row>
    <row r="65" spans="1:34" ht="37.5" customHeight="1">
      <c r="A65" s="293">
        <v>61</v>
      </c>
      <c r="B65" s="241" t="str">
        <f t="shared" ca="1" si="4"/>
        <v/>
      </c>
      <c r="C65" s="369"/>
      <c r="D65" s="63"/>
      <c r="E65" s="250"/>
      <c r="F65" s="252"/>
      <c r="G65" s="252"/>
      <c r="H65" s="252"/>
      <c r="I65" s="252"/>
      <c r="J65" s="252"/>
      <c r="K65" s="252"/>
      <c r="L65" s="252"/>
      <c r="M65" s="252"/>
      <c r="N65" s="252"/>
      <c r="O65" s="252"/>
      <c r="P65" s="252"/>
      <c r="Q65" s="250"/>
      <c r="R65" s="252"/>
      <c r="S65" s="252"/>
      <c r="T65" s="252"/>
      <c r="U65" s="252"/>
      <c r="V65" s="351"/>
      <c r="W65" s="371"/>
      <c r="X65" s="252"/>
      <c r="Y65" s="252"/>
      <c r="Z65" s="360"/>
      <c r="AA65" s="252"/>
      <c r="AB65" s="355"/>
      <c r="AC65" s="301" t="s">
        <v>1852</v>
      </c>
      <c r="AD65" s="502"/>
      <c r="AE65" s="503"/>
      <c r="AF65" s="503"/>
      <c r="AG65" s="503"/>
      <c r="AH65" s="504"/>
    </row>
    <row r="66" spans="1:34" ht="37.5" customHeight="1">
      <c r="A66" s="293">
        <v>62</v>
      </c>
      <c r="B66" s="241" t="str">
        <f t="shared" ca="1" si="4"/>
        <v/>
      </c>
      <c r="C66" s="369"/>
      <c r="D66" s="63"/>
      <c r="E66" s="250"/>
      <c r="F66" s="252"/>
      <c r="G66" s="252"/>
      <c r="H66" s="252"/>
      <c r="I66" s="252"/>
      <c r="J66" s="252"/>
      <c r="K66" s="252"/>
      <c r="L66" s="252"/>
      <c r="M66" s="252"/>
      <c r="N66" s="252"/>
      <c r="O66" s="252"/>
      <c r="P66" s="252"/>
      <c r="Q66" s="250"/>
      <c r="R66" s="252"/>
      <c r="S66" s="252"/>
      <c r="T66" s="252"/>
      <c r="U66" s="252"/>
      <c r="V66" s="351"/>
      <c r="W66" s="371"/>
      <c r="X66" s="252"/>
      <c r="Y66" s="252"/>
      <c r="Z66" s="360"/>
      <c r="AA66" s="252"/>
      <c r="AB66" s="355"/>
      <c r="AC66" s="301" t="s">
        <v>1852</v>
      </c>
      <c r="AD66" s="502"/>
      <c r="AE66" s="503"/>
      <c r="AF66" s="503"/>
      <c r="AG66" s="503"/>
      <c r="AH66" s="504"/>
    </row>
    <row r="67" spans="1:34" ht="37.5" customHeight="1">
      <c r="A67" s="293">
        <v>63</v>
      </c>
      <c r="B67" s="241" t="str">
        <f t="shared" ca="1" si="4"/>
        <v/>
      </c>
      <c r="C67" s="369"/>
      <c r="D67" s="63"/>
      <c r="E67" s="250"/>
      <c r="F67" s="252"/>
      <c r="G67" s="252"/>
      <c r="H67" s="252"/>
      <c r="I67" s="252"/>
      <c r="J67" s="252"/>
      <c r="K67" s="252"/>
      <c r="L67" s="252"/>
      <c r="M67" s="252"/>
      <c r="N67" s="252"/>
      <c r="O67" s="252"/>
      <c r="P67" s="252"/>
      <c r="Q67" s="250"/>
      <c r="R67" s="252"/>
      <c r="S67" s="252"/>
      <c r="T67" s="252"/>
      <c r="U67" s="252"/>
      <c r="V67" s="351"/>
      <c r="W67" s="371"/>
      <c r="X67" s="252"/>
      <c r="Y67" s="252"/>
      <c r="Z67" s="360"/>
      <c r="AA67" s="252"/>
      <c r="AB67" s="355"/>
      <c r="AC67" s="301" t="s">
        <v>1852</v>
      </c>
      <c r="AD67" s="502"/>
      <c r="AE67" s="503"/>
      <c r="AF67" s="503"/>
      <c r="AG67" s="503"/>
      <c r="AH67" s="504"/>
    </row>
    <row r="68" spans="1:34" ht="37.5" customHeight="1">
      <c r="A68" s="293">
        <v>64</v>
      </c>
      <c r="B68" s="241" t="str">
        <f t="shared" ca="1" si="4"/>
        <v/>
      </c>
      <c r="C68" s="369"/>
      <c r="D68" s="63"/>
      <c r="E68" s="250"/>
      <c r="F68" s="252"/>
      <c r="G68" s="252"/>
      <c r="H68" s="252"/>
      <c r="I68" s="252"/>
      <c r="J68" s="252"/>
      <c r="K68" s="252"/>
      <c r="L68" s="252"/>
      <c r="M68" s="252"/>
      <c r="N68" s="252"/>
      <c r="O68" s="252"/>
      <c r="P68" s="252"/>
      <c r="Q68" s="250"/>
      <c r="R68" s="252"/>
      <c r="S68" s="252"/>
      <c r="T68" s="252"/>
      <c r="U68" s="252"/>
      <c r="V68" s="351"/>
      <c r="W68" s="371"/>
      <c r="X68" s="252"/>
      <c r="Y68" s="252"/>
      <c r="Z68" s="360"/>
      <c r="AA68" s="252"/>
      <c r="AB68" s="355"/>
      <c r="AC68" s="301" t="s">
        <v>1852</v>
      </c>
      <c r="AD68" s="502"/>
      <c r="AE68" s="503"/>
      <c r="AF68" s="503"/>
      <c r="AG68" s="503"/>
      <c r="AH68" s="504"/>
    </row>
    <row r="69" spans="1:34" ht="37.5" customHeight="1">
      <c r="A69" s="293">
        <v>65</v>
      </c>
      <c r="B69" s="241" t="str">
        <f t="shared" ca="1" si="4"/>
        <v/>
      </c>
      <c r="C69" s="369"/>
      <c r="D69" s="63"/>
      <c r="E69" s="250"/>
      <c r="F69" s="252"/>
      <c r="G69" s="252"/>
      <c r="H69" s="252"/>
      <c r="I69" s="252"/>
      <c r="J69" s="252"/>
      <c r="K69" s="252"/>
      <c r="L69" s="252"/>
      <c r="M69" s="252"/>
      <c r="N69" s="252"/>
      <c r="O69" s="252"/>
      <c r="P69" s="252"/>
      <c r="Q69" s="250"/>
      <c r="R69" s="252"/>
      <c r="S69" s="252"/>
      <c r="T69" s="252"/>
      <c r="U69" s="252"/>
      <c r="V69" s="351"/>
      <c r="W69" s="371"/>
      <c r="X69" s="252"/>
      <c r="Y69" s="252"/>
      <c r="Z69" s="360"/>
      <c r="AA69" s="252"/>
      <c r="AB69" s="355"/>
      <c r="AC69" s="301" t="s">
        <v>1852</v>
      </c>
      <c r="AD69" s="502"/>
      <c r="AE69" s="503"/>
      <c r="AF69" s="503"/>
      <c r="AG69" s="503"/>
      <c r="AH69" s="504"/>
    </row>
    <row r="70" spans="1:34" ht="37.5" customHeight="1">
      <c r="A70" s="293">
        <v>66</v>
      </c>
      <c r="B70" s="241" t="str">
        <f t="shared" ca="1" si="4"/>
        <v/>
      </c>
      <c r="C70" s="369"/>
      <c r="D70" s="63"/>
      <c r="E70" s="250"/>
      <c r="F70" s="252"/>
      <c r="G70" s="252"/>
      <c r="H70" s="252"/>
      <c r="I70" s="252"/>
      <c r="J70" s="252"/>
      <c r="K70" s="252"/>
      <c r="L70" s="252"/>
      <c r="M70" s="252"/>
      <c r="N70" s="252"/>
      <c r="O70" s="252"/>
      <c r="P70" s="252"/>
      <c r="Q70" s="250"/>
      <c r="R70" s="252"/>
      <c r="S70" s="252"/>
      <c r="T70" s="252"/>
      <c r="U70" s="252"/>
      <c r="V70" s="351"/>
      <c r="W70" s="371"/>
      <c r="X70" s="252"/>
      <c r="Y70" s="252"/>
      <c r="Z70" s="360"/>
      <c r="AA70" s="252"/>
      <c r="AB70" s="355"/>
      <c r="AC70" s="301" t="s">
        <v>1852</v>
      </c>
      <c r="AD70" s="502"/>
      <c r="AE70" s="503"/>
      <c r="AF70" s="503"/>
      <c r="AG70" s="503"/>
      <c r="AH70" s="504"/>
    </row>
    <row r="71" spans="1:34" ht="37.5" customHeight="1">
      <c r="A71" s="293">
        <v>67</v>
      </c>
      <c r="B71" s="241" t="str">
        <f t="shared" ca="1" si="4"/>
        <v/>
      </c>
      <c r="C71" s="369"/>
      <c r="D71" s="63"/>
      <c r="E71" s="505"/>
      <c r="F71" s="506"/>
      <c r="G71" s="506"/>
      <c r="H71" s="506"/>
      <c r="I71" s="506"/>
      <c r="J71" s="506"/>
      <c r="K71" s="506"/>
      <c r="L71" s="506"/>
      <c r="M71" s="506"/>
      <c r="N71" s="506"/>
      <c r="O71" s="506"/>
      <c r="P71" s="506"/>
      <c r="Q71" s="505"/>
      <c r="R71" s="506"/>
      <c r="S71" s="506"/>
      <c r="T71" s="506"/>
      <c r="U71" s="506"/>
      <c r="V71" s="507"/>
      <c r="W71" s="508"/>
      <c r="X71" s="506"/>
      <c r="Y71" s="506"/>
      <c r="Z71" s="509"/>
      <c r="AA71" s="506"/>
      <c r="AB71" s="510"/>
      <c r="AC71" s="301" t="s">
        <v>1852</v>
      </c>
      <c r="AD71" s="511"/>
      <c r="AE71" s="512"/>
      <c r="AF71" s="512"/>
      <c r="AG71" s="512"/>
      <c r="AH71" s="513"/>
    </row>
    <row r="72" spans="1:34" ht="37.5" customHeight="1">
      <c r="A72" s="227"/>
      <c r="B72" s="227"/>
      <c r="C72" s="227"/>
      <c r="D72" s="227"/>
      <c r="E72" s="227"/>
      <c r="F72" s="227"/>
      <c r="G72" s="227"/>
      <c r="H72" s="227"/>
      <c r="I72" s="227"/>
      <c r="J72" s="227"/>
      <c r="K72" s="227"/>
      <c r="L72" s="227"/>
      <c r="M72" s="227"/>
      <c r="N72" s="227"/>
      <c r="O72" s="227"/>
      <c r="P72" s="227"/>
      <c r="Q72" s="227"/>
      <c r="R72" s="227"/>
      <c r="S72" s="227"/>
      <c r="T72" s="227"/>
      <c r="U72" s="227"/>
      <c r="V72" s="514"/>
      <c r="W72" s="514"/>
      <c r="X72" s="227"/>
      <c r="Y72" s="227"/>
      <c r="Z72" s="227"/>
      <c r="AA72" s="227"/>
      <c r="AB72" s="227"/>
      <c r="AE72" s="275"/>
      <c r="AF72" s="275"/>
      <c r="AG72" s="275"/>
      <c r="AH72" s="275"/>
    </row>
    <row r="73" spans="1:34" ht="15.75" customHeight="1">
      <c r="A73" s="227"/>
      <c r="B73" s="227"/>
      <c r="C73" s="227"/>
      <c r="D73" s="227"/>
      <c r="E73" s="227"/>
      <c r="F73" s="227"/>
      <c r="G73" s="227"/>
      <c r="H73" s="227"/>
      <c r="I73" s="227"/>
      <c r="J73" s="227"/>
      <c r="K73" s="227"/>
      <c r="L73" s="227"/>
      <c r="M73" s="227"/>
      <c r="N73" s="227"/>
      <c r="O73" s="227"/>
      <c r="P73" s="227"/>
      <c r="Q73" s="227"/>
      <c r="R73" s="227"/>
      <c r="S73" s="227"/>
      <c r="T73" s="227"/>
      <c r="U73" s="227"/>
      <c r="V73" s="227"/>
      <c r="W73" s="515"/>
      <c r="X73" s="227"/>
      <c r="Y73" s="227"/>
      <c r="Z73" s="227"/>
      <c r="AA73" s="227"/>
      <c r="AB73" s="227"/>
      <c r="AE73" s="275"/>
      <c r="AF73" s="275"/>
      <c r="AG73" s="275"/>
      <c r="AH73" s="275"/>
    </row>
    <row r="74" spans="1:34" ht="15.75" customHeight="1">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c r="AE74" s="275"/>
      <c r="AF74" s="275"/>
      <c r="AG74" s="275"/>
      <c r="AH74" s="275"/>
    </row>
    <row r="75" spans="1:34" ht="15.75" customHeight="1">
      <c r="W75" s="175"/>
      <c r="X75" s="175"/>
      <c r="Y75" s="175"/>
      <c r="AE75" s="275"/>
      <c r="AF75" s="275"/>
      <c r="AG75" s="275"/>
      <c r="AH75" s="275"/>
    </row>
    <row r="76" spans="1:34" ht="16.5" customHeight="1">
      <c r="A76" s="293"/>
      <c r="B76" s="241" t="str">
        <f t="shared" ref="B76:B84" ca="1" si="5">IF(OR(E76&lt;&gt;"",F76&lt;&gt;""),IF(B76="",NOW(),B76),"")</f>
        <v/>
      </c>
      <c r="C76" s="369"/>
      <c r="D76" s="63"/>
      <c r="E76" s="250"/>
      <c r="F76" s="356"/>
      <c r="G76" s="252"/>
      <c r="H76" s="252"/>
      <c r="I76" s="252"/>
      <c r="J76" s="252"/>
      <c r="K76" s="252"/>
      <c r="L76" s="252"/>
      <c r="M76" s="252"/>
      <c r="N76" s="252"/>
      <c r="O76" s="252"/>
      <c r="P76" s="252"/>
      <c r="Q76" s="250"/>
      <c r="R76" s="375"/>
      <c r="S76" s="375"/>
      <c r="T76" s="252"/>
      <c r="U76" s="252"/>
      <c r="V76" s="34"/>
      <c r="W76" s="371"/>
      <c r="X76" s="489"/>
      <c r="Y76" s="252"/>
      <c r="Z76" s="250"/>
      <c r="AA76" s="252"/>
      <c r="AB76" s="355"/>
      <c r="AC76" s="301" t="s">
        <v>1852</v>
      </c>
      <c r="AD76" s="302"/>
      <c r="AE76" s="182"/>
      <c r="AF76" s="483"/>
      <c r="AG76" s="483"/>
      <c r="AH76" s="490"/>
    </row>
    <row r="77" spans="1:34" ht="16.5" customHeight="1">
      <c r="A77" s="293"/>
      <c r="B77" s="241" t="str">
        <f t="shared" ca="1" si="5"/>
        <v/>
      </c>
      <c r="C77" s="369"/>
      <c r="D77" s="63"/>
      <c r="E77" s="250"/>
      <c r="F77" s="356"/>
      <c r="G77" s="252"/>
      <c r="H77" s="252"/>
      <c r="I77" s="252"/>
      <c r="J77" s="252"/>
      <c r="K77" s="252"/>
      <c r="L77" s="252"/>
      <c r="M77" s="252"/>
      <c r="N77" s="252"/>
      <c r="O77" s="252"/>
      <c r="P77" s="252"/>
      <c r="Q77" s="250"/>
      <c r="R77" s="375"/>
      <c r="S77" s="375"/>
      <c r="T77" s="252"/>
      <c r="U77" s="252"/>
      <c r="V77" s="34"/>
      <c r="W77" s="371"/>
      <c r="X77" s="489"/>
      <c r="Y77" s="252"/>
      <c r="Z77" s="250"/>
      <c r="AA77" s="252"/>
      <c r="AB77" s="355"/>
      <c r="AC77" s="301" t="s">
        <v>1852</v>
      </c>
      <c r="AD77" s="302"/>
      <c r="AE77" s="182"/>
      <c r="AF77" s="483"/>
      <c r="AG77" s="483"/>
      <c r="AH77" s="490"/>
    </row>
    <row r="78" spans="1:34" ht="16.5" customHeight="1">
      <c r="A78" s="293"/>
      <c r="B78" s="241" t="str">
        <f t="shared" ca="1" si="5"/>
        <v/>
      </c>
      <c r="C78" s="369"/>
      <c r="D78" s="63"/>
      <c r="E78" s="250"/>
      <c r="F78" s="356"/>
      <c r="G78" s="252"/>
      <c r="H78" s="252"/>
      <c r="I78" s="252"/>
      <c r="J78" s="252"/>
      <c r="K78" s="252"/>
      <c r="L78" s="252"/>
      <c r="M78" s="252"/>
      <c r="N78" s="252"/>
      <c r="O78" s="252"/>
      <c r="P78" s="252"/>
      <c r="Q78" s="250"/>
      <c r="R78" s="375"/>
      <c r="S78" s="375"/>
      <c r="T78" s="252"/>
      <c r="U78" s="252"/>
      <c r="V78" s="34"/>
      <c r="W78" s="371"/>
      <c r="X78" s="489"/>
      <c r="Y78" s="252"/>
      <c r="Z78" s="250"/>
      <c r="AA78" s="252"/>
      <c r="AB78" s="355"/>
      <c r="AC78" s="301" t="s">
        <v>1852</v>
      </c>
      <c r="AD78" s="302"/>
      <c r="AE78" s="182"/>
      <c r="AF78" s="483"/>
      <c r="AG78" s="483"/>
      <c r="AH78" s="490"/>
    </row>
    <row r="79" spans="1:34" ht="15.75" customHeight="1">
      <c r="A79" s="293"/>
      <c r="B79" s="241" t="str">
        <f t="shared" ca="1" si="5"/>
        <v/>
      </c>
      <c r="C79" s="369"/>
      <c r="D79" s="63"/>
      <c r="E79" s="250"/>
      <c r="F79" s="356"/>
      <c r="G79" s="252"/>
      <c r="H79" s="252"/>
      <c r="I79" s="252"/>
      <c r="J79" s="252"/>
      <c r="K79" s="252"/>
      <c r="L79" s="252"/>
      <c r="M79" s="252"/>
      <c r="N79" s="252"/>
      <c r="O79" s="252"/>
      <c r="P79" s="252"/>
      <c r="Q79" s="250"/>
      <c r="R79" s="375"/>
      <c r="S79" s="375"/>
      <c r="T79" s="252"/>
      <c r="U79" s="252"/>
      <c r="V79" s="34"/>
      <c r="W79" s="371"/>
      <c r="X79" s="489"/>
      <c r="Y79" s="252"/>
      <c r="Z79" s="250"/>
      <c r="AA79" s="252"/>
      <c r="AB79" s="355"/>
      <c r="AC79" s="301" t="s">
        <v>1852</v>
      </c>
      <c r="AD79" s="302"/>
      <c r="AE79" s="182"/>
      <c r="AF79" s="483"/>
      <c r="AG79" s="483"/>
      <c r="AH79" s="490"/>
    </row>
    <row r="80" spans="1:34" ht="15.75" customHeight="1">
      <c r="A80" s="293"/>
      <c r="B80" s="241" t="str">
        <f t="shared" ca="1" si="5"/>
        <v/>
      </c>
      <c r="C80" s="369"/>
      <c r="D80" s="63"/>
      <c r="E80" s="250"/>
      <c r="F80" s="356"/>
      <c r="G80" s="252"/>
      <c r="H80" s="252"/>
      <c r="I80" s="252"/>
      <c r="J80" s="252"/>
      <c r="K80" s="252"/>
      <c r="L80" s="252"/>
      <c r="M80" s="252"/>
      <c r="N80" s="252"/>
      <c r="O80" s="252"/>
      <c r="P80" s="252"/>
      <c r="Q80" s="250"/>
      <c r="R80" s="375"/>
      <c r="S80" s="375"/>
      <c r="T80" s="252"/>
      <c r="U80" s="252"/>
      <c r="V80" s="34"/>
      <c r="W80" s="371"/>
      <c r="X80" s="489"/>
      <c r="Y80" s="252"/>
      <c r="Z80" s="250"/>
      <c r="AA80" s="252"/>
      <c r="AB80" s="355"/>
      <c r="AC80" s="301" t="s">
        <v>1852</v>
      </c>
      <c r="AD80" s="302"/>
      <c r="AE80" s="182"/>
      <c r="AF80" s="483"/>
      <c r="AG80" s="483"/>
      <c r="AH80" s="490"/>
    </row>
    <row r="81" spans="1:34" ht="15.75" customHeight="1">
      <c r="A81" s="293"/>
      <c r="B81" s="241" t="str">
        <f t="shared" ca="1" si="5"/>
        <v/>
      </c>
      <c r="C81" s="369"/>
      <c r="D81" s="63"/>
      <c r="E81" s="250"/>
      <c r="F81" s="356"/>
      <c r="G81" s="252"/>
      <c r="H81" s="252"/>
      <c r="I81" s="252"/>
      <c r="J81" s="252"/>
      <c r="K81" s="252"/>
      <c r="L81" s="252"/>
      <c r="M81" s="252"/>
      <c r="N81" s="252"/>
      <c r="O81" s="252"/>
      <c r="P81" s="252"/>
      <c r="Q81" s="250"/>
      <c r="R81" s="375"/>
      <c r="S81" s="375"/>
      <c r="T81" s="252"/>
      <c r="U81" s="252"/>
      <c r="V81" s="34"/>
      <c r="W81" s="371"/>
      <c r="X81" s="489"/>
      <c r="Y81" s="252"/>
      <c r="Z81" s="250"/>
      <c r="AA81" s="252"/>
      <c r="AB81" s="355"/>
      <c r="AC81" s="301" t="s">
        <v>1852</v>
      </c>
      <c r="AD81" s="302"/>
      <c r="AE81" s="182"/>
      <c r="AF81" s="483"/>
      <c r="AG81" s="483"/>
      <c r="AH81" s="490"/>
    </row>
    <row r="82" spans="1:34" ht="15.75" customHeight="1">
      <c r="A82" s="293"/>
      <c r="B82" s="241" t="str">
        <f t="shared" ca="1" si="5"/>
        <v/>
      </c>
      <c r="C82" s="369"/>
      <c r="D82" s="63"/>
      <c r="E82" s="250"/>
      <c r="F82" s="356"/>
      <c r="G82" s="252"/>
      <c r="H82" s="252"/>
      <c r="I82" s="252"/>
      <c r="J82" s="252"/>
      <c r="K82" s="252"/>
      <c r="L82" s="252"/>
      <c r="M82" s="252"/>
      <c r="N82" s="252"/>
      <c r="O82" s="252"/>
      <c r="P82" s="252"/>
      <c r="Q82" s="250"/>
      <c r="R82" s="375"/>
      <c r="S82" s="375"/>
      <c r="T82" s="252"/>
      <c r="U82" s="252"/>
      <c r="V82" s="34"/>
      <c r="W82" s="371"/>
      <c r="X82" s="489"/>
      <c r="Y82" s="252"/>
      <c r="Z82" s="250"/>
      <c r="AA82" s="252"/>
      <c r="AB82" s="355"/>
      <c r="AC82" s="301" t="s">
        <v>1852</v>
      </c>
      <c r="AD82" s="302"/>
      <c r="AE82" s="182"/>
      <c r="AF82" s="483"/>
      <c r="AG82" s="483"/>
      <c r="AH82" s="490"/>
    </row>
    <row r="83" spans="1:34" ht="15.75" customHeight="1">
      <c r="A83" s="293"/>
      <c r="B83" s="241" t="str">
        <f t="shared" ca="1" si="5"/>
        <v/>
      </c>
      <c r="C83" s="369"/>
      <c r="D83" s="63"/>
      <c r="E83" s="250"/>
      <c r="F83" s="356"/>
      <c r="G83" s="252"/>
      <c r="H83" s="252"/>
      <c r="I83" s="252"/>
      <c r="J83" s="252"/>
      <c r="K83" s="252"/>
      <c r="L83" s="252"/>
      <c r="M83" s="252"/>
      <c r="N83" s="252"/>
      <c r="O83" s="252"/>
      <c r="P83" s="252"/>
      <c r="Q83" s="250"/>
      <c r="R83" s="375"/>
      <c r="S83" s="375"/>
      <c r="T83" s="252"/>
      <c r="U83" s="252"/>
      <c r="V83" s="34"/>
      <c r="W83" s="371"/>
      <c r="X83" s="489"/>
      <c r="Y83" s="252"/>
      <c r="Z83" s="250"/>
      <c r="AA83" s="252"/>
      <c r="AB83" s="355"/>
      <c r="AC83" s="301" t="s">
        <v>1852</v>
      </c>
      <c r="AD83" s="302"/>
      <c r="AE83" s="182"/>
      <c r="AF83" s="483"/>
      <c r="AG83" s="483"/>
      <c r="AH83" s="490"/>
    </row>
    <row r="84" spans="1:34" ht="15.75" customHeight="1">
      <c r="A84" s="293"/>
      <c r="B84" s="241" t="str">
        <f t="shared" ca="1" si="5"/>
        <v/>
      </c>
      <c r="C84" s="369"/>
      <c r="D84" s="63"/>
      <c r="E84" s="250"/>
      <c r="F84" s="356"/>
      <c r="G84" s="252"/>
      <c r="H84" s="252"/>
      <c r="I84" s="252"/>
      <c r="J84" s="252"/>
      <c r="K84" s="252"/>
      <c r="L84" s="252"/>
      <c r="M84" s="252"/>
      <c r="N84" s="252"/>
      <c r="O84" s="252"/>
      <c r="P84" s="252"/>
      <c r="Q84" s="250"/>
      <c r="R84" s="375"/>
      <c r="S84" s="375"/>
      <c r="T84" s="252"/>
      <c r="U84" s="252"/>
      <c r="V84" s="34"/>
      <c r="W84" s="371"/>
      <c r="X84" s="489"/>
      <c r="Y84" s="252"/>
      <c r="Z84" s="250"/>
      <c r="AA84" s="252"/>
      <c r="AB84" s="355"/>
      <c r="AC84" s="301" t="s">
        <v>1852</v>
      </c>
      <c r="AD84" s="302"/>
      <c r="AE84" s="182"/>
      <c r="AF84" s="483"/>
      <c r="AG84" s="483"/>
      <c r="AH84" s="490"/>
    </row>
    <row r="85" spans="1:34" ht="15.75" customHeight="1">
      <c r="E85" s="516"/>
      <c r="AE85" s="275"/>
      <c r="AF85" s="275"/>
      <c r="AG85" s="275"/>
      <c r="AH85" s="275"/>
    </row>
    <row r="86" spans="1:34" ht="15.75" customHeight="1">
      <c r="E86" s="516"/>
      <c r="AE86" s="275"/>
      <c r="AF86" s="275"/>
      <c r="AG86" s="275"/>
      <c r="AH86" s="275"/>
    </row>
    <row r="87" spans="1:34" ht="15.75" customHeight="1">
      <c r="E87" s="516"/>
      <c r="AE87" s="275"/>
      <c r="AF87" s="275"/>
      <c r="AG87" s="275"/>
      <c r="AH87" s="275"/>
    </row>
    <row r="88" spans="1:34" ht="15.75" customHeight="1">
      <c r="E88" s="516"/>
      <c r="AE88" s="275"/>
      <c r="AF88" s="275"/>
      <c r="AG88" s="275"/>
      <c r="AH88" s="275"/>
    </row>
    <row r="89" spans="1:34" ht="15.75" customHeight="1">
      <c r="E89" s="516"/>
      <c r="AE89" s="275"/>
      <c r="AF89" s="275"/>
      <c r="AG89" s="275"/>
      <c r="AH89" s="275"/>
    </row>
    <row r="90" spans="1:34" ht="15.75" customHeight="1">
      <c r="E90" s="516"/>
      <c r="AE90" s="275"/>
      <c r="AF90" s="275"/>
      <c r="AG90" s="275"/>
      <c r="AH90" s="275"/>
    </row>
    <row r="91" spans="1:34" ht="15.75" customHeight="1">
      <c r="E91" s="516"/>
      <c r="AE91" s="275"/>
      <c r="AF91" s="275"/>
      <c r="AG91" s="275"/>
      <c r="AH91" s="275"/>
    </row>
    <row r="92" spans="1:34" ht="15.75" customHeight="1">
      <c r="E92" s="516"/>
      <c r="AE92" s="275"/>
      <c r="AF92" s="275"/>
      <c r="AG92" s="275"/>
      <c r="AH92" s="275"/>
    </row>
    <row r="93" spans="1:34" ht="15.75" customHeight="1">
      <c r="E93" s="516"/>
      <c r="AE93" s="275"/>
      <c r="AF93" s="275"/>
      <c r="AG93" s="275"/>
      <c r="AH93" s="275"/>
    </row>
    <row r="94" spans="1:34" ht="15.75" customHeight="1">
      <c r="E94" s="516"/>
      <c r="AE94" s="275"/>
      <c r="AF94" s="275"/>
      <c r="AG94" s="275"/>
      <c r="AH94" s="275"/>
    </row>
    <row r="95" spans="1:34" ht="15.75" customHeight="1">
      <c r="E95" s="516"/>
      <c r="AE95" s="275"/>
      <c r="AF95" s="275"/>
      <c r="AG95" s="275"/>
      <c r="AH95" s="275"/>
    </row>
    <row r="96" spans="1:34" ht="15.75" customHeight="1">
      <c r="E96" s="516"/>
      <c r="AE96" s="275"/>
      <c r="AF96" s="275"/>
      <c r="AG96" s="275"/>
      <c r="AH96" s="275"/>
    </row>
    <row r="97" spans="5:34" ht="15.75" customHeight="1">
      <c r="E97" s="516"/>
      <c r="AE97" s="275"/>
      <c r="AF97" s="275"/>
      <c r="AG97" s="275"/>
      <c r="AH97" s="275"/>
    </row>
    <row r="98" spans="5:34" ht="15.75" customHeight="1">
      <c r="E98" s="516"/>
      <c r="AE98" s="275"/>
      <c r="AF98" s="275"/>
      <c r="AG98" s="275"/>
      <c r="AH98" s="275"/>
    </row>
    <row r="99" spans="5:34" ht="15.75" customHeight="1">
      <c r="E99" s="516"/>
      <c r="AE99" s="275"/>
      <c r="AF99" s="275"/>
      <c r="AG99" s="275"/>
      <c r="AH99" s="275"/>
    </row>
    <row r="100" spans="5:34" ht="15.75" customHeight="1">
      <c r="E100" s="516"/>
      <c r="AE100" s="275"/>
      <c r="AF100" s="275"/>
      <c r="AG100" s="275"/>
      <c r="AH100" s="275"/>
    </row>
    <row r="101" spans="5:34" ht="15.75" customHeight="1">
      <c r="E101" s="516"/>
      <c r="AE101" s="275"/>
      <c r="AF101" s="275"/>
      <c r="AG101" s="275"/>
      <c r="AH101" s="275"/>
    </row>
    <row r="102" spans="5:34" ht="15.75" customHeight="1">
      <c r="E102" s="516"/>
      <c r="AE102" s="275"/>
      <c r="AF102" s="275"/>
      <c r="AG102" s="275"/>
      <c r="AH102" s="275"/>
    </row>
    <row r="103" spans="5:34" ht="15.75" customHeight="1">
      <c r="E103" s="516"/>
      <c r="AE103" s="275"/>
      <c r="AF103" s="275"/>
      <c r="AG103" s="275"/>
      <c r="AH103" s="275"/>
    </row>
    <row r="104" spans="5:34" ht="15.75" customHeight="1">
      <c r="E104" s="516"/>
      <c r="AE104" s="275"/>
      <c r="AF104" s="275"/>
      <c r="AG104" s="275"/>
      <c r="AH104" s="275"/>
    </row>
    <row r="105" spans="5:34" ht="15.75" customHeight="1">
      <c r="E105" s="516"/>
      <c r="AE105" s="275"/>
      <c r="AF105" s="275"/>
      <c r="AG105" s="275"/>
      <c r="AH105" s="275"/>
    </row>
    <row r="106" spans="5:34" ht="15.75" customHeight="1">
      <c r="E106" s="516"/>
      <c r="AE106" s="275"/>
      <c r="AF106" s="275"/>
      <c r="AG106" s="275"/>
      <c r="AH106" s="275"/>
    </row>
    <row r="107" spans="5:34" ht="15.75" customHeight="1">
      <c r="E107" s="516"/>
      <c r="AE107" s="275"/>
      <c r="AF107" s="275"/>
      <c r="AG107" s="275"/>
      <c r="AH107" s="275"/>
    </row>
    <row r="108" spans="5:34" ht="15.75" customHeight="1">
      <c r="E108" s="516"/>
      <c r="AE108" s="275"/>
      <c r="AF108" s="275"/>
      <c r="AG108" s="275"/>
      <c r="AH108" s="275"/>
    </row>
    <row r="109" spans="5:34" ht="15.75" customHeight="1">
      <c r="E109" s="516"/>
      <c r="AE109" s="275"/>
      <c r="AF109" s="275"/>
      <c r="AG109" s="275"/>
      <c r="AH109" s="275"/>
    </row>
    <row r="110" spans="5:34" ht="15.75" customHeight="1">
      <c r="E110" s="516"/>
      <c r="AE110" s="275"/>
      <c r="AF110" s="275"/>
      <c r="AG110" s="275"/>
      <c r="AH110" s="275"/>
    </row>
    <row r="111" spans="5:34" ht="15.75" customHeight="1">
      <c r="E111" s="516"/>
      <c r="AE111" s="275"/>
      <c r="AF111" s="275"/>
      <c r="AG111" s="275"/>
      <c r="AH111" s="275"/>
    </row>
    <row r="112" spans="5:34" ht="15.75" customHeight="1">
      <c r="E112" s="516"/>
      <c r="AE112" s="275"/>
      <c r="AF112" s="275"/>
      <c r="AG112" s="275"/>
      <c r="AH112" s="275"/>
    </row>
    <row r="113" spans="5:34" ht="15.75" customHeight="1">
      <c r="E113" s="516"/>
      <c r="AE113" s="275"/>
      <c r="AF113" s="275"/>
      <c r="AG113" s="275"/>
      <c r="AH113" s="275"/>
    </row>
    <row r="114" spans="5:34" ht="15.75" customHeight="1">
      <c r="E114" s="516"/>
      <c r="AE114" s="275"/>
      <c r="AF114" s="275"/>
      <c r="AG114" s="275"/>
      <c r="AH114" s="275"/>
    </row>
    <row r="115" spans="5:34" ht="15.75" customHeight="1">
      <c r="E115" s="516"/>
      <c r="AE115" s="275"/>
      <c r="AF115" s="275"/>
      <c r="AG115" s="275"/>
      <c r="AH115" s="275"/>
    </row>
    <row r="116" spans="5:34" ht="15.75" customHeight="1">
      <c r="E116" s="516"/>
      <c r="AE116" s="275"/>
      <c r="AF116" s="275"/>
      <c r="AG116" s="275"/>
      <c r="AH116" s="275"/>
    </row>
    <row r="117" spans="5:34" ht="15.75" customHeight="1">
      <c r="E117" s="516"/>
      <c r="AE117" s="275"/>
      <c r="AF117" s="275"/>
      <c r="AG117" s="275"/>
      <c r="AH117" s="275"/>
    </row>
    <row r="118" spans="5:34" ht="15.75" customHeight="1">
      <c r="E118" s="516"/>
      <c r="AE118" s="275"/>
      <c r="AF118" s="275"/>
      <c r="AG118" s="275"/>
      <c r="AH118" s="275"/>
    </row>
    <row r="119" spans="5:34" ht="15.75" customHeight="1">
      <c r="E119" s="516"/>
      <c r="AE119" s="275"/>
      <c r="AF119" s="275"/>
      <c r="AG119" s="275"/>
      <c r="AH119" s="275"/>
    </row>
    <row r="120" spans="5:34" ht="15.75" customHeight="1">
      <c r="E120" s="516"/>
      <c r="AE120" s="275"/>
      <c r="AF120" s="275"/>
      <c r="AG120" s="275"/>
      <c r="AH120" s="275"/>
    </row>
    <row r="121" spans="5:34" ht="15.75" customHeight="1">
      <c r="E121" s="516"/>
      <c r="AE121" s="275"/>
      <c r="AF121" s="275"/>
      <c r="AG121" s="275"/>
      <c r="AH121" s="275"/>
    </row>
    <row r="122" spans="5:34" ht="15.75" customHeight="1">
      <c r="E122" s="516"/>
      <c r="AE122" s="275"/>
      <c r="AF122" s="275"/>
      <c r="AG122" s="275"/>
      <c r="AH122" s="275"/>
    </row>
    <row r="123" spans="5:34" ht="15.75" customHeight="1">
      <c r="E123" s="516"/>
      <c r="AE123" s="275"/>
      <c r="AF123" s="275"/>
      <c r="AG123" s="275"/>
      <c r="AH123" s="275"/>
    </row>
    <row r="124" spans="5:34" ht="15.75" customHeight="1">
      <c r="E124" s="516"/>
      <c r="AE124" s="275"/>
      <c r="AF124" s="275"/>
      <c r="AG124" s="275"/>
      <c r="AH124" s="275"/>
    </row>
    <row r="125" spans="5:34" ht="15.75" customHeight="1">
      <c r="E125" s="516"/>
      <c r="AE125" s="275"/>
      <c r="AF125" s="275"/>
      <c r="AG125" s="275"/>
      <c r="AH125" s="275"/>
    </row>
    <row r="126" spans="5:34" ht="15.75" customHeight="1">
      <c r="E126" s="516"/>
      <c r="AE126" s="275"/>
      <c r="AF126" s="275"/>
      <c r="AG126" s="275"/>
      <c r="AH126" s="275"/>
    </row>
    <row r="127" spans="5:34" ht="15.75" customHeight="1">
      <c r="E127" s="516"/>
      <c r="AE127" s="275"/>
      <c r="AF127" s="275"/>
      <c r="AG127" s="275"/>
      <c r="AH127" s="275"/>
    </row>
    <row r="128" spans="5:34" ht="15.75" customHeight="1">
      <c r="E128" s="516"/>
      <c r="AE128" s="275"/>
      <c r="AF128" s="275"/>
      <c r="AG128" s="275"/>
      <c r="AH128" s="275"/>
    </row>
    <row r="129" spans="5:34" ht="15.75" customHeight="1">
      <c r="E129" s="516"/>
      <c r="AE129" s="275"/>
      <c r="AF129" s="275"/>
      <c r="AG129" s="275"/>
      <c r="AH129" s="275"/>
    </row>
    <row r="130" spans="5:34" ht="15.75" customHeight="1">
      <c r="E130" s="516"/>
      <c r="AE130" s="275"/>
      <c r="AF130" s="275"/>
      <c r="AG130" s="275"/>
      <c r="AH130" s="275"/>
    </row>
    <row r="131" spans="5:34" ht="15.75" customHeight="1">
      <c r="E131" s="516"/>
      <c r="AE131" s="275"/>
      <c r="AF131" s="275"/>
      <c r="AG131" s="275"/>
      <c r="AH131" s="275"/>
    </row>
    <row r="132" spans="5:34" ht="15.75" customHeight="1">
      <c r="E132" s="516"/>
      <c r="AE132" s="275"/>
      <c r="AF132" s="275"/>
      <c r="AG132" s="275"/>
      <c r="AH132" s="275"/>
    </row>
    <row r="133" spans="5:34" ht="15.75" customHeight="1">
      <c r="E133" s="516"/>
      <c r="AE133" s="275"/>
      <c r="AF133" s="275"/>
      <c r="AG133" s="275"/>
      <c r="AH133" s="275"/>
    </row>
    <row r="134" spans="5:34" ht="15.75" customHeight="1">
      <c r="E134" s="516"/>
      <c r="AE134" s="275"/>
      <c r="AF134" s="275"/>
      <c r="AG134" s="275"/>
      <c r="AH134" s="275"/>
    </row>
    <row r="135" spans="5:34" ht="15.75" customHeight="1">
      <c r="E135" s="516"/>
      <c r="AE135" s="275"/>
      <c r="AF135" s="275"/>
      <c r="AG135" s="275"/>
      <c r="AH135" s="275"/>
    </row>
    <row r="136" spans="5:34" ht="15.75" customHeight="1">
      <c r="E136" s="516"/>
      <c r="AE136" s="275"/>
      <c r="AF136" s="275"/>
      <c r="AG136" s="275"/>
      <c r="AH136" s="275"/>
    </row>
    <row r="137" spans="5:34" ht="15.75" customHeight="1">
      <c r="E137" s="516"/>
      <c r="AE137" s="275"/>
      <c r="AF137" s="275"/>
      <c r="AG137" s="275"/>
      <c r="AH137" s="275"/>
    </row>
    <row r="138" spans="5:34" ht="15.75" customHeight="1">
      <c r="E138" s="516"/>
      <c r="AE138" s="275"/>
      <c r="AF138" s="275"/>
      <c r="AG138" s="275"/>
      <c r="AH138" s="275"/>
    </row>
    <row r="139" spans="5:34" ht="15.75" customHeight="1">
      <c r="E139" s="516"/>
      <c r="AE139" s="275"/>
      <c r="AF139" s="275"/>
      <c r="AG139" s="275"/>
      <c r="AH139" s="275"/>
    </row>
    <row r="140" spans="5:34" ht="15.75" customHeight="1">
      <c r="E140" s="516"/>
      <c r="AE140" s="275"/>
      <c r="AF140" s="275"/>
      <c r="AG140" s="275"/>
      <c r="AH140" s="275"/>
    </row>
    <row r="141" spans="5:34" ht="15.75" customHeight="1">
      <c r="E141" s="516"/>
      <c r="AE141" s="275"/>
      <c r="AF141" s="275"/>
      <c r="AG141" s="275"/>
      <c r="AH141" s="275"/>
    </row>
    <row r="142" spans="5:34" ht="15.75" customHeight="1">
      <c r="E142" s="516"/>
      <c r="AE142" s="275"/>
      <c r="AF142" s="275"/>
      <c r="AG142" s="275"/>
      <c r="AH142" s="275"/>
    </row>
    <row r="143" spans="5:34" ht="15.75" customHeight="1">
      <c r="E143" s="516"/>
      <c r="AE143" s="275"/>
      <c r="AF143" s="275"/>
      <c r="AG143" s="275"/>
      <c r="AH143" s="275"/>
    </row>
    <row r="144" spans="5:34" ht="15.75" customHeight="1">
      <c r="E144" s="516"/>
      <c r="AE144" s="275"/>
      <c r="AF144" s="275"/>
      <c r="AG144" s="275"/>
      <c r="AH144" s="275"/>
    </row>
    <row r="145" spans="5:34" ht="15.75" customHeight="1">
      <c r="E145" s="516"/>
      <c r="AE145" s="275"/>
      <c r="AF145" s="275"/>
      <c r="AG145" s="275"/>
      <c r="AH145" s="275"/>
    </row>
    <row r="146" spans="5:34" ht="15.75" customHeight="1">
      <c r="E146" s="516"/>
      <c r="AE146" s="275"/>
      <c r="AF146" s="275"/>
      <c r="AG146" s="275"/>
      <c r="AH146" s="275"/>
    </row>
    <row r="147" spans="5:34" ht="15.75" customHeight="1">
      <c r="E147" s="516"/>
      <c r="AE147" s="275"/>
      <c r="AF147" s="275"/>
      <c r="AG147" s="275"/>
      <c r="AH147" s="275"/>
    </row>
    <row r="148" spans="5:34" ht="15.75" customHeight="1">
      <c r="E148" s="516"/>
      <c r="AE148" s="275"/>
      <c r="AF148" s="275"/>
      <c r="AG148" s="275"/>
      <c r="AH148" s="275"/>
    </row>
    <row r="149" spans="5:34" ht="15.75" customHeight="1">
      <c r="E149" s="516"/>
      <c r="AE149" s="275"/>
      <c r="AF149" s="275"/>
      <c r="AG149" s="275"/>
      <c r="AH149" s="275"/>
    </row>
    <row r="150" spans="5:34" ht="15.75" customHeight="1">
      <c r="E150" s="516"/>
      <c r="AE150" s="275"/>
      <c r="AF150" s="275"/>
      <c r="AG150" s="275"/>
      <c r="AH150" s="275"/>
    </row>
    <row r="151" spans="5:34" ht="15.75" customHeight="1">
      <c r="E151" s="516"/>
      <c r="AE151" s="275"/>
      <c r="AF151" s="275"/>
      <c r="AG151" s="275"/>
      <c r="AH151" s="275"/>
    </row>
    <row r="152" spans="5:34" ht="15.75" customHeight="1">
      <c r="E152" s="516"/>
      <c r="AE152" s="275"/>
      <c r="AF152" s="275"/>
      <c r="AG152" s="275"/>
      <c r="AH152" s="275"/>
    </row>
    <row r="153" spans="5:34" ht="15.75" customHeight="1">
      <c r="E153" s="516"/>
      <c r="AE153" s="275"/>
      <c r="AF153" s="275"/>
      <c r="AG153" s="275"/>
      <c r="AH153" s="275"/>
    </row>
    <row r="154" spans="5:34" ht="15.75" customHeight="1">
      <c r="E154" s="516"/>
      <c r="AE154" s="275"/>
      <c r="AF154" s="275"/>
      <c r="AG154" s="275"/>
      <c r="AH154" s="275"/>
    </row>
    <row r="155" spans="5:34" ht="15.75" customHeight="1">
      <c r="E155" s="516"/>
      <c r="AE155" s="275"/>
      <c r="AF155" s="275"/>
      <c r="AG155" s="275"/>
      <c r="AH155" s="275"/>
    </row>
    <row r="156" spans="5:34" ht="15.75" customHeight="1">
      <c r="E156" s="516"/>
      <c r="AE156" s="275"/>
      <c r="AF156" s="275"/>
      <c r="AG156" s="275"/>
      <c r="AH156" s="275"/>
    </row>
    <row r="157" spans="5:34" ht="15.75" customHeight="1">
      <c r="E157" s="516"/>
      <c r="AE157" s="275"/>
      <c r="AF157" s="275"/>
      <c r="AG157" s="275"/>
      <c r="AH157" s="275"/>
    </row>
    <row r="158" spans="5:34" ht="15.75" customHeight="1">
      <c r="E158" s="516"/>
      <c r="AE158" s="275"/>
      <c r="AF158" s="275"/>
      <c r="AG158" s="275"/>
      <c r="AH158" s="275"/>
    </row>
    <row r="159" spans="5:34" ht="15.75" customHeight="1">
      <c r="E159" s="516"/>
      <c r="AE159" s="275"/>
      <c r="AF159" s="275"/>
      <c r="AG159" s="275"/>
      <c r="AH159" s="275"/>
    </row>
    <row r="160" spans="5:34" ht="15.75" customHeight="1">
      <c r="E160" s="516"/>
      <c r="AE160" s="275"/>
      <c r="AF160" s="275"/>
      <c r="AG160" s="275"/>
      <c r="AH160" s="275"/>
    </row>
    <row r="161" spans="5:34" ht="15.75" customHeight="1">
      <c r="E161" s="516"/>
      <c r="AE161" s="275"/>
      <c r="AF161" s="275"/>
      <c r="AG161" s="275"/>
      <c r="AH161" s="275"/>
    </row>
    <row r="162" spans="5:34" ht="15.75" customHeight="1">
      <c r="E162" s="516"/>
      <c r="AE162" s="275"/>
      <c r="AF162" s="275"/>
      <c r="AG162" s="275"/>
      <c r="AH162" s="275"/>
    </row>
    <row r="163" spans="5:34" ht="15.75" customHeight="1">
      <c r="E163" s="516"/>
      <c r="AE163" s="275"/>
      <c r="AF163" s="275"/>
      <c r="AG163" s="275"/>
      <c r="AH163" s="275"/>
    </row>
    <row r="164" spans="5:34" ht="15.75" customHeight="1">
      <c r="E164" s="516"/>
      <c r="AE164" s="275"/>
      <c r="AF164" s="275"/>
      <c r="AG164" s="275"/>
      <c r="AH164" s="275"/>
    </row>
    <row r="165" spans="5:34" ht="15.75" customHeight="1">
      <c r="E165" s="516"/>
      <c r="AE165" s="275"/>
      <c r="AF165" s="275"/>
      <c r="AG165" s="275"/>
      <c r="AH165" s="275"/>
    </row>
    <row r="166" spans="5:34" ht="15.75" customHeight="1">
      <c r="E166" s="516"/>
      <c r="AE166" s="275"/>
      <c r="AF166" s="275"/>
      <c r="AG166" s="275"/>
      <c r="AH166" s="275"/>
    </row>
    <row r="167" spans="5:34" ht="15.75" customHeight="1">
      <c r="E167" s="516"/>
      <c r="AE167" s="275"/>
      <c r="AF167" s="275"/>
      <c r="AG167" s="275"/>
      <c r="AH167" s="275"/>
    </row>
    <row r="168" spans="5:34" ht="15.75" customHeight="1">
      <c r="E168" s="516"/>
      <c r="AE168" s="275"/>
      <c r="AF168" s="275"/>
      <c r="AG168" s="275"/>
      <c r="AH168" s="275"/>
    </row>
    <row r="169" spans="5:34" ht="15.75" customHeight="1">
      <c r="E169" s="516"/>
      <c r="AE169" s="275"/>
      <c r="AF169" s="275"/>
      <c r="AG169" s="275"/>
      <c r="AH169" s="275"/>
    </row>
    <row r="170" spans="5:34" ht="15.75" customHeight="1">
      <c r="E170" s="516"/>
      <c r="AE170" s="275"/>
      <c r="AF170" s="275"/>
      <c r="AG170" s="275"/>
      <c r="AH170" s="275"/>
    </row>
    <row r="171" spans="5:34" ht="15.75" customHeight="1">
      <c r="E171" s="516"/>
      <c r="AE171" s="275"/>
      <c r="AF171" s="275"/>
      <c r="AG171" s="275"/>
      <c r="AH171" s="275"/>
    </row>
    <row r="172" spans="5:34" ht="15.75" customHeight="1">
      <c r="E172" s="516"/>
      <c r="AE172" s="275"/>
      <c r="AF172" s="275"/>
      <c r="AG172" s="275"/>
      <c r="AH172" s="275"/>
    </row>
    <row r="173" spans="5:34" ht="15.75" customHeight="1">
      <c r="E173" s="516"/>
      <c r="AE173" s="275"/>
      <c r="AF173" s="275"/>
      <c r="AG173" s="275"/>
      <c r="AH173" s="275"/>
    </row>
    <row r="174" spans="5:34" ht="15.75" customHeight="1">
      <c r="E174" s="516"/>
      <c r="AE174" s="275"/>
      <c r="AF174" s="275"/>
      <c r="AG174" s="275"/>
      <c r="AH174" s="275"/>
    </row>
    <row r="175" spans="5:34" ht="15.75" customHeight="1">
      <c r="E175" s="516"/>
      <c r="AE175" s="275"/>
      <c r="AF175" s="275"/>
      <c r="AG175" s="275"/>
      <c r="AH175" s="275"/>
    </row>
    <row r="176" spans="5:34" ht="15.75" customHeight="1">
      <c r="E176" s="516"/>
      <c r="AE176" s="275"/>
      <c r="AF176" s="275"/>
      <c r="AG176" s="275"/>
      <c r="AH176" s="275"/>
    </row>
    <row r="177" spans="5:34" ht="15.75" customHeight="1">
      <c r="E177" s="516"/>
      <c r="AE177" s="275"/>
      <c r="AF177" s="275"/>
      <c r="AG177" s="275"/>
      <c r="AH177" s="275"/>
    </row>
    <row r="178" spans="5:34" ht="15.75" customHeight="1">
      <c r="E178" s="516"/>
      <c r="AE178" s="275"/>
      <c r="AF178" s="275"/>
      <c r="AG178" s="275"/>
      <c r="AH178" s="275"/>
    </row>
    <row r="179" spans="5:34" ht="15.75" customHeight="1">
      <c r="E179" s="516"/>
      <c r="AE179" s="275"/>
      <c r="AF179" s="275"/>
      <c r="AG179" s="275"/>
      <c r="AH179" s="275"/>
    </row>
    <row r="180" spans="5:34" ht="15.75" customHeight="1">
      <c r="E180" s="516"/>
      <c r="AE180" s="275"/>
      <c r="AF180" s="275"/>
      <c r="AG180" s="275"/>
      <c r="AH180" s="275"/>
    </row>
    <row r="181" spans="5:34" ht="15.75" customHeight="1">
      <c r="E181" s="516"/>
      <c r="AE181" s="275"/>
      <c r="AF181" s="275"/>
      <c r="AG181" s="275"/>
      <c r="AH181" s="275"/>
    </row>
    <row r="182" spans="5:34" ht="15.75" customHeight="1">
      <c r="E182" s="516"/>
      <c r="AE182" s="275"/>
      <c r="AF182" s="275"/>
      <c r="AG182" s="275"/>
      <c r="AH182" s="275"/>
    </row>
    <row r="183" spans="5:34" ht="15.75" customHeight="1">
      <c r="E183" s="516"/>
      <c r="AE183" s="275"/>
      <c r="AF183" s="275"/>
      <c r="AG183" s="275"/>
      <c r="AH183" s="275"/>
    </row>
    <row r="184" spans="5:34" ht="15.75" customHeight="1">
      <c r="E184" s="516"/>
      <c r="AE184" s="275"/>
      <c r="AF184" s="275"/>
      <c r="AG184" s="275"/>
      <c r="AH184" s="275"/>
    </row>
    <row r="185" spans="5:34" ht="15.75" customHeight="1">
      <c r="E185" s="516"/>
      <c r="AE185" s="275"/>
      <c r="AF185" s="275"/>
      <c r="AG185" s="275"/>
      <c r="AH185" s="275"/>
    </row>
    <row r="186" spans="5:34" ht="15.75" customHeight="1">
      <c r="E186" s="516"/>
      <c r="AE186" s="275"/>
      <c r="AF186" s="275"/>
      <c r="AG186" s="275"/>
      <c r="AH186" s="275"/>
    </row>
    <row r="187" spans="5:34" ht="15.75" customHeight="1">
      <c r="E187" s="516"/>
      <c r="AE187" s="275"/>
      <c r="AF187" s="275"/>
      <c r="AG187" s="275"/>
      <c r="AH187" s="275"/>
    </row>
    <row r="188" spans="5:34" ht="15.75" customHeight="1">
      <c r="E188" s="516"/>
      <c r="AE188" s="275"/>
      <c r="AF188" s="275"/>
      <c r="AG188" s="275"/>
      <c r="AH188" s="275"/>
    </row>
    <row r="189" spans="5:34" ht="15.75" customHeight="1">
      <c r="E189" s="516"/>
      <c r="AE189" s="275"/>
      <c r="AF189" s="275"/>
      <c r="AG189" s="275"/>
      <c r="AH189" s="275"/>
    </row>
    <row r="190" spans="5:34" ht="15.75" customHeight="1">
      <c r="E190" s="516"/>
      <c r="AE190" s="275"/>
      <c r="AF190" s="275"/>
      <c r="AG190" s="275"/>
      <c r="AH190" s="275"/>
    </row>
    <row r="191" spans="5:34" ht="15.75" customHeight="1">
      <c r="E191" s="516"/>
      <c r="AE191" s="275"/>
      <c r="AF191" s="275"/>
      <c r="AG191" s="275"/>
      <c r="AH191" s="275"/>
    </row>
    <row r="192" spans="5:34" ht="15.75" customHeight="1">
      <c r="E192" s="516"/>
      <c r="AE192" s="275"/>
      <c r="AF192" s="275"/>
      <c r="AG192" s="275"/>
      <c r="AH192" s="275"/>
    </row>
    <row r="193" spans="5:34" ht="15.75" customHeight="1">
      <c r="E193" s="516"/>
      <c r="AE193" s="275"/>
      <c r="AF193" s="275"/>
      <c r="AG193" s="275"/>
      <c r="AH193" s="275"/>
    </row>
    <row r="194" spans="5:34" ht="15.75" customHeight="1">
      <c r="E194" s="516"/>
      <c r="AE194" s="275"/>
      <c r="AF194" s="275"/>
      <c r="AG194" s="275"/>
      <c r="AH194" s="275"/>
    </row>
    <row r="195" spans="5:34" ht="15.75" customHeight="1">
      <c r="E195" s="516"/>
      <c r="AE195" s="275"/>
      <c r="AF195" s="275"/>
      <c r="AG195" s="275"/>
      <c r="AH195" s="275"/>
    </row>
    <row r="196" spans="5:34" ht="15.75" customHeight="1">
      <c r="E196" s="516"/>
      <c r="AE196" s="275"/>
      <c r="AF196" s="275"/>
      <c r="AG196" s="275"/>
      <c r="AH196" s="275"/>
    </row>
    <row r="197" spans="5:34" ht="15.75" customHeight="1">
      <c r="E197" s="516"/>
      <c r="AE197" s="275"/>
      <c r="AF197" s="275"/>
      <c r="AG197" s="275"/>
      <c r="AH197" s="275"/>
    </row>
    <row r="198" spans="5:34" ht="15.75" customHeight="1">
      <c r="E198" s="516"/>
      <c r="AE198" s="275"/>
      <c r="AF198" s="275"/>
      <c r="AG198" s="275"/>
      <c r="AH198" s="275"/>
    </row>
    <row r="199" spans="5:34" ht="15.75" customHeight="1">
      <c r="E199" s="516"/>
      <c r="AE199" s="275"/>
      <c r="AF199" s="275"/>
      <c r="AG199" s="275"/>
      <c r="AH199" s="275"/>
    </row>
    <row r="200" spans="5:34" ht="15.75" customHeight="1">
      <c r="E200" s="516"/>
      <c r="AE200" s="275"/>
      <c r="AF200" s="275"/>
      <c r="AG200" s="275"/>
      <c r="AH200" s="275"/>
    </row>
    <row r="201" spans="5:34" ht="15.75" customHeight="1">
      <c r="E201" s="516"/>
      <c r="AE201" s="275"/>
      <c r="AF201" s="275"/>
      <c r="AG201" s="275"/>
      <c r="AH201" s="275"/>
    </row>
    <row r="202" spans="5:34" ht="15.75" customHeight="1">
      <c r="E202" s="516"/>
      <c r="AE202" s="275"/>
      <c r="AF202" s="275"/>
      <c r="AG202" s="275"/>
      <c r="AH202" s="275"/>
    </row>
    <row r="203" spans="5:34" ht="15.75" customHeight="1">
      <c r="E203" s="516"/>
      <c r="AE203" s="275"/>
      <c r="AF203" s="275"/>
      <c r="AG203" s="275"/>
      <c r="AH203" s="275"/>
    </row>
    <row r="204" spans="5:34" ht="15.75" customHeight="1">
      <c r="E204" s="516"/>
      <c r="AE204" s="275"/>
      <c r="AF204" s="275"/>
      <c r="AG204" s="275"/>
      <c r="AH204" s="275"/>
    </row>
    <row r="205" spans="5:34" ht="15.75" customHeight="1">
      <c r="E205" s="516"/>
      <c r="AE205" s="275"/>
      <c r="AF205" s="275"/>
      <c r="AG205" s="275"/>
      <c r="AH205" s="275"/>
    </row>
    <row r="206" spans="5:34" ht="15.75" customHeight="1">
      <c r="E206" s="516"/>
      <c r="AE206" s="275"/>
      <c r="AF206" s="275"/>
      <c r="AG206" s="275"/>
      <c r="AH206" s="275"/>
    </row>
    <row r="207" spans="5:34" ht="15.75" customHeight="1">
      <c r="E207" s="516"/>
      <c r="AE207" s="275"/>
      <c r="AF207" s="275"/>
      <c r="AG207" s="275"/>
      <c r="AH207" s="275"/>
    </row>
    <row r="208" spans="5:34" ht="15.75" customHeight="1">
      <c r="E208" s="516"/>
      <c r="AE208" s="275"/>
      <c r="AF208" s="275"/>
      <c r="AG208" s="275"/>
      <c r="AH208" s="275"/>
    </row>
    <row r="209" spans="5:34" ht="15.75" customHeight="1">
      <c r="E209" s="516"/>
      <c r="AE209" s="275"/>
      <c r="AF209" s="275"/>
      <c r="AG209" s="275"/>
      <c r="AH209" s="275"/>
    </row>
    <row r="210" spans="5:34" ht="15.75" customHeight="1">
      <c r="E210" s="516"/>
      <c r="AE210" s="275"/>
      <c r="AF210" s="275"/>
      <c r="AG210" s="275"/>
      <c r="AH210" s="275"/>
    </row>
    <row r="211" spans="5:34" ht="15.75" customHeight="1">
      <c r="E211" s="516"/>
      <c r="AE211" s="275"/>
      <c r="AF211" s="275"/>
      <c r="AG211" s="275"/>
      <c r="AH211" s="275"/>
    </row>
    <row r="212" spans="5:34" ht="15.75" customHeight="1">
      <c r="E212" s="516"/>
      <c r="AE212" s="275"/>
      <c r="AF212" s="275"/>
      <c r="AG212" s="275"/>
      <c r="AH212" s="275"/>
    </row>
    <row r="213" spans="5:34" ht="15.75" customHeight="1">
      <c r="E213" s="516"/>
      <c r="AE213" s="275"/>
      <c r="AF213" s="275"/>
      <c r="AG213" s="275"/>
      <c r="AH213" s="275"/>
    </row>
    <row r="214" spans="5:34" ht="15.75" customHeight="1">
      <c r="E214" s="516"/>
      <c r="AE214" s="275"/>
      <c r="AF214" s="275"/>
      <c r="AG214" s="275"/>
      <c r="AH214" s="275"/>
    </row>
    <row r="215" spans="5:34" ht="15.75" customHeight="1">
      <c r="E215" s="516"/>
      <c r="AE215" s="275"/>
      <c r="AF215" s="275"/>
      <c r="AG215" s="275"/>
      <c r="AH215" s="275"/>
    </row>
    <row r="216" spans="5:34" ht="15.75" customHeight="1">
      <c r="E216" s="516"/>
      <c r="AE216" s="275"/>
      <c r="AF216" s="275"/>
      <c r="AG216" s="275"/>
      <c r="AH216" s="275"/>
    </row>
    <row r="217" spans="5:34" ht="15.75" customHeight="1">
      <c r="E217" s="516"/>
      <c r="AE217" s="275"/>
      <c r="AF217" s="275"/>
      <c r="AG217" s="275"/>
      <c r="AH217" s="275"/>
    </row>
    <row r="218" spans="5:34" ht="15.75" customHeight="1">
      <c r="E218" s="516"/>
      <c r="AE218" s="275"/>
      <c r="AF218" s="275"/>
      <c r="AG218" s="275"/>
      <c r="AH218" s="275"/>
    </row>
    <row r="219" spans="5:34" ht="15.75" customHeight="1">
      <c r="E219" s="516"/>
      <c r="AE219" s="275"/>
      <c r="AF219" s="275"/>
      <c r="AG219" s="275"/>
      <c r="AH219" s="275"/>
    </row>
    <row r="220" spans="5:34" ht="15.75" customHeight="1">
      <c r="E220" s="516"/>
      <c r="AE220" s="275"/>
      <c r="AF220" s="275"/>
      <c r="AG220" s="275"/>
      <c r="AH220" s="275"/>
    </row>
    <row r="221" spans="5:34" ht="15.75" customHeight="1">
      <c r="E221" s="516"/>
      <c r="AE221" s="275"/>
      <c r="AF221" s="275"/>
      <c r="AG221" s="275"/>
      <c r="AH221" s="275"/>
    </row>
    <row r="222" spans="5:34" ht="15.75" customHeight="1">
      <c r="E222" s="516"/>
      <c r="AE222" s="275"/>
      <c r="AF222" s="275"/>
      <c r="AG222" s="275"/>
      <c r="AH222" s="275"/>
    </row>
    <row r="223" spans="5:34" ht="15.75" customHeight="1">
      <c r="E223" s="516"/>
      <c r="AE223" s="275"/>
      <c r="AF223" s="275"/>
      <c r="AG223" s="275"/>
      <c r="AH223" s="275"/>
    </row>
    <row r="224" spans="5:34" ht="15.75" customHeight="1">
      <c r="E224" s="516"/>
      <c r="AE224" s="275"/>
      <c r="AF224" s="275"/>
      <c r="AG224" s="275"/>
      <c r="AH224" s="275"/>
    </row>
    <row r="225" spans="5:34" ht="15.75" customHeight="1">
      <c r="E225" s="516"/>
      <c r="AE225" s="275"/>
      <c r="AF225" s="275"/>
      <c r="AG225" s="275"/>
      <c r="AH225" s="275"/>
    </row>
    <row r="226" spans="5:34" ht="15.75" customHeight="1">
      <c r="E226" s="516"/>
      <c r="AE226" s="275"/>
      <c r="AF226" s="275"/>
      <c r="AG226" s="275"/>
      <c r="AH226" s="275"/>
    </row>
    <row r="227" spans="5:34" ht="15.75" customHeight="1">
      <c r="E227" s="516"/>
      <c r="AE227" s="275"/>
      <c r="AF227" s="275"/>
      <c r="AG227" s="275"/>
      <c r="AH227" s="275"/>
    </row>
    <row r="228" spans="5:34" ht="15.75" customHeight="1">
      <c r="E228" s="516"/>
      <c r="AE228" s="275"/>
      <c r="AF228" s="275"/>
      <c r="AG228" s="275"/>
      <c r="AH228" s="275"/>
    </row>
    <row r="229" spans="5:34" ht="15.75" customHeight="1">
      <c r="E229" s="516"/>
      <c r="AE229" s="275"/>
      <c r="AF229" s="275"/>
      <c r="AG229" s="275"/>
      <c r="AH229" s="275"/>
    </row>
    <row r="230" spans="5:34" ht="15.75" customHeight="1">
      <c r="E230" s="516"/>
      <c r="AE230" s="275"/>
      <c r="AF230" s="275"/>
      <c r="AG230" s="275"/>
      <c r="AH230" s="275"/>
    </row>
    <row r="231" spans="5:34" ht="15.75" customHeight="1">
      <c r="E231" s="516"/>
      <c r="AE231" s="275"/>
      <c r="AF231" s="275"/>
      <c r="AG231" s="275"/>
      <c r="AH231" s="275"/>
    </row>
    <row r="232" spans="5:34" ht="15.75" customHeight="1">
      <c r="E232" s="516"/>
      <c r="AE232" s="275"/>
      <c r="AF232" s="275"/>
      <c r="AG232" s="275"/>
      <c r="AH232" s="275"/>
    </row>
    <row r="233" spans="5:34" ht="15.75" customHeight="1">
      <c r="E233" s="516"/>
      <c r="AE233" s="275"/>
      <c r="AF233" s="275"/>
      <c r="AG233" s="275"/>
      <c r="AH233" s="275"/>
    </row>
    <row r="234" spans="5:34" ht="15.75" customHeight="1">
      <c r="E234" s="516"/>
      <c r="AE234" s="275"/>
      <c r="AF234" s="275"/>
      <c r="AG234" s="275"/>
      <c r="AH234" s="275"/>
    </row>
    <row r="235" spans="5:34" ht="15.75" customHeight="1">
      <c r="E235" s="516"/>
      <c r="AE235" s="275"/>
      <c r="AF235" s="275"/>
      <c r="AG235" s="275"/>
      <c r="AH235" s="275"/>
    </row>
    <row r="236" spans="5:34" ht="15.75" customHeight="1">
      <c r="E236" s="516"/>
      <c r="AE236" s="275"/>
      <c r="AF236" s="275"/>
      <c r="AG236" s="275"/>
      <c r="AH236" s="275"/>
    </row>
    <row r="237" spans="5:34" ht="15.75" customHeight="1">
      <c r="E237" s="516"/>
      <c r="AE237" s="275"/>
      <c r="AF237" s="275"/>
      <c r="AG237" s="275"/>
      <c r="AH237" s="275"/>
    </row>
    <row r="238" spans="5:34" ht="15.75" customHeight="1">
      <c r="E238" s="516"/>
      <c r="AE238" s="275"/>
      <c r="AF238" s="275"/>
      <c r="AG238" s="275"/>
      <c r="AH238" s="275"/>
    </row>
    <row r="239" spans="5:34" ht="15.75" customHeight="1">
      <c r="E239" s="516"/>
      <c r="AE239" s="275"/>
      <c r="AF239" s="275"/>
      <c r="AG239" s="275"/>
      <c r="AH239" s="275"/>
    </row>
    <row r="240" spans="5:34" ht="15.75" customHeight="1">
      <c r="E240" s="516"/>
      <c r="AE240" s="275"/>
      <c r="AF240" s="275"/>
      <c r="AG240" s="275"/>
      <c r="AH240" s="275"/>
    </row>
    <row r="241" spans="5:34" ht="15.75" customHeight="1">
      <c r="E241" s="516"/>
      <c r="AE241" s="275"/>
      <c r="AF241" s="275"/>
      <c r="AG241" s="275"/>
      <c r="AH241" s="275"/>
    </row>
    <row r="242" spans="5:34" ht="15.75" customHeight="1">
      <c r="E242" s="516"/>
      <c r="AE242" s="275"/>
      <c r="AF242" s="275"/>
      <c r="AG242" s="275"/>
      <c r="AH242" s="275"/>
    </row>
    <row r="243" spans="5:34" ht="15.75" customHeight="1">
      <c r="E243" s="516"/>
      <c r="AE243" s="275"/>
      <c r="AF243" s="275"/>
      <c r="AG243" s="275"/>
      <c r="AH243" s="275"/>
    </row>
    <row r="244" spans="5:34" ht="15.75" customHeight="1">
      <c r="E244" s="516"/>
      <c r="AE244" s="275"/>
      <c r="AF244" s="275"/>
      <c r="AG244" s="275"/>
      <c r="AH244" s="275"/>
    </row>
    <row r="245" spans="5:34" ht="15.75" customHeight="1">
      <c r="E245" s="516"/>
      <c r="AE245" s="275"/>
      <c r="AF245" s="275"/>
      <c r="AG245" s="275"/>
      <c r="AH245" s="275"/>
    </row>
    <row r="246" spans="5:34" ht="15.75" customHeight="1">
      <c r="E246" s="516"/>
      <c r="AE246" s="275"/>
      <c r="AF246" s="275"/>
      <c r="AG246" s="275"/>
      <c r="AH246" s="275"/>
    </row>
    <row r="247" spans="5:34" ht="15.75" customHeight="1">
      <c r="E247" s="516"/>
      <c r="AE247" s="275"/>
      <c r="AF247" s="275"/>
      <c r="AG247" s="275"/>
      <c r="AH247" s="275"/>
    </row>
    <row r="248" spans="5:34" ht="15.75" customHeight="1">
      <c r="E248" s="516"/>
      <c r="AE248" s="275"/>
      <c r="AF248" s="275"/>
      <c r="AG248" s="275"/>
      <c r="AH248" s="275"/>
    </row>
    <row r="249" spans="5:34" ht="15.75" customHeight="1">
      <c r="E249" s="516"/>
      <c r="AE249" s="275"/>
      <c r="AF249" s="275"/>
      <c r="AG249" s="275"/>
      <c r="AH249" s="275"/>
    </row>
    <row r="250" spans="5:34" ht="15.75" customHeight="1">
      <c r="E250" s="516"/>
      <c r="AE250" s="275"/>
      <c r="AF250" s="275"/>
      <c r="AG250" s="275"/>
      <c r="AH250" s="275"/>
    </row>
    <row r="251" spans="5:34" ht="15.75" customHeight="1">
      <c r="E251" s="516"/>
      <c r="AE251" s="275"/>
      <c r="AF251" s="275"/>
      <c r="AG251" s="275"/>
      <c r="AH251" s="275"/>
    </row>
    <row r="252" spans="5:34" ht="15.75" customHeight="1">
      <c r="E252" s="516"/>
      <c r="AE252" s="275"/>
      <c r="AF252" s="275"/>
      <c r="AG252" s="275"/>
      <c r="AH252" s="275"/>
    </row>
    <row r="253" spans="5:34" ht="15.75" customHeight="1">
      <c r="E253" s="516"/>
      <c r="AE253" s="275"/>
      <c r="AF253" s="275"/>
      <c r="AG253" s="275"/>
      <c r="AH253" s="275"/>
    </row>
    <row r="254" spans="5:34" ht="15.75" customHeight="1">
      <c r="E254" s="516"/>
      <c r="AE254" s="275"/>
      <c r="AF254" s="275"/>
      <c r="AG254" s="275"/>
      <c r="AH254" s="275"/>
    </row>
    <row r="255" spans="5:34" ht="15.75" customHeight="1">
      <c r="E255" s="516"/>
      <c r="AE255" s="275"/>
      <c r="AF255" s="275"/>
      <c r="AG255" s="275"/>
      <c r="AH255" s="275"/>
    </row>
    <row r="256" spans="5:34" ht="15.75" customHeight="1">
      <c r="E256" s="516"/>
      <c r="AE256" s="275"/>
      <c r="AF256" s="275"/>
      <c r="AG256" s="275"/>
      <c r="AH256" s="275"/>
    </row>
    <row r="257" spans="5:34" ht="15.75" customHeight="1">
      <c r="E257" s="516"/>
      <c r="AE257" s="275"/>
      <c r="AF257" s="275"/>
      <c r="AG257" s="275"/>
      <c r="AH257" s="275"/>
    </row>
    <row r="258" spans="5:34" ht="15.75" customHeight="1">
      <c r="E258" s="516"/>
      <c r="AE258" s="275"/>
      <c r="AF258" s="275"/>
      <c r="AG258" s="275"/>
      <c r="AH258" s="275"/>
    </row>
    <row r="259" spans="5:34" ht="15.75" customHeight="1">
      <c r="E259" s="516"/>
      <c r="AE259" s="275"/>
      <c r="AF259" s="275"/>
      <c r="AG259" s="275"/>
      <c r="AH259" s="275"/>
    </row>
    <row r="260" spans="5:34" ht="15.75" customHeight="1">
      <c r="E260" s="516"/>
      <c r="AE260" s="275"/>
      <c r="AF260" s="275"/>
      <c r="AG260" s="275"/>
      <c r="AH260" s="275"/>
    </row>
    <row r="261" spans="5:34" ht="15.75" customHeight="1">
      <c r="E261" s="516"/>
      <c r="AE261" s="275"/>
      <c r="AF261" s="275"/>
      <c r="AG261" s="275"/>
      <c r="AH261" s="275"/>
    </row>
    <row r="262" spans="5:34" ht="15.75" customHeight="1">
      <c r="E262" s="516"/>
      <c r="AE262" s="275"/>
      <c r="AF262" s="275"/>
      <c r="AG262" s="275"/>
      <c r="AH262" s="275"/>
    </row>
    <row r="263" spans="5:34" ht="15.75" customHeight="1">
      <c r="E263" s="516"/>
      <c r="AE263" s="275"/>
      <c r="AF263" s="275"/>
      <c r="AG263" s="275"/>
      <c r="AH263" s="275"/>
    </row>
    <row r="264" spans="5:34" ht="15.75" customHeight="1">
      <c r="E264" s="516"/>
      <c r="AE264" s="275"/>
      <c r="AF264" s="275"/>
      <c r="AG264" s="275"/>
      <c r="AH264" s="275"/>
    </row>
    <row r="265" spans="5:34" ht="15.75" customHeight="1">
      <c r="E265" s="516"/>
      <c r="AE265" s="275"/>
      <c r="AF265" s="275"/>
      <c r="AG265" s="275"/>
      <c r="AH265" s="275"/>
    </row>
    <row r="266" spans="5:34" ht="15.75" customHeight="1">
      <c r="E266" s="516"/>
      <c r="AE266" s="275"/>
      <c r="AF266" s="275"/>
      <c r="AG266" s="275"/>
      <c r="AH266" s="275"/>
    </row>
    <row r="267" spans="5:34" ht="15.75" customHeight="1">
      <c r="E267" s="516"/>
      <c r="AE267" s="275"/>
      <c r="AF267" s="275"/>
      <c r="AG267" s="275"/>
      <c r="AH267" s="275"/>
    </row>
    <row r="268" spans="5:34" ht="15.75" customHeight="1">
      <c r="E268" s="516"/>
      <c r="AE268" s="275"/>
      <c r="AF268" s="275"/>
      <c r="AG268" s="275"/>
      <c r="AH268" s="275"/>
    </row>
    <row r="269" spans="5:34" ht="15.75" customHeight="1">
      <c r="E269" s="516"/>
      <c r="AE269" s="275"/>
      <c r="AF269" s="275"/>
      <c r="AG269" s="275"/>
      <c r="AH269" s="275"/>
    </row>
    <row r="270" spans="5:34" ht="15.75" customHeight="1">
      <c r="E270" s="516"/>
      <c r="AE270" s="275"/>
      <c r="AF270" s="275"/>
      <c r="AG270" s="275"/>
      <c r="AH270" s="275"/>
    </row>
    <row r="271" spans="5:34" ht="15.75" customHeight="1">
      <c r="E271" s="516"/>
      <c r="AE271" s="275"/>
      <c r="AF271" s="275"/>
      <c r="AG271" s="275"/>
      <c r="AH271" s="275"/>
    </row>
    <row r="272" spans="5:34" ht="15.75" customHeight="1">
      <c r="E272" s="516"/>
      <c r="AE272" s="275"/>
      <c r="AF272" s="275"/>
      <c r="AG272" s="275"/>
      <c r="AH272" s="275"/>
    </row>
    <row r="273" spans="5:34" ht="15.75" customHeight="1">
      <c r="E273" s="516"/>
      <c r="AE273" s="275"/>
      <c r="AF273" s="275"/>
      <c r="AG273" s="275"/>
      <c r="AH273" s="275"/>
    </row>
    <row r="274" spans="5:34" ht="15.75" customHeight="1">
      <c r="E274" s="516"/>
      <c r="AE274" s="275"/>
      <c r="AF274" s="275"/>
      <c r="AG274" s="275"/>
      <c r="AH274" s="275"/>
    </row>
    <row r="275" spans="5:34" ht="15.75" customHeight="1">
      <c r="E275" s="516"/>
      <c r="AE275" s="275"/>
      <c r="AF275" s="275"/>
      <c r="AG275" s="275"/>
      <c r="AH275" s="275"/>
    </row>
    <row r="276" spans="5:34" ht="15.75" customHeight="1">
      <c r="E276" s="516"/>
      <c r="AE276" s="275"/>
      <c r="AF276" s="275"/>
      <c r="AG276" s="275"/>
      <c r="AH276" s="275"/>
    </row>
    <row r="277" spans="5:34" ht="15.75" customHeight="1">
      <c r="E277" s="516"/>
      <c r="AE277" s="275"/>
      <c r="AF277" s="275"/>
      <c r="AG277" s="275"/>
      <c r="AH277" s="275"/>
    </row>
    <row r="278" spans="5:34" ht="15.75" customHeight="1">
      <c r="E278" s="516"/>
      <c r="AE278" s="275"/>
      <c r="AF278" s="275"/>
      <c r="AG278" s="275"/>
      <c r="AH278" s="275"/>
    </row>
    <row r="279" spans="5:34" ht="15.75" customHeight="1">
      <c r="E279" s="516"/>
      <c r="AE279" s="275"/>
      <c r="AF279" s="275"/>
      <c r="AG279" s="275"/>
      <c r="AH279" s="275"/>
    </row>
    <row r="280" spans="5:34" ht="15.75" customHeight="1">
      <c r="E280" s="516"/>
      <c r="AE280" s="275"/>
      <c r="AF280" s="275"/>
      <c r="AG280" s="275"/>
      <c r="AH280" s="275"/>
    </row>
    <row r="281" spans="5:34" ht="15.75" customHeight="1">
      <c r="E281" s="516"/>
      <c r="AE281" s="275"/>
      <c r="AF281" s="275"/>
      <c r="AG281" s="275"/>
      <c r="AH281" s="275"/>
    </row>
    <row r="282" spans="5:34" ht="15.75" customHeight="1">
      <c r="E282" s="516"/>
      <c r="AE282" s="275"/>
      <c r="AF282" s="275"/>
      <c r="AG282" s="275"/>
      <c r="AH282" s="275"/>
    </row>
    <row r="283" spans="5:34" ht="15.75" customHeight="1">
      <c r="E283" s="516"/>
    </row>
    <row r="284" spans="5:34" ht="15.75" customHeight="1">
      <c r="E284" s="516"/>
    </row>
    <row r="285" spans="5:34" ht="15.75" customHeight="1">
      <c r="E285" s="516"/>
    </row>
    <row r="286" spans="5:34" ht="15.75" customHeight="1">
      <c r="E286" s="516"/>
    </row>
    <row r="287" spans="5:34" ht="15.75" customHeight="1">
      <c r="E287" s="516"/>
    </row>
    <row r="288" spans="5:34" ht="15.75" customHeight="1">
      <c r="E288" s="516"/>
    </row>
    <row r="289" spans="5:5" ht="15.75" customHeight="1">
      <c r="E289" s="516"/>
    </row>
    <row r="290" spans="5:5" ht="15.75" customHeight="1">
      <c r="E290" s="516"/>
    </row>
    <row r="291" spans="5:5" ht="15.75" customHeight="1">
      <c r="E291" s="516"/>
    </row>
    <row r="292" spans="5:5" ht="15.75" customHeight="1">
      <c r="E292" s="516"/>
    </row>
    <row r="293" spans="5:5" ht="15.75" customHeight="1">
      <c r="E293" s="516"/>
    </row>
    <row r="294" spans="5:5" ht="15.75" customHeight="1">
      <c r="E294" s="516"/>
    </row>
    <row r="295" spans="5:5" ht="15.75" customHeight="1">
      <c r="E295" s="516"/>
    </row>
    <row r="296" spans="5:5" ht="15.75" customHeight="1">
      <c r="E296" s="516"/>
    </row>
    <row r="297" spans="5:5" ht="15.75" customHeight="1">
      <c r="E297" s="516"/>
    </row>
    <row r="298" spans="5:5" ht="15.75" customHeight="1">
      <c r="E298" s="516"/>
    </row>
    <row r="299" spans="5:5" ht="15.75" customHeight="1">
      <c r="E299" s="516"/>
    </row>
    <row r="300" spans="5:5" ht="15.75" customHeight="1">
      <c r="E300" s="516"/>
    </row>
    <row r="301" spans="5:5" ht="15.75" customHeight="1">
      <c r="E301" s="516"/>
    </row>
    <row r="302" spans="5:5" ht="15.75" customHeight="1">
      <c r="E302" s="516"/>
    </row>
    <row r="303" spans="5:5" ht="15.75" customHeight="1">
      <c r="E303" s="516"/>
    </row>
    <row r="304" spans="5:5" ht="15.75" customHeight="1">
      <c r="E304" s="516"/>
    </row>
    <row r="305" spans="5:5" ht="15.75" customHeight="1">
      <c r="E305" s="516"/>
    </row>
    <row r="306" spans="5:5" ht="15.75" customHeight="1">
      <c r="E306" s="516"/>
    </row>
    <row r="307" spans="5:5" ht="15.75" customHeight="1">
      <c r="E307" s="516"/>
    </row>
    <row r="308" spans="5:5" ht="15.75" customHeight="1">
      <c r="E308" s="516"/>
    </row>
    <row r="309" spans="5:5" ht="15.75" customHeight="1">
      <c r="E309" s="516"/>
    </row>
    <row r="310" spans="5:5" ht="15.75" customHeight="1">
      <c r="E310" s="516"/>
    </row>
    <row r="311" spans="5:5" ht="15.75" customHeight="1">
      <c r="E311" s="516"/>
    </row>
    <row r="312" spans="5:5" ht="15.75" customHeight="1">
      <c r="E312" s="516"/>
    </row>
    <row r="313" spans="5:5" ht="15.75" customHeight="1">
      <c r="E313" s="516"/>
    </row>
    <row r="314" spans="5:5" ht="15.75" customHeight="1">
      <c r="E314" s="516"/>
    </row>
    <row r="315" spans="5:5" ht="15.75" customHeight="1">
      <c r="E315" s="516"/>
    </row>
    <row r="316" spans="5:5" ht="15.75" customHeight="1">
      <c r="E316" s="516"/>
    </row>
    <row r="317" spans="5:5" ht="15.75" customHeight="1">
      <c r="E317" s="516"/>
    </row>
    <row r="318" spans="5:5" ht="15.75" customHeight="1">
      <c r="E318" s="516"/>
    </row>
    <row r="319" spans="5:5" ht="15.75" customHeight="1">
      <c r="E319" s="516"/>
    </row>
    <row r="320" spans="5:5" ht="15.75" customHeight="1">
      <c r="E320" s="516"/>
    </row>
    <row r="321" spans="5:5" ht="15.75" customHeight="1">
      <c r="E321" s="516"/>
    </row>
    <row r="322" spans="5:5" ht="15.75" customHeight="1">
      <c r="E322" s="516"/>
    </row>
    <row r="323" spans="5:5" ht="15.75" customHeight="1">
      <c r="E323" s="516"/>
    </row>
    <row r="324" spans="5:5" ht="15.75" customHeight="1">
      <c r="E324" s="516"/>
    </row>
    <row r="325" spans="5:5" ht="15.75" customHeight="1">
      <c r="E325" s="516"/>
    </row>
    <row r="326" spans="5:5" ht="15.75" customHeight="1">
      <c r="E326" s="516"/>
    </row>
    <row r="327" spans="5:5" ht="15.75" customHeight="1">
      <c r="E327" s="516"/>
    </row>
    <row r="328" spans="5:5" ht="15.75" customHeight="1">
      <c r="E328" s="516"/>
    </row>
    <row r="329" spans="5:5" ht="15.75" customHeight="1">
      <c r="E329" s="516"/>
    </row>
    <row r="330" spans="5:5" ht="15.75" customHeight="1">
      <c r="E330" s="516"/>
    </row>
    <row r="331" spans="5:5" ht="15.75" customHeight="1">
      <c r="E331" s="516"/>
    </row>
    <row r="332" spans="5:5" ht="15.75" customHeight="1">
      <c r="E332" s="516"/>
    </row>
    <row r="333" spans="5:5" ht="15.75" customHeight="1">
      <c r="E333" s="516"/>
    </row>
    <row r="334" spans="5:5" ht="15.75" customHeight="1">
      <c r="E334" s="516"/>
    </row>
    <row r="335" spans="5:5" ht="15.75" customHeight="1">
      <c r="E335" s="516"/>
    </row>
    <row r="336" spans="5:5" ht="15.75" customHeight="1">
      <c r="E336" s="516"/>
    </row>
    <row r="337" spans="5:5" ht="15.75" customHeight="1">
      <c r="E337" s="516"/>
    </row>
    <row r="338" spans="5:5" ht="15.75" customHeight="1">
      <c r="E338" s="516"/>
    </row>
    <row r="339" spans="5:5" ht="15.75" customHeight="1">
      <c r="E339" s="516"/>
    </row>
    <row r="340" spans="5:5" ht="15.75" customHeight="1">
      <c r="E340" s="516"/>
    </row>
    <row r="341" spans="5:5" ht="15.75" customHeight="1">
      <c r="E341" s="516"/>
    </row>
    <row r="342" spans="5:5" ht="15.75" customHeight="1">
      <c r="E342" s="516"/>
    </row>
    <row r="343" spans="5:5" ht="15.75" customHeight="1">
      <c r="E343" s="516"/>
    </row>
    <row r="344" spans="5:5" ht="15.75" customHeight="1">
      <c r="E344" s="516"/>
    </row>
    <row r="345" spans="5:5" ht="15.75" customHeight="1">
      <c r="E345" s="516"/>
    </row>
    <row r="346" spans="5:5" ht="15.75" customHeight="1">
      <c r="E346" s="516"/>
    </row>
    <row r="347" spans="5:5" ht="15.75" customHeight="1">
      <c r="E347" s="516"/>
    </row>
    <row r="348" spans="5:5" ht="15.75" customHeight="1">
      <c r="E348" s="516"/>
    </row>
    <row r="349" spans="5:5" ht="15.75" customHeight="1">
      <c r="E349" s="516"/>
    </row>
    <row r="350" spans="5:5" ht="15.75" customHeight="1">
      <c r="E350" s="516"/>
    </row>
    <row r="351" spans="5:5" ht="15.75" customHeight="1">
      <c r="E351" s="516"/>
    </row>
    <row r="352" spans="5:5" ht="15.75" customHeight="1">
      <c r="E352" s="516"/>
    </row>
    <row r="353" spans="5:5" ht="15.75" customHeight="1">
      <c r="E353" s="516"/>
    </row>
    <row r="354" spans="5:5" ht="15.75" customHeight="1">
      <c r="E354" s="516"/>
    </row>
    <row r="355" spans="5:5" ht="15.75" customHeight="1">
      <c r="E355" s="516"/>
    </row>
    <row r="356" spans="5:5" ht="15.75" customHeight="1">
      <c r="E356" s="516"/>
    </row>
    <row r="357" spans="5:5" ht="15.75" customHeight="1">
      <c r="E357" s="516"/>
    </row>
    <row r="358" spans="5:5" ht="15.75" customHeight="1">
      <c r="E358" s="516"/>
    </row>
    <row r="359" spans="5:5" ht="15.75" customHeight="1">
      <c r="E359" s="516"/>
    </row>
    <row r="360" spans="5:5" ht="15.75" customHeight="1">
      <c r="E360" s="516"/>
    </row>
    <row r="361" spans="5:5" ht="15.75" customHeight="1">
      <c r="E361" s="516"/>
    </row>
    <row r="362" spans="5:5" ht="15.75" customHeight="1">
      <c r="E362" s="516"/>
    </row>
    <row r="363" spans="5:5" ht="15.75" customHeight="1">
      <c r="E363" s="516"/>
    </row>
    <row r="364" spans="5:5" ht="15.75" customHeight="1">
      <c r="E364" s="516"/>
    </row>
    <row r="365" spans="5:5" ht="15.75" customHeight="1">
      <c r="E365" s="516"/>
    </row>
    <row r="366" spans="5:5" ht="15.75" customHeight="1">
      <c r="E366" s="516"/>
    </row>
    <row r="367" spans="5:5" ht="15.75" customHeight="1">
      <c r="E367" s="516"/>
    </row>
    <row r="368" spans="5:5" ht="15.75" customHeight="1">
      <c r="E368" s="516"/>
    </row>
    <row r="369" spans="5:5" ht="15.75" customHeight="1">
      <c r="E369" s="516"/>
    </row>
    <row r="370" spans="5:5" ht="15.75" customHeight="1">
      <c r="E370" s="516"/>
    </row>
    <row r="371" spans="5:5" ht="15.75" customHeight="1">
      <c r="E371" s="516"/>
    </row>
    <row r="372" spans="5:5" ht="15.75" customHeight="1">
      <c r="E372" s="516"/>
    </row>
    <row r="373" spans="5:5" ht="15.75" customHeight="1">
      <c r="E373" s="516"/>
    </row>
    <row r="374" spans="5:5" ht="15.75" customHeight="1">
      <c r="E374" s="516"/>
    </row>
    <row r="375" spans="5:5" ht="15.75" customHeight="1">
      <c r="E375" s="516"/>
    </row>
    <row r="376" spans="5:5" ht="15.75" customHeight="1">
      <c r="E376" s="516"/>
    </row>
    <row r="377" spans="5:5" ht="15.75" customHeight="1">
      <c r="E377" s="516"/>
    </row>
    <row r="378" spans="5:5" ht="15.75" customHeight="1">
      <c r="E378" s="516"/>
    </row>
    <row r="379" spans="5:5" ht="15.75" customHeight="1">
      <c r="E379" s="516"/>
    </row>
    <row r="380" spans="5:5" ht="15.75" customHeight="1">
      <c r="E380" s="516"/>
    </row>
    <row r="381" spans="5:5" ht="15.75" customHeight="1">
      <c r="E381" s="516"/>
    </row>
    <row r="382" spans="5:5" ht="15.75" customHeight="1">
      <c r="E382" s="516"/>
    </row>
    <row r="383" spans="5:5" ht="15.75" customHeight="1">
      <c r="E383" s="516"/>
    </row>
    <row r="384" spans="5:5" ht="15.75" customHeight="1">
      <c r="E384" s="516"/>
    </row>
    <row r="385" spans="5:5" ht="15.75" customHeight="1">
      <c r="E385" s="516"/>
    </row>
    <row r="386" spans="5:5" ht="15.75" customHeight="1">
      <c r="E386" s="516"/>
    </row>
    <row r="387" spans="5:5" ht="15.75" customHeight="1">
      <c r="E387" s="516"/>
    </row>
    <row r="388" spans="5:5" ht="15.75" customHeight="1">
      <c r="E388" s="516"/>
    </row>
    <row r="389" spans="5:5" ht="15.75" customHeight="1">
      <c r="E389" s="516"/>
    </row>
    <row r="390" spans="5:5" ht="15.75" customHeight="1">
      <c r="E390" s="516"/>
    </row>
    <row r="391" spans="5:5" ht="15.75" customHeight="1">
      <c r="E391" s="516"/>
    </row>
    <row r="392" spans="5:5" ht="15.75" customHeight="1">
      <c r="E392" s="516"/>
    </row>
    <row r="393" spans="5:5" ht="15.75" customHeight="1">
      <c r="E393" s="516"/>
    </row>
    <row r="394" spans="5:5" ht="15.75" customHeight="1">
      <c r="E394" s="516"/>
    </row>
    <row r="395" spans="5:5" ht="15.75" customHeight="1">
      <c r="E395" s="516"/>
    </row>
    <row r="396" spans="5:5" ht="15.75" customHeight="1">
      <c r="E396" s="516"/>
    </row>
    <row r="397" spans="5:5" ht="15.75" customHeight="1">
      <c r="E397" s="516"/>
    </row>
    <row r="398" spans="5:5" ht="15.75" customHeight="1">
      <c r="E398" s="516"/>
    </row>
    <row r="399" spans="5:5" ht="15.75" customHeight="1">
      <c r="E399" s="516"/>
    </row>
    <row r="400" spans="5:5" ht="15.75" customHeight="1">
      <c r="E400" s="516"/>
    </row>
    <row r="401" spans="5:5" ht="15.75" customHeight="1">
      <c r="E401" s="516"/>
    </row>
    <row r="402" spans="5:5" ht="15.75" customHeight="1">
      <c r="E402" s="516"/>
    </row>
    <row r="403" spans="5:5" ht="15.75" customHeight="1">
      <c r="E403" s="516"/>
    </row>
    <row r="404" spans="5:5" ht="15.75" customHeight="1">
      <c r="E404" s="516"/>
    </row>
    <row r="405" spans="5:5" ht="15.75" customHeight="1">
      <c r="E405" s="516"/>
    </row>
    <row r="406" spans="5:5" ht="15.75" customHeight="1">
      <c r="E406" s="516"/>
    </row>
    <row r="407" spans="5:5" ht="15.75" customHeight="1">
      <c r="E407" s="516"/>
    </row>
    <row r="408" spans="5:5" ht="15.75" customHeight="1">
      <c r="E408" s="516"/>
    </row>
    <row r="409" spans="5:5" ht="15.75" customHeight="1">
      <c r="E409" s="516"/>
    </row>
    <row r="410" spans="5:5" ht="15.75" customHeight="1">
      <c r="E410" s="516"/>
    </row>
    <row r="411" spans="5:5" ht="15.75" customHeight="1">
      <c r="E411" s="516"/>
    </row>
    <row r="412" spans="5:5" ht="15.75" customHeight="1">
      <c r="E412" s="516"/>
    </row>
    <row r="413" spans="5:5" ht="15.75" customHeight="1">
      <c r="E413" s="516"/>
    </row>
    <row r="414" spans="5:5" ht="15.75" customHeight="1">
      <c r="E414" s="516"/>
    </row>
    <row r="415" spans="5:5" ht="15.75" customHeight="1">
      <c r="E415" s="516"/>
    </row>
    <row r="416" spans="5:5" ht="15.75" customHeight="1">
      <c r="E416" s="516"/>
    </row>
    <row r="417" spans="5:5" ht="15.75" customHeight="1">
      <c r="E417" s="516"/>
    </row>
    <row r="418" spans="5:5" ht="15.75" customHeight="1">
      <c r="E418" s="516"/>
    </row>
    <row r="419" spans="5:5" ht="15.75" customHeight="1">
      <c r="E419" s="516"/>
    </row>
    <row r="420" spans="5:5" ht="15.75" customHeight="1">
      <c r="E420" s="516"/>
    </row>
    <row r="421" spans="5:5" ht="15.75" customHeight="1">
      <c r="E421" s="516"/>
    </row>
    <row r="422" spans="5:5" ht="15.75" customHeight="1">
      <c r="E422" s="516"/>
    </row>
    <row r="423" spans="5:5" ht="15.75" customHeight="1">
      <c r="E423" s="516"/>
    </row>
    <row r="424" spans="5:5" ht="15.75" customHeight="1">
      <c r="E424" s="516"/>
    </row>
    <row r="425" spans="5:5" ht="15.75" customHeight="1">
      <c r="E425" s="516"/>
    </row>
    <row r="426" spans="5:5" ht="15.75" customHeight="1">
      <c r="E426" s="516"/>
    </row>
    <row r="427" spans="5:5" ht="15.75" customHeight="1">
      <c r="E427" s="516"/>
    </row>
    <row r="428" spans="5:5" ht="15.75" customHeight="1">
      <c r="E428" s="516"/>
    </row>
    <row r="429" spans="5:5" ht="15.75" customHeight="1">
      <c r="E429" s="516"/>
    </row>
    <row r="430" spans="5:5" ht="15.75" customHeight="1">
      <c r="E430" s="516"/>
    </row>
    <row r="431" spans="5:5" ht="15.75" customHeight="1">
      <c r="E431" s="516"/>
    </row>
    <row r="432" spans="5:5" ht="15.75" customHeight="1">
      <c r="E432" s="516"/>
    </row>
    <row r="433" spans="5:5" ht="15.75" customHeight="1">
      <c r="E433" s="516"/>
    </row>
    <row r="434" spans="5:5" ht="15.75" customHeight="1">
      <c r="E434" s="516"/>
    </row>
    <row r="435" spans="5:5" ht="15.75" customHeight="1">
      <c r="E435" s="516"/>
    </row>
    <row r="436" spans="5:5" ht="15.75" customHeight="1">
      <c r="E436" s="516"/>
    </row>
    <row r="437" spans="5:5" ht="15.75" customHeight="1">
      <c r="E437" s="516"/>
    </row>
    <row r="438" spans="5:5" ht="15.75" customHeight="1">
      <c r="E438" s="516"/>
    </row>
    <row r="439" spans="5:5" ht="15.75" customHeight="1">
      <c r="E439" s="516"/>
    </row>
    <row r="440" spans="5:5" ht="15.75" customHeight="1">
      <c r="E440" s="516"/>
    </row>
    <row r="441" spans="5:5" ht="15.75" customHeight="1">
      <c r="E441" s="516"/>
    </row>
    <row r="442" spans="5:5" ht="15.75" customHeight="1">
      <c r="E442" s="516"/>
    </row>
    <row r="443" spans="5:5" ht="15.75" customHeight="1">
      <c r="E443" s="516"/>
    </row>
    <row r="444" spans="5:5" ht="15.75" customHeight="1">
      <c r="E444" s="516"/>
    </row>
    <row r="445" spans="5:5" ht="15.75" customHeight="1">
      <c r="E445" s="516"/>
    </row>
    <row r="446" spans="5:5" ht="15.75" customHeight="1">
      <c r="E446" s="516"/>
    </row>
    <row r="447" spans="5:5" ht="15.75" customHeight="1">
      <c r="E447" s="516"/>
    </row>
    <row r="448" spans="5:5" ht="15.75" customHeight="1">
      <c r="E448" s="516"/>
    </row>
    <row r="449" spans="5:5" ht="15.75" customHeight="1">
      <c r="E449" s="516"/>
    </row>
    <row r="450" spans="5:5" ht="15.75" customHeight="1">
      <c r="E450" s="516"/>
    </row>
    <row r="451" spans="5:5" ht="15.75" customHeight="1">
      <c r="E451" s="516"/>
    </row>
    <row r="452" spans="5:5" ht="15.75" customHeight="1">
      <c r="E452" s="516"/>
    </row>
    <row r="453" spans="5:5" ht="15.75" customHeight="1">
      <c r="E453" s="516"/>
    </row>
    <row r="454" spans="5:5" ht="15.75" customHeight="1">
      <c r="E454" s="516"/>
    </row>
    <row r="455" spans="5:5" ht="15.75" customHeight="1">
      <c r="E455" s="516"/>
    </row>
    <row r="456" spans="5:5" ht="15.75" customHeight="1">
      <c r="E456" s="516"/>
    </row>
    <row r="457" spans="5:5" ht="15.75" customHeight="1">
      <c r="E457" s="516"/>
    </row>
    <row r="458" spans="5:5" ht="15.75" customHeight="1">
      <c r="E458" s="516"/>
    </row>
    <row r="459" spans="5:5" ht="15.75" customHeight="1">
      <c r="E459" s="516"/>
    </row>
    <row r="460" spans="5:5" ht="15.75" customHeight="1">
      <c r="E460" s="516"/>
    </row>
    <row r="461" spans="5:5" ht="15.75" customHeight="1">
      <c r="E461" s="516"/>
    </row>
    <row r="462" spans="5:5" ht="15.75" customHeight="1">
      <c r="E462" s="516"/>
    </row>
    <row r="463" spans="5:5" ht="15.75" customHeight="1">
      <c r="E463" s="516"/>
    </row>
    <row r="464" spans="5:5" ht="15.75" customHeight="1">
      <c r="E464" s="516"/>
    </row>
    <row r="465" spans="5:5" ht="15.75" customHeight="1">
      <c r="E465" s="516"/>
    </row>
    <row r="466" spans="5:5" ht="15.75" customHeight="1">
      <c r="E466" s="516"/>
    </row>
    <row r="467" spans="5:5" ht="15.75" customHeight="1">
      <c r="E467" s="516"/>
    </row>
    <row r="468" spans="5:5" ht="15.75" customHeight="1">
      <c r="E468" s="516"/>
    </row>
    <row r="469" spans="5:5" ht="15.75" customHeight="1">
      <c r="E469" s="516"/>
    </row>
    <row r="470" spans="5:5" ht="15.75" customHeight="1">
      <c r="E470" s="516"/>
    </row>
    <row r="471" spans="5:5" ht="15.75" customHeight="1">
      <c r="E471" s="516"/>
    </row>
    <row r="472" spans="5:5" ht="15.75" customHeight="1">
      <c r="E472" s="516"/>
    </row>
    <row r="473" spans="5:5" ht="15.75" customHeight="1">
      <c r="E473" s="516"/>
    </row>
    <row r="474" spans="5:5" ht="15.75" customHeight="1">
      <c r="E474" s="516"/>
    </row>
    <row r="475" spans="5:5" ht="15.75" customHeight="1">
      <c r="E475" s="516"/>
    </row>
    <row r="476" spans="5:5" ht="15.75" customHeight="1">
      <c r="E476" s="516"/>
    </row>
    <row r="477" spans="5:5" ht="15.75" customHeight="1">
      <c r="E477" s="516"/>
    </row>
    <row r="478" spans="5:5" ht="15.75" customHeight="1">
      <c r="E478" s="516"/>
    </row>
    <row r="479" spans="5:5" ht="15.75" customHeight="1">
      <c r="E479" s="516"/>
    </row>
    <row r="480" spans="5:5" ht="15.75" customHeight="1">
      <c r="E480" s="516"/>
    </row>
    <row r="481" spans="5:5" ht="15.75" customHeight="1">
      <c r="E481" s="516"/>
    </row>
    <row r="482" spans="5:5" ht="15.75" customHeight="1">
      <c r="E482" s="516"/>
    </row>
    <row r="483" spans="5:5" ht="15.75" customHeight="1">
      <c r="E483" s="516"/>
    </row>
    <row r="484" spans="5:5" ht="15.75" customHeight="1">
      <c r="E484" s="516"/>
    </row>
    <row r="485" spans="5:5" ht="15.75" customHeight="1">
      <c r="E485" s="516"/>
    </row>
    <row r="486" spans="5:5" ht="15.75" customHeight="1">
      <c r="E486" s="516"/>
    </row>
    <row r="487" spans="5:5" ht="15.75" customHeight="1">
      <c r="E487" s="516"/>
    </row>
    <row r="488" spans="5:5" ht="15.75" customHeight="1">
      <c r="E488" s="516"/>
    </row>
    <row r="489" spans="5:5" ht="15.75" customHeight="1">
      <c r="E489" s="516"/>
    </row>
    <row r="490" spans="5:5" ht="15.75" customHeight="1">
      <c r="E490" s="516"/>
    </row>
    <row r="491" spans="5:5" ht="15.75" customHeight="1">
      <c r="E491" s="516"/>
    </row>
    <row r="492" spans="5:5" ht="15.75" customHeight="1">
      <c r="E492" s="516"/>
    </row>
    <row r="493" spans="5:5" ht="15.75" customHeight="1">
      <c r="E493" s="516"/>
    </row>
    <row r="494" spans="5:5" ht="15.75" customHeight="1">
      <c r="E494" s="516"/>
    </row>
    <row r="495" spans="5:5" ht="15.75" customHeight="1">
      <c r="E495" s="516"/>
    </row>
    <row r="496" spans="5:5" ht="15.75" customHeight="1">
      <c r="E496" s="516"/>
    </row>
    <row r="497" spans="5:5" ht="15.75" customHeight="1">
      <c r="E497" s="516"/>
    </row>
    <row r="498" spans="5:5" ht="15.75" customHeight="1">
      <c r="E498" s="516"/>
    </row>
    <row r="499" spans="5:5" ht="15.75" customHeight="1">
      <c r="E499" s="516"/>
    </row>
    <row r="500" spans="5:5" ht="15.75" customHeight="1">
      <c r="E500" s="516"/>
    </row>
    <row r="501" spans="5:5" ht="15.75" customHeight="1">
      <c r="E501" s="516"/>
    </row>
    <row r="502" spans="5:5" ht="15.75" customHeight="1">
      <c r="E502" s="516"/>
    </row>
    <row r="503" spans="5:5" ht="15.75" customHeight="1">
      <c r="E503" s="516"/>
    </row>
    <row r="504" spans="5:5" ht="15.75" customHeight="1">
      <c r="E504" s="516"/>
    </row>
    <row r="505" spans="5:5" ht="15.75" customHeight="1">
      <c r="E505" s="516"/>
    </row>
    <row r="506" spans="5:5" ht="15.75" customHeight="1">
      <c r="E506" s="516"/>
    </row>
    <row r="507" spans="5:5" ht="15.75" customHeight="1">
      <c r="E507" s="516"/>
    </row>
    <row r="508" spans="5:5" ht="15.75" customHeight="1">
      <c r="E508" s="516"/>
    </row>
    <row r="509" spans="5:5" ht="15.75" customHeight="1">
      <c r="E509" s="516"/>
    </row>
    <row r="510" spans="5:5" ht="15.75" customHeight="1">
      <c r="E510" s="516"/>
    </row>
    <row r="511" spans="5:5" ht="15.75" customHeight="1">
      <c r="E511" s="516"/>
    </row>
    <row r="512" spans="5:5" ht="15.75" customHeight="1">
      <c r="E512" s="516"/>
    </row>
    <row r="513" spans="5:5" ht="15.75" customHeight="1">
      <c r="E513" s="516"/>
    </row>
    <row r="514" spans="5:5" ht="15.75" customHeight="1">
      <c r="E514" s="516"/>
    </row>
    <row r="515" spans="5:5" ht="15.75" customHeight="1">
      <c r="E515" s="516"/>
    </row>
    <row r="516" spans="5:5" ht="15.75" customHeight="1">
      <c r="E516" s="516"/>
    </row>
    <row r="517" spans="5:5" ht="15.75" customHeight="1">
      <c r="E517" s="516"/>
    </row>
    <row r="518" spans="5:5" ht="15.75" customHeight="1">
      <c r="E518" s="516"/>
    </row>
    <row r="519" spans="5:5" ht="15.75" customHeight="1">
      <c r="E519" s="516"/>
    </row>
    <row r="520" spans="5:5" ht="15.75" customHeight="1">
      <c r="E520" s="516"/>
    </row>
    <row r="521" spans="5:5" ht="15.75" customHeight="1">
      <c r="E521" s="516"/>
    </row>
    <row r="522" spans="5:5" ht="15.75" customHeight="1">
      <c r="E522" s="516"/>
    </row>
    <row r="523" spans="5:5" ht="15.75" customHeight="1">
      <c r="E523" s="516"/>
    </row>
    <row r="524" spans="5:5" ht="15.75" customHeight="1">
      <c r="E524" s="516"/>
    </row>
    <row r="525" spans="5:5" ht="15.75" customHeight="1">
      <c r="E525" s="516"/>
    </row>
    <row r="526" spans="5:5" ht="15.75" customHeight="1">
      <c r="E526" s="516"/>
    </row>
    <row r="527" spans="5:5" ht="15.75" customHeight="1">
      <c r="E527" s="516"/>
    </row>
    <row r="528" spans="5:5" ht="15.75" customHeight="1">
      <c r="E528" s="516"/>
    </row>
    <row r="529" spans="5:5" ht="15.75" customHeight="1">
      <c r="E529" s="516"/>
    </row>
    <row r="530" spans="5:5" ht="15.75" customHeight="1">
      <c r="E530" s="516"/>
    </row>
    <row r="531" spans="5:5" ht="15.75" customHeight="1">
      <c r="E531" s="516"/>
    </row>
    <row r="532" spans="5:5" ht="15.75" customHeight="1">
      <c r="E532" s="516"/>
    </row>
    <row r="533" spans="5:5" ht="15.75" customHeight="1">
      <c r="E533" s="516"/>
    </row>
    <row r="534" spans="5:5" ht="15.75" customHeight="1">
      <c r="E534" s="516"/>
    </row>
    <row r="535" spans="5:5" ht="15.75" customHeight="1">
      <c r="E535" s="516"/>
    </row>
    <row r="536" spans="5:5" ht="15.75" customHeight="1">
      <c r="E536" s="516"/>
    </row>
    <row r="537" spans="5:5" ht="15.75" customHeight="1">
      <c r="E537" s="516"/>
    </row>
    <row r="538" spans="5:5" ht="15.75" customHeight="1">
      <c r="E538" s="516"/>
    </row>
    <row r="539" spans="5:5" ht="15.75" customHeight="1">
      <c r="E539" s="516"/>
    </row>
    <row r="540" spans="5:5" ht="15.75" customHeight="1">
      <c r="E540" s="516"/>
    </row>
    <row r="541" spans="5:5" ht="15.75" customHeight="1">
      <c r="E541" s="516"/>
    </row>
    <row r="542" spans="5:5" ht="15.75" customHeight="1">
      <c r="E542" s="516"/>
    </row>
    <row r="543" spans="5:5" ht="15.75" customHeight="1">
      <c r="E543" s="516"/>
    </row>
    <row r="544" spans="5:5" ht="15.75" customHeight="1">
      <c r="E544" s="516"/>
    </row>
    <row r="545" spans="5:5" ht="15.75" customHeight="1">
      <c r="E545" s="516"/>
    </row>
    <row r="546" spans="5:5" ht="15.75" customHeight="1">
      <c r="E546" s="516"/>
    </row>
    <row r="547" spans="5:5" ht="15.75" customHeight="1">
      <c r="E547" s="516"/>
    </row>
    <row r="548" spans="5:5" ht="15.75" customHeight="1">
      <c r="E548" s="516"/>
    </row>
    <row r="549" spans="5:5" ht="15.75" customHeight="1">
      <c r="E549" s="516"/>
    </row>
    <row r="550" spans="5:5" ht="15.75" customHeight="1">
      <c r="E550" s="516"/>
    </row>
    <row r="551" spans="5:5" ht="15.75" customHeight="1">
      <c r="E551" s="516"/>
    </row>
    <row r="552" spans="5:5" ht="15.75" customHeight="1">
      <c r="E552" s="516"/>
    </row>
    <row r="553" spans="5:5" ht="15.75" customHeight="1">
      <c r="E553" s="516"/>
    </row>
    <row r="554" spans="5:5" ht="15.75" customHeight="1">
      <c r="E554" s="516"/>
    </row>
    <row r="555" spans="5:5" ht="15.75" customHeight="1">
      <c r="E555" s="516"/>
    </row>
    <row r="556" spans="5:5" ht="15.75" customHeight="1">
      <c r="E556" s="516"/>
    </row>
    <row r="557" spans="5:5" ht="15.75" customHeight="1">
      <c r="E557" s="516"/>
    </row>
    <row r="558" spans="5:5" ht="15.75" customHeight="1">
      <c r="E558" s="516"/>
    </row>
    <row r="559" spans="5:5" ht="15.75" customHeight="1">
      <c r="E559" s="516"/>
    </row>
    <row r="560" spans="5:5" ht="15.75" customHeight="1">
      <c r="E560" s="516"/>
    </row>
    <row r="561" spans="5:5" ht="15.75" customHeight="1">
      <c r="E561" s="516"/>
    </row>
    <row r="562" spans="5:5" ht="15.75" customHeight="1">
      <c r="E562" s="516"/>
    </row>
    <row r="563" spans="5:5" ht="15.75" customHeight="1">
      <c r="E563" s="516"/>
    </row>
    <row r="564" spans="5:5" ht="15.75" customHeight="1">
      <c r="E564" s="516"/>
    </row>
    <row r="565" spans="5:5" ht="15.75" customHeight="1">
      <c r="E565" s="516"/>
    </row>
    <row r="566" spans="5:5" ht="15.75" customHeight="1">
      <c r="E566" s="516"/>
    </row>
    <row r="567" spans="5:5" ht="15.75" customHeight="1">
      <c r="E567" s="516"/>
    </row>
    <row r="568" spans="5:5" ht="15.75" customHeight="1">
      <c r="E568" s="516"/>
    </row>
    <row r="569" spans="5:5" ht="15.75" customHeight="1">
      <c r="E569" s="516"/>
    </row>
    <row r="570" spans="5:5" ht="15.75" customHeight="1">
      <c r="E570" s="516"/>
    </row>
    <row r="571" spans="5:5" ht="15.75" customHeight="1">
      <c r="E571" s="516"/>
    </row>
    <row r="572" spans="5:5" ht="15.75" customHeight="1">
      <c r="E572" s="516"/>
    </row>
    <row r="573" spans="5:5" ht="15.75" customHeight="1">
      <c r="E573" s="516"/>
    </row>
    <row r="574" spans="5:5" ht="15.75" customHeight="1">
      <c r="E574" s="516"/>
    </row>
    <row r="575" spans="5:5" ht="15.75" customHeight="1">
      <c r="E575" s="516"/>
    </row>
    <row r="576" spans="5:5" ht="15.75" customHeight="1">
      <c r="E576" s="516"/>
    </row>
    <row r="577" spans="5:5" ht="15.75" customHeight="1">
      <c r="E577" s="516"/>
    </row>
    <row r="578" spans="5:5" ht="15.75" customHeight="1">
      <c r="E578" s="516"/>
    </row>
    <row r="579" spans="5:5" ht="15.75" customHeight="1">
      <c r="E579" s="516"/>
    </row>
    <row r="580" spans="5:5" ht="15.75" customHeight="1">
      <c r="E580" s="516"/>
    </row>
    <row r="581" spans="5:5" ht="15.75" customHeight="1">
      <c r="E581" s="516"/>
    </row>
    <row r="582" spans="5:5" ht="15.75" customHeight="1">
      <c r="E582" s="516"/>
    </row>
    <row r="583" spans="5:5" ht="15.75" customHeight="1">
      <c r="E583" s="516"/>
    </row>
    <row r="584" spans="5:5" ht="15.75" customHeight="1">
      <c r="E584" s="516"/>
    </row>
    <row r="585" spans="5:5" ht="15.75" customHeight="1">
      <c r="E585" s="516"/>
    </row>
    <row r="586" spans="5:5" ht="15.75" customHeight="1">
      <c r="E586" s="516"/>
    </row>
    <row r="587" spans="5:5" ht="15.75" customHeight="1">
      <c r="E587" s="516"/>
    </row>
    <row r="588" spans="5:5" ht="15.75" customHeight="1">
      <c r="E588" s="516"/>
    </row>
    <row r="589" spans="5:5" ht="15.75" customHeight="1">
      <c r="E589" s="516"/>
    </row>
    <row r="590" spans="5:5" ht="15.75" customHeight="1">
      <c r="E590" s="516"/>
    </row>
    <row r="591" spans="5:5" ht="15.75" customHeight="1">
      <c r="E591" s="516"/>
    </row>
    <row r="592" spans="5:5" ht="15.75" customHeight="1">
      <c r="E592" s="516"/>
    </row>
    <row r="593" spans="5:5" ht="15.75" customHeight="1">
      <c r="E593" s="516"/>
    </row>
    <row r="594" spans="5:5" ht="15.75" customHeight="1">
      <c r="E594" s="516"/>
    </row>
    <row r="595" spans="5:5" ht="15.75" customHeight="1">
      <c r="E595" s="516"/>
    </row>
    <row r="596" spans="5:5" ht="15.75" customHeight="1">
      <c r="E596" s="516"/>
    </row>
    <row r="597" spans="5:5" ht="15.75" customHeight="1">
      <c r="E597" s="516"/>
    </row>
    <row r="598" spans="5:5" ht="15.75" customHeight="1">
      <c r="E598" s="516"/>
    </row>
    <row r="599" spans="5:5" ht="15.75" customHeight="1">
      <c r="E599" s="516"/>
    </row>
    <row r="600" spans="5:5" ht="15.75" customHeight="1">
      <c r="E600" s="516"/>
    </row>
    <row r="601" spans="5:5" ht="15.75" customHeight="1">
      <c r="E601" s="516"/>
    </row>
    <row r="602" spans="5:5" ht="15.75" customHeight="1">
      <c r="E602" s="516"/>
    </row>
    <row r="603" spans="5:5" ht="15.75" customHeight="1">
      <c r="E603" s="516"/>
    </row>
    <row r="604" spans="5:5" ht="15.75" customHeight="1">
      <c r="E604" s="516"/>
    </row>
    <row r="605" spans="5:5" ht="15.75" customHeight="1">
      <c r="E605" s="516"/>
    </row>
    <row r="606" spans="5:5" ht="15.75" customHeight="1">
      <c r="E606" s="516"/>
    </row>
    <row r="607" spans="5:5" ht="15.75" customHeight="1">
      <c r="E607" s="516"/>
    </row>
    <row r="608" spans="5:5" ht="15.75" customHeight="1">
      <c r="E608" s="516"/>
    </row>
    <row r="609" spans="5:5" ht="15.75" customHeight="1">
      <c r="E609" s="516"/>
    </row>
    <row r="610" spans="5:5" ht="15.75" customHeight="1">
      <c r="E610" s="516"/>
    </row>
    <row r="611" spans="5:5" ht="15.75" customHeight="1">
      <c r="E611" s="516"/>
    </row>
    <row r="612" spans="5:5" ht="15.75" customHeight="1">
      <c r="E612" s="516"/>
    </row>
    <row r="613" spans="5:5" ht="15.75" customHeight="1">
      <c r="E613" s="516"/>
    </row>
    <row r="614" spans="5:5" ht="15.75" customHeight="1">
      <c r="E614" s="516"/>
    </row>
    <row r="615" spans="5:5" ht="15.75" customHeight="1">
      <c r="E615" s="516"/>
    </row>
    <row r="616" spans="5:5" ht="15.75" customHeight="1">
      <c r="E616" s="516"/>
    </row>
    <row r="617" spans="5:5" ht="15.75" customHeight="1">
      <c r="E617" s="516"/>
    </row>
    <row r="618" spans="5:5" ht="15.75" customHeight="1">
      <c r="E618" s="516"/>
    </row>
    <row r="619" spans="5:5" ht="15.75" customHeight="1">
      <c r="E619" s="516"/>
    </row>
    <row r="620" spans="5:5" ht="15.75" customHeight="1">
      <c r="E620" s="516"/>
    </row>
    <row r="621" spans="5:5" ht="15.75" customHeight="1">
      <c r="E621" s="516"/>
    </row>
    <row r="622" spans="5:5" ht="15.75" customHeight="1">
      <c r="E622" s="516"/>
    </row>
    <row r="623" spans="5:5" ht="15.75" customHeight="1">
      <c r="E623" s="516"/>
    </row>
    <row r="624" spans="5:5" ht="15.75" customHeight="1">
      <c r="E624" s="516"/>
    </row>
    <row r="625" spans="5:5" ht="15.75" customHeight="1">
      <c r="E625" s="516"/>
    </row>
    <row r="626" spans="5:5" ht="15.75" customHeight="1">
      <c r="E626" s="516"/>
    </row>
    <row r="627" spans="5:5" ht="15.75" customHeight="1">
      <c r="E627" s="516"/>
    </row>
    <row r="628" spans="5:5" ht="15.75" customHeight="1">
      <c r="E628" s="516"/>
    </row>
    <row r="629" spans="5:5" ht="15.75" customHeight="1">
      <c r="E629" s="516"/>
    </row>
    <row r="630" spans="5:5" ht="15.75" customHeight="1">
      <c r="E630" s="516"/>
    </row>
    <row r="631" spans="5:5" ht="15.75" customHeight="1">
      <c r="E631" s="516"/>
    </row>
    <row r="632" spans="5:5" ht="15.75" customHeight="1">
      <c r="E632" s="516"/>
    </row>
    <row r="633" spans="5:5" ht="15.75" customHeight="1">
      <c r="E633" s="516"/>
    </row>
    <row r="634" spans="5:5" ht="15.75" customHeight="1">
      <c r="E634" s="516"/>
    </row>
    <row r="635" spans="5:5" ht="15.75" customHeight="1">
      <c r="E635" s="516"/>
    </row>
    <row r="636" spans="5:5" ht="15.75" customHeight="1">
      <c r="E636" s="516"/>
    </row>
    <row r="637" spans="5:5" ht="15.75" customHeight="1">
      <c r="E637" s="516"/>
    </row>
    <row r="638" spans="5:5" ht="15.75" customHeight="1">
      <c r="E638" s="516"/>
    </row>
    <row r="639" spans="5:5" ht="15.75" customHeight="1">
      <c r="E639" s="516"/>
    </row>
    <row r="640" spans="5:5" ht="15.75" customHeight="1">
      <c r="E640" s="516"/>
    </row>
    <row r="641" spans="5:5" ht="15.75" customHeight="1">
      <c r="E641" s="516"/>
    </row>
    <row r="642" spans="5:5" ht="15.75" customHeight="1">
      <c r="E642" s="516"/>
    </row>
    <row r="643" spans="5:5" ht="15.75" customHeight="1">
      <c r="E643" s="516"/>
    </row>
    <row r="644" spans="5:5" ht="15.75" customHeight="1">
      <c r="E644" s="516"/>
    </row>
    <row r="645" spans="5:5" ht="15.75" customHeight="1">
      <c r="E645" s="516"/>
    </row>
    <row r="646" spans="5:5" ht="15.75" customHeight="1">
      <c r="E646" s="516"/>
    </row>
    <row r="647" spans="5:5" ht="15.75" customHeight="1">
      <c r="E647" s="516"/>
    </row>
    <row r="648" spans="5:5" ht="15.75" customHeight="1">
      <c r="E648" s="516"/>
    </row>
    <row r="649" spans="5:5" ht="15.75" customHeight="1">
      <c r="E649" s="516"/>
    </row>
    <row r="650" spans="5:5" ht="15.75" customHeight="1">
      <c r="E650" s="516"/>
    </row>
    <row r="651" spans="5:5" ht="15.75" customHeight="1">
      <c r="E651" s="516"/>
    </row>
    <row r="652" spans="5:5" ht="15.75" customHeight="1">
      <c r="E652" s="516"/>
    </row>
    <row r="653" spans="5:5" ht="15.75" customHeight="1">
      <c r="E653" s="516"/>
    </row>
    <row r="654" spans="5:5" ht="15.75" customHeight="1">
      <c r="E654" s="516"/>
    </row>
    <row r="655" spans="5:5" ht="15.75" customHeight="1">
      <c r="E655" s="516"/>
    </row>
    <row r="656" spans="5:5" ht="15.75" customHeight="1">
      <c r="E656" s="516"/>
    </row>
    <row r="657" spans="5:5" ht="15.75" customHeight="1">
      <c r="E657" s="516"/>
    </row>
    <row r="658" spans="5:5" ht="15.75" customHeight="1">
      <c r="E658" s="516"/>
    </row>
    <row r="659" spans="5:5" ht="15.75" customHeight="1">
      <c r="E659" s="516"/>
    </row>
    <row r="660" spans="5:5" ht="15.75" customHeight="1">
      <c r="E660" s="516"/>
    </row>
    <row r="661" spans="5:5" ht="15.75" customHeight="1">
      <c r="E661" s="516"/>
    </row>
    <row r="662" spans="5:5" ht="15.75" customHeight="1">
      <c r="E662" s="516"/>
    </row>
    <row r="663" spans="5:5" ht="15.75" customHeight="1">
      <c r="E663" s="516"/>
    </row>
    <row r="664" spans="5:5" ht="15.75" customHeight="1">
      <c r="E664" s="516"/>
    </row>
    <row r="665" spans="5:5" ht="15.75" customHeight="1">
      <c r="E665" s="516"/>
    </row>
    <row r="666" spans="5:5" ht="15.75" customHeight="1">
      <c r="E666" s="516"/>
    </row>
    <row r="667" spans="5:5" ht="15.75" customHeight="1">
      <c r="E667" s="516"/>
    </row>
    <row r="668" spans="5:5" ht="15.75" customHeight="1">
      <c r="E668" s="516"/>
    </row>
    <row r="669" spans="5:5" ht="15.75" customHeight="1">
      <c r="E669" s="516"/>
    </row>
    <row r="670" spans="5:5" ht="15.75" customHeight="1">
      <c r="E670" s="516"/>
    </row>
    <row r="671" spans="5:5" ht="15.75" customHeight="1">
      <c r="E671" s="516"/>
    </row>
    <row r="672" spans="5:5" ht="15.75" customHeight="1">
      <c r="E672" s="516"/>
    </row>
    <row r="673" spans="5:5" ht="15.75" customHeight="1">
      <c r="E673" s="516"/>
    </row>
    <row r="674" spans="5:5" ht="15.75" customHeight="1">
      <c r="E674" s="516"/>
    </row>
    <row r="675" spans="5:5" ht="15.75" customHeight="1">
      <c r="E675" s="516"/>
    </row>
    <row r="676" spans="5:5" ht="15.75" customHeight="1">
      <c r="E676" s="516"/>
    </row>
    <row r="677" spans="5:5" ht="15.75" customHeight="1">
      <c r="E677" s="516"/>
    </row>
    <row r="678" spans="5:5" ht="15.75" customHeight="1">
      <c r="E678" s="516"/>
    </row>
    <row r="679" spans="5:5" ht="15.75" customHeight="1">
      <c r="E679" s="516"/>
    </row>
    <row r="680" spans="5:5" ht="15.75" customHeight="1">
      <c r="E680" s="516"/>
    </row>
    <row r="681" spans="5:5" ht="15.75" customHeight="1">
      <c r="E681" s="516"/>
    </row>
    <row r="682" spans="5:5" ht="15.75" customHeight="1">
      <c r="E682" s="516"/>
    </row>
    <row r="683" spans="5:5" ht="15.75" customHeight="1">
      <c r="E683" s="516"/>
    </row>
    <row r="684" spans="5:5" ht="15.75" customHeight="1">
      <c r="E684" s="516"/>
    </row>
    <row r="685" spans="5:5" ht="15.75" customHeight="1">
      <c r="E685" s="516"/>
    </row>
    <row r="686" spans="5:5" ht="15.75" customHeight="1">
      <c r="E686" s="516"/>
    </row>
    <row r="687" spans="5:5" ht="15.75" customHeight="1">
      <c r="E687" s="516"/>
    </row>
    <row r="688" spans="5:5" ht="15.75" customHeight="1">
      <c r="E688" s="516"/>
    </row>
    <row r="689" spans="5:5" ht="15.75" customHeight="1">
      <c r="E689" s="516"/>
    </row>
    <row r="690" spans="5:5" ht="15.75" customHeight="1">
      <c r="E690" s="516"/>
    </row>
    <row r="691" spans="5:5" ht="15.75" customHeight="1">
      <c r="E691" s="516"/>
    </row>
    <row r="692" spans="5:5" ht="15.75" customHeight="1">
      <c r="E692" s="516"/>
    </row>
    <row r="693" spans="5:5" ht="15.75" customHeight="1">
      <c r="E693" s="516"/>
    </row>
    <row r="694" spans="5:5" ht="15.75" customHeight="1">
      <c r="E694" s="516"/>
    </row>
    <row r="695" spans="5:5" ht="15.75" customHeight="1">
      <c r="E695" s="516"/>
    </row>
    <row r="696" spans="5:5" ht="15.75" customHeight="1">
      <c r="E696" s="516"/>
    </row>
    <row r="697" spans="5:5" ht="15.75" customHeight="1">
      <c r="E697" s="516"/>
    </row>
    <row r="698" spans="5:5" ht="15.75" customHeight="1">
      <c r="E698" s="516"/>
    </row>
    <row r="699" spans="5:5" ht="15.75" customHeight="1">
      <c r="E699" s="516"/>
    </row>
    <row r="700" spans="5:5" ht="15.75" customHeight="1">
      <c r="E700" s="516"/>
    </row>
    <row r="701" spans="5:5" ht="15.75" customHeight="1">
      <c r="E701" s="516"/>
    </row>
    <row r="702" spans="5:5" ht="15.75" customHeight="1">
      <c r="E702" s="516"/>
    </row>
    <row r="703" spans="5:5" ht="15.75" customHeight="1">
      <c r="E703" s="516"/>
    </row>
    <row r="704" spans="5:5" ht="15.75" customHeight="1">
      <c r="E704" s="516"/>
    </row>
    <row r="705" spans="5:5" ht="15.75" customHeight="1">
      <c r="E705" s="516"/>
    </row>
    <row r="706" spans="5:5" ht="15.75" customHeight="1">
      <c r="E706" s="516"/>
    </row>
    <row r="707" spans="5:5" ht="15.75" customHeight="1">
      <c r="E707" s="516"/>
    </row>
    <row r="708" spans="5:5" ht="15.75" customHeight="1">
      <c r="E708" s="516"/>
    </row>
    <row r="709" spans="5:5" ht="15.75" customHeight="1">
      <c r="E709" s="516"/>
    </row>
    <row r="710" spans="5:5" ht="15.75" customHeight="1">
      <c r="E710" s="516"/>
    </row>
    <row r="711" spans="5:5" ht="15.75" customHeight="1">
      <c r="E711" s="516"/>
    </row>
    <row r="712" spans="5:5" ht="15.75" customHeight="1">
      <c r="E712" s="516"/>
    </row>
    <row r="713" spans="5:5" ht="15.75" customHeight="1">
      <c r="E713" s="516"/>
    </row>
    <row r="714" spans="5:5" ht="15.75" customHeight="1">
      <c r="E714" s="516"/>
    </row>
    <row r="715" spans="5:5" ht="15.75" customHeight="1">
      <c r="E715" s="516"/>
    </row>
    <row r="716" spans="5:5" ht="15.75" customHeight="1">
      <c r="E716" s="516"/>
    </row>
    <row r="717" spans="5:5" ht="15.75" customHeight="1">
      <c r="E717" s="516"/>
    </row>
    <row r="718" spans="5:5" ht="15.75" customHeight="1">
      <c r="E718" s="516"/>
    </row>
    <row r="719" spans="5:5" ht="15.75" customHeight="1">
      <c r="E719" s="516"/>
    </row>
    <row r="720" spans="5:5" ht="15.75" customHeight="1">
      <c r="E720" s="516"/>
    </row>
    <row r="721" spans="5:5" ht="15.75" customHeight="1">
      <c r="E721" s="516"/>
    </row>
    <row r="722" spans="5:5" ht="15.75" customHeight="1">
      <c r="E722" s="516"/>
    </row>
    <row r="723" spans="5:5" ht="15.75" customHeight="1">
      <c r="E723" s="516"/>
    </row>
    <row r="724" spans="5:5" ht="15.75" customHeight="1">
      <c r="E724" s="516"/>
    </row>
    <row r="725" spans="5:5" ht="15.75" customHeight="1">
      <c r="E725" s="516"/>
    </row>
    <row r="726" spans="5:5" ht="15.75" customHeight="1">
      <c r="E726" s="516"/>
    </row>
    <row r="727" spans="5:5" ht="15.75" customHeight="1">
      <c r="E727" s="516"/>
    </row>
    <row r="728" spans="5:5" ht="15.75" customHeight="1">
      <c r="E728" s="516"/>
    </row>
    <row r="729" spans="5:5" ht="15.75" customHeight="1">
      <c r="E729" s="516"/>
    </row>
    <row r="730" spans="5:5" ht="15.75" customHeight="1">
      <c r="E730" s="516"/>
    </row>
    <row r="731" spans="5:5" ht="15.75" customHeight="1">
      <c r="E731" s="516"/>
    </row>
    <row r="732" spans="5:5" ht="15.75" customHeight="1">
      <c r="E732" s="516"/>
    </row>
    <row r="733" spans="5:5" ht="15.75" customHeight="1">
      <c r="E733" s="516"/>
    </row>
    <row r="734" spans="5:5" ht="15.75" customHeight="1">
      <c r="E734" s="516"/>
    </row>
    <row r="735" spans="5:5" ht="15.75" customHeight="1">
      <c r="E735" s="516"/>
    </row>
    <row r="736" spans="5:5" ht="15.75" customHeight="1">
      <c r="E736" s="516"/>
    </row>
    <row r="737" spans="5:5" ht="15.75" customHeight="1">
      <c r="E737" s="516"/>
    </row>
    <row r="738" spans="5:5" ht="15.75" customHeight="1">
      <c r="E738" s="516"/>
    </row>
    <row r="739" spans="5:5" ht="15.75" customHeight="1">
      <c r="E739" s="516"/>
    </row>
    <row r="740" spans="5:5" ht="15.75" customHeight="1">
      <c r="E740" s="516"/>
    </row>
    <row r="741" spans="5:5" ht="15.75" customHeight="1">
      <c r="E741" s="516"/>
    </row>
    <row r="742" spans="5:5" ht="15.75" customHeight="1">
      <c r="E742" s="516"/>
    </row>
    <row r="743" spans="5:5" ht="15.75" customHeight="1">
      <c r="E743" s="516"/>
    </row>
    <row r="744" spans="5:5" ht="15.75" customHeight="1">
      <c r="E744" s="516"/>
    </row>
    <row r="745" spans="5:5" ht="15.75" customHeight="1">
      <c r="E745" s="516"/>
    </row>
    <row r="746" spans="5:5" ht="15.75" customHeight="1">
      <c r="E746" s="516"/>
    </row>
    <row r="747" spans="5:5" ht="15.75" customHeight="1">
      <c r="E747" s="516"/>
    </row>
    <row r="748" spans="5:5" ht="15.75" customHeight="1">
      <c r="E748" s="516"/>
    </row>
    <row r="749" spans="5:5" ht="15.75" customHeight="1">
      <c r="E749" s="516"/>
    </row>
    <row r="750" spans="5:5" ht="15.75" customHeight="1">
      <c r="E750" s="516"/>
    </row>
    <row r="751" spans="5:5" ht="15.75" customHeight="1">
      <c r="E751" s="516"/>
    </row>
    <row r="752" spans="5:5" ht="15.75" customHeight="1">
      <c r="E752" s="516"/>
    </row>
    <row r="753" spans="5:5" ht="15.75" customHeight="1">
      <c r="E753" s="516"/>
    </row>
    <row r="754" spans="5:5" ht="15.75" customHeight="1">
      <c r="E754" s="516"/>
    </row>
    <row r="755" spans="5:5" ht="15.75" customHeight="1">
      <c r="E755" s="516"/>
    </row>
    <row r="756" spans="5:5" ht="15.75" customHeight="1">
      <c r="E756" s="516"/>
    </row>
    <row r="757" spans="5:5" ht="15.75" customHeight="1">
      <c r="E757" s="516"/>
    </row>
    <row r="758" spans="5:5" ht="15.75" customHeight="1">
      <c r="E758" s="516"/>
    </row>
    <row r="759" spans="5:5" ht="15.75" customHeight="1">
      <c r="E759" s="516"/>
    </row>
    <row r="760" spans="5:5" ht="15.75" customHeight="1">
      <c r="E760" s="516"/>
    </row>
    <row r="761" spans="5:5" ht="15.75" customHeight="1">
      <c r="E761" s="516"/>
    </row>
    <row r="762" spans="5:5" ht="15.75" customHeight="1">
      <c r="E762" s="516"/>
    </row>
    <row r="763" spans="5:5" ht="15.75" customHeight="1">
      <c r="E763" s="516"/>
    </row>
    <row r="764" spans="5:5" ht="15.75" customHeight="1">
      <c r="E764" s="516"/>
    </row>
    <row r="765" spans="5:5" ht="15.75" customHeight="1">
      <c r="E765" s="516"/>
    </row>
    <row r="766" spans="5:5" ht="15.75" customHeight="1">
      <c r="E766" s="516"/>
    </row>
    <row r="767" spans="5:5" ht="15.75" customHeight="1">
      <c r="E767" s="516"/>
    </row>
    <row r="768" spans="5:5" ht="15.75" customHeight="1">
      <c r="E768" s="516"/>
    </row>
    <row r="769" spans="5:5" ht="15.75" customHeight="1">
      <c r="E769" s="516"/>
    </row>
    <row r="770" spans="5:5" ht="15.75" customHeight="1">
      <c r="E770" s="516"/>
    </row>
    <row r="771" spans="5:5" ht="15.75" customHeight="1">
      <c r="E771" s="516"/>
    </row>
    <row r="772" spans="5:5" ht="15.75" customHeight="1">
      <c r="E772" s="516"/>
    </row>
    <row r="773" spans="5:5" ht="15.75" customHeight="1">
      <c r="E773" s="516"/>
    </row>
    <row r="774" spans="5:5" ht="15.75" customHeight="1">
      <c r="E774" s="516"/>
    </row>
    <row r="775" spans="5:5" ht="15.75" customHeight="1">
      <c r="E775" s="516"/>
    </row>
    <row r="776" spans="5:5" ht="15.75" customHeight="1">
      <c r="E776" s="516"/>
    </row>
    <row r="777" spans="5:5" ht="15.75" customHeight="1">
      <c r="E777" s="516"/>
    </row>
    <row r="778" spans="5:5" ht="15.75" customHeight="1">
      <c r="E778" s="516"/>
    </row>
    <row r="779" spans="5:5" ht="15.75" customHeight="1">
      <c r="E779" s="516"/>
    </row>
    <row r="780" spans="5:5" ht="15.75" customHeight="1">
      <c r="E780" s="516"/>
    </row>
    <row r="781" spans="5:5" ht="15.75" customHeight="1">
      <c r="E781" s="516"/>
    </row>
    <row r="782" spans="5:5" ht="15.75" customHeight="1">
      <c r="E782" s="516"/>
    </row>
    <row r="783" spans="5:5" ht="15.75" customHeight="1">
      <c r="E783" s="516"/>
    </row>
    <row r="784" spans="5:5" ht="15.75" customHeight="1">
      <c r="E784" s="516"/>
    </row>
    <row r="785" spans="5:5" ht="15.75" customHeight="1">
      <c r="E785" s="516"/>
    </row>
    <row r="786" spans="5:5" ht="15.75" customHeight="1">
      <c r="E786" s="516"/>
    </row>
    <row r="787" spans="5:5" ht="15.75" customHeight="1">
      <c r="E787" s="516"/>
    </row>
    <row r="788" spans="5:5" ht="15.75" customHeight="1">
      <c r="E788" s="516"/>
    </row>
    <row r="789" spans="5:5" ht="15.75" customHeight="1">
      <c r="E789" s="516"/>
    </row>
    <row r="790" spans="5:5" ht="15.75" customHeight="1">
      <c r="E790" s="516"/>
    </row>
    <row r="791" spans="5:5" ht="15.75" customHeight="1">
      <c r="E791" s="516"/>
    </row>
    <row r="792" spans="5:5" ht="15.75" customHeight="1">
      <c r="E792" s="516"/>
    </row>
    <row r="793" spans="5:5" ht="15.75" customHeight="1">
      <c r="E793" s="516"/>
    </row>
    <row r="794" spans="5:5" ht="15.75" customHeight="1">
      <c r="E794" s="516"/>
    </row>
    <row r="795" spans="5:5" ht="15.75" customHeight="1">
      <c r="E795" s="516"/>
    </row>
    <row r="796" spans="5:5" ht="15.75" customHeight="1">
      <c r="E796" s="516"/>
    </row>
    <row r="797" spans="5:5" ht="15.75" customHeight="1">
      <c r="E797" s="516"/>
    </row>
    <row r="798" spans="5:5" ht="15.75" customHeight="1">
      <c r="E798" s="516"/>
    </row>
    <row r="799" spans="5:5" ht="15.75" customHeight="1">
      <c r="E799" s="516"/>
    </row>
    <row r="800" spans="5:5" ht="15.75" customHeight="1">
      <c r="E800" s="516"/>
    </row>
    <row r="801" spans="5:5" ht="15.75" customHeight="1">
      <c r="E801" s="516"/>
    </row>
    <row r="802" spans="5:5" ht="15.75" customHeight="1">
      <c r="E802" s="516"/>
    </row>
    <row r="803" spans="5:5" ht="15.75" customHeight="1">
      <c r="E803" s="516"/>
    </row>
    <row r="804" spans="5:5" ht="15.75" customHeight="1">
      <c r="E804" s="516"/>
    </row>
    <row r="805" spans="5:5" ht="15.75" customHeight="1">
      <c r="E805" s="516"/>
    </row>
    <row r="806" spans="5:5" ht="15.75" customHeight="1">
      <c r="E806" s="516"/>
    </row>
    <row r="807" spans="5:5" ht="15.75" customHeight="1">
      <c r="E807" s="516"/>
    </row>
    <row r="808" spans="5:5" ht="15.75" customHeight="1">
      <c r="E808" s="516"/>
    </row>
    <row r="809" spans="5:5" ht="15.75" customHeight="1">
      <c r="E809" s="516"/>
    </row>
    <row r="810" spans="5:5" ht="15.75" customHeight="1">
      <c r="E810" s="516"/>
    </row>
    <row r="811" spans="5:5" ht="15.75" customHeight="1">
      <c r="E811" s="516"/>
    </row>
    <row r="812" spans="5:5" ht="15.75" customHeight="1">
      <c r="E812" s="516"/>
    </row>
    <row r="813" spans="5:5" ht="15.75" customHeight="1">
      <c r="E813" s="516"/>
    </row>
    <row r="814" spans="5:5" ht="15.75" customHeight="1">
      <c r="E814" s="516"/>
    </row>
    <row r="815" spans="5:5" ht="15.75" customHeight="1">
      <c r="E815" s="516"/>
    </row>
    <row r="816" spans="5:5" ht="15.75" customHeight="1">
      <c r="E816" s="516"/>
    </row>
    <row r="817" spans="5:5" ht="15.75" customHeight="1">
      <c r="E817" s="516"/>
    </row>
    <row r="818" spans="5:5" ht="15.75" customHeight="1">
      <c r="E818" s="516"/>
    </row>
    <row r="819" spans="5:5" ht="15.75" customHeight="1">
      <c r="E819" s="516"/>
    </row>
    <row r="820" spans="5:5" ht="15.75" customHeight="1">
      <c r="E820" s="516"/>
    </row>
    <row r="821" spans="5:5" ht="15.75" customHeight="1">
      <c r="E821" s="516"/>
    </row>
    <row r="822" spans="5:5" ht="15.75" customHeight="1">
      <c r="E822" s="516"/>
    </row>
    <row r="823" spans="5:5" ht="15.75" customHeight="1">
      <c r="E823" s="516"/>
    </row>
    <row r="824" spans="5:5" ht="15.75" customHeight="1">
      <c r="E824" s="516"/>
    </row>
    <row r="825" spans="5:5" ht="15.75" customHeight="1">
      <c r="E825" s="516"/>
    </row>
    <row r="826" spans="5:5" ht="15.75" customHeight="1">
      <c r="E826" s="516"/>
    </row>
    <row r="827" spans="5:5" ht="15.75" customHeight="1">
      <c r="E827" s="516"/>
    </row>
    <row r="828" spans="5:5" ht="15.75" customHeight="1">
      <c r="E828" s="516"/>
    </row>
    <row r="829" spans="5:5" ht="15.75" customHeight="1">
      <c r="E829" s="516"/>
    </row>
    <row r="830" spans="5:5" ht="15.75" customHeight="1">
      <c r="E830" s="516"/>
    </row>
    <row r="831" spans="5:5" ht="15.75" customHeight="1">
      <c r="E831" s="516"/>
    </row>
    <row r="832" spans="5:5" ht="15.75" customHeight="1">
      <c r="E832" s="516"/>
    </row>
    <row r="833" spans="5:5" ht="15.75" customHeight="1">
      <c r="E833" s="516"/>
    </row>
    <row r="834" spans="5:5" ht="15.75" customHeight="1">
      <c r="E834" s="516"/>
    </row>
    <row r="835" spans="5:5" ht="15.75" customHeight="1">
      <c r="E835" s="516"/>
    </row>
    <row r="836" spans="5:5" ht="15.75" customHeight="1">
      <c r="E836" s="516"/>
    </row>
    <row r="837" spans="5:5" ht="15.75" customHeight="1">
      <c r="E837" s="516"/>
    </row>
    <row r="838" spans="5:5" ht="15.75" customHeight="1">
      <c r="E838" s="516"/>
    </row>
    <row r="839" spans="5:5" ht="15.75" customHeight="1">
      <c r="E839" s="516"/>
    </row>
    <row r="840" spans="5:5" ht="15.75" customHeight="1">
      <c r="E840" s="516"/>
    </row>
    <row r="841" spans="5:5" ht="15.75" customHeight="1">
      <c r="E841" s="516"/>
    </row>
    <row r="842" spans="5:5" ht="15.75" customHeight="1">
      <c r="E842" s="516"/>
    </row>
    <row r="843" spans="5:5" ht="15.75" customHeight="1">
      <c r="E843" s="516"/>
    </row>
    <row r="844" spans="5:5" ht="15.75" customHeight="1">
      <c r="E844" s="516"/>
    </row>
    <row r="845" spans="5:5" ht="15.75" customHeight="1">
      <c r="E845" s="516"/>
    </row>
    <row r="846" spans="5:5" ht="15.75" customHeight="1">
      <c r="E846" s="516"/>
    </row>
    <row r="847" spans="5:5" ht="15.75" customHeight="1">
      <c r="E847" s="516"/>
    </row>
    <row r="848" spans="5:5" ht="15.75" customHeight="1">
      <c r="E848" s="516"/>
    </row>
    <row r="849" spans="5:5" ht="15.75" customHeight="1">
      <c r="E849" s="516"/>
    </row>
    <row r="850" spans="5:5" ht="15.75" customHeight="1">
      <c r="E850" s="516"/>
    </row>
    <row r="851" spans="5:5" ht="15.75" customHeight="1">
      <c r="E851" s="516"/>
    </row>
    <row r="852" spans="5:5" ht="15.75" customHeight="1">
      <c r="E852" s="516"/>
    </row>
    <row r="853" spans="5:5" ht="15.75" customHeight="1">
      <c r="E853" s="516"/>
    </row>
    <row r="854" spans="5:5" ht="15.75" customHeight="1">
      <c r="E854" s="516"/>
    </row>
    <row r="855" spans="5:5" ht="15.75" customHeight="1">
      <c r="E855" s="516"/>
    </row>
    <row r="856" spans="5:5" ht="15.75" customHeight="1">
      <c r="E856" s="516"/>
    </row>
    <row r="857" spans="5:5" ht="15.75" customHeight="1">
      <c r="E857" s="516"/>
    </row>
    <row r="858" spans="5:5" ht="15.75" customHeight="1">
      <c r="E858" s="516"/>
    </row>
    <row r="859" spans="5:5" ht="15.75" customHeight="1">
      <c r="E859" s="516"/>
    </row>
    <row r="860" spans="5:5" ht="15.75" customHeight="1">
      <c r="E860" s="516"/>
    </row>
    <row r="861" spans="5:5" ht="15.75" customHeight="1">
      <c r="E861" s="516"/>
    </row>
    <row r="862" spans="5:5" ht="15.75" customHeight="1">
      <c r="E862" s="516"/>
    </row>
    <row r="863" spans="5:5" ht="15.75" customHeight="1">
      <c r="E863" s="516"/>
    </row>
    <row r="864" spans="5:5" ht="15.75" customHeight="1">
      <c r="E864" s="516"/>
    </row>
    <row r="865" spans="5:5" ht="15.75" customHeight="1">
      <c r="E865" s="516"/>
    </row>
    <row r="866" spans="5:5" ht="15.75" customHeight="1">
      <c r="E866" s="516"/>
    </row>
    <row r="867" spans="5:5" ht="15.75" customHeight="1">
      <c r="E867" s="516"/>
    </row>
    <row r="868" spans="5:5" ht="15.75" customHeight="1">
      <c r="E868" s="516"/>
    </row>
    <row r="869" spans="5:5" ht="15.75" customHeight="1">
      <c r="E869" s="516"/>
    </row>
    <row r="870" spans="5:5" ht="15.75" customHeight="1">
      <c r="E870" s="516"/>
    </row>
    <row r="871" spans="5:5" ht="15.75" customHeight="1">
      <c r="E871" s="516"/>
    </row>
    <row r="872" spans="5:5" ht="15.75" customHeight="1">
      <c r="E872" s="516"/>
    </row>
    <row r="873" spans="5:5" ht="15.75" customHeight="1">
      <c r="E873" s="516"/>
    </row>
    <row r="874" spans="5:5" ht="15.75" customHeight="1">
      <c r="E874" s="516"/>
    </row>
    <row r="875" spans="5:5" ht="15.75" customHeight="1">
      <c r="E875" s="516"/>
    </row>
    <row r="876" spans="5:5" ht="15.75" customHeight="1">
      <c r="E876" s="516"/>
    </row>
    <row r="877" spans="5:5" ht="15.75" customHeight="1">
      <c r="E877" s="516"/>
    </row>
    <row r="878" spans="5:5" ht="15.75" customHeight="1">
      <c r="E878" s="516"/>
    </row>
    <row r="879" spans="5:5" ht="15.75" customHeight="1">
      <c r="E879" s="516"/>
    </row>
    <row r="880" spans="5:5" ht="15.75" customHeight="1">
      <c r="E880" s="516"/>
    </row>
    <row r="881" spans="5:5" ht="15.75" customHeight="1">
      <c r="E881" s="516"/>
    </row>
    <row r="882" spans="5:5" ht="15.75" customHeight="1">
      <c r="E882" s="516"/>
    </row>
    <row r="883" spans="5:5" ht="15.75" customHeight="1">
      <c r="E883" s="516"/>
    </row>
    <row r="884" spans="5:5" ht="15.75" customHeight="1">
      <c r="E884" s="516"/>
    </row>
    <row r="885" spans="5:5" ht="15.75" customHeight="1">
      <c r="E885" s="516"/>
    </row>
    <row r="886" spans="5:5" ht="15.75" customHeight="1">
      <c r="E886" s="516"/>
    </row>
    <row r="887" spans="5:5" ht="15.75" customHeight="1">
      <c r="E887" s="516"/>
    </row>
    <row r="888" spans="5:5" ht="15.75" customHeight="1">
      <c r="E888" s="516"/>
    </row>
    <row r="889" spans="5:5" ht="15.75" customHeight="1">
      <c r="E889" s="516"/>
    </row>
    <row r="890" spans="5:5" ht="15.75" customHeight="1">
      <c r="E890" s="516"/>
    </row>
    <row r="891" spans="5:5" ht="15.75" customHeight="1">
      <c r="E891" s="516"/>
    </row>
    <row r="892" spans="5:5" ht="15.75" customHeight="1">
      <c r="E892" s="516"/>
    </row>
    <row r="893" spans="5:5" ht="15.75" customHeight="1">
      <c r="E893" s="516"/>
    </row>
    <row r="894" spans="5:5" ht="15.75" customHeight="1">
      <c r="E894" s="516"/>
    </row>
    <row r="895" spans="5:5" ht="15.75" customHeight="1">
      <c r="E895" s="516"/>
    </row>
    <row r="896" spans="5:5" ht="15.75" customHeight="1">
      <c r="E896" s="516"/>
    </row>
    <row r="897" spans="5:5" ht="15.75" customHeight="1">
      <c r="E897" s="516"/>
    </row>
    <row r="898" spans="5:5" ht="15.75" customHeight="1">
      <c r="E898" s="516"/>
    </row>
    <row r="899" spans="5:5" ht="15.75" customHeight="1">
      <c r="E899" s="516"/>
    </row>
    <row r="900" spans="5:5" ht="15.75" customHeight="1">
      <c r="E900" s="516"/>
    </row>
    <row r="901" spans="5:5" ht="15.75" customHeight="1">
      <c r="E901" s="516"/>
    </row>
    <row r="902" spans="5:5" ht="15.75" customHeight="1">
      <c r="E902" s="516"/>
    </row>
    <row r="903" spans="5:5" ht="15.75" customHeight="1">
      <c r="E903" s="516"/>
    </row>
    <row r="904" spans="5:5" ht="15.75" customHeight="1">
      <c r="E904" s="516"/>
    </row>
    <row r="905" spans="5:5" ht="15.75" customHeight="1">
      <c r="E905" s="516"/>
    </row>
    <row r="906" spans="5:5" ht="15.75" customHeight="1">
      <c r="E906" s="516"/>
    </row>
    <row r="907" spans="5:5" ht="15.75" customHeight="1">
      <c r="E907" s="516"/>
    </row>
    <row r="908" spans="5:5" ht="15.75" customHeight="1">
      <c r="E908" s="516"/>
    </row>
    <row r="909" spans="5:5" ht="15.75" customHeight="1">
      <c r="E909" s="516"/>
    </row>
    <row r="910" spans="5:5" ht="15.75" customHeight="1">
      <c r="E910" s="516"/>
    </row>
    <row r="911" spans="5:5" ht="15.75" customHeight="1">
      <c r="E911" s="516"/>
    </row>
    <row r="912" spans="5:5" ht="15.75" customHeight="1">
      <c r="E912" s="516"/>
    </row>
    <row r="913" spans="5:5" ht="15.75" customHeight="1">
      <c r="E913" s="516"/>
    </row>
    <row r="914" spans="5:5" ht="15.75" customHeight="1">
      <c r="E914" s="516"/>
    </row>
    <row r="915" spans="5:5" ht="15.75" customHeight="1">
      <c r="E915" s="516"/>
    </row>
    <row r="916" spans="5:5" ht="15.75" customHeight="1">
      <c r="E916" s="516"/>
    </row>
    <row r="917" spans="5:5" ht="15.75" customHeight="1">
      <c r="E917" s="516"/>
    </row>
    <row r="918" spans="5:5" ht="15.75" customHeight="1">
      <c r="E918" s="516"/>
    </row>
    <row r="919" spans="5:5" ht="15.75" customHeight="1">
      <c r="E919" s="516"/>
    </row>
    <row r="920" spans="5:5" ht="15.75" customHeight="1">
      <c r="E920" s="516"/>
    </row>
    <row r="921" spans="5:5" ht="15.75" customHeight="1">
      <c r="E921" s="516"/>
    </row>
    <row r="922" spans="5:5" ht="15.75" customHeight="1">
      <c r="E922" s="516"/>
    </row>
    <row r="923" spans="5:5" ht="15.75" customHeight="1">
      <c r="E923" s="516"/>
    </row>
    <row r="924" spans="5:5" ht="15.75" customHeight="1">
      <c r="E924" s="516"/>
    </row>
    <row r="925" spans="5:5" ht="15.75" customHeight="1">
      <c r="E925" s="516"/>
    </row>
    <row r="926" spans="5:5" ht="15.75" customHeight="1">
      <c r="E926" s="516"/>
    </row>
    <row r="927" spans="5:5" ht="15.75" customHeight="1">
      <c r="E927" s="516"/>
    </row>
    <row r="928" spans="5:5" ht="15.75" customHeight="1">
      <c r="E928" s="516"/>
    </row>
    <row r="929" spans="5:5" ht="15.75" customHeight="1">
      <c r="E929" s="516"/>
    </row>
    <row r="930" spans="5:5" ht="15.75" customHeight="1">
      <c r="E930" s="516"/>
    </row>
    <row r="931" spans="5:5" ht="15.75" customHeight="1">
      <c r="E931" s="516"/>
    </row>
    <row r="932" spans="5:5" ht="15.75" customHeight="1">
      <c r="E932" s="516"/>
    </row>
    <row r="933" spans="5:5" ht="15.75" customHeight="1">
      <c r="E933" s="516"/>
    </row>
    <row r="934" spans="5:5" ht="15.75" customHeight="1">
      <c r="E934" s="516"/>
    </row>
    <row r="935" spans="5:5" ht="15.75" customHeight="1">
      <c r="E935" s="516"/>
    </row>
    <row r="936" spans="5:5" ht="15.75" customHeight="1">
      <c r="E936" s="516"/>
    </row>
    <row r="937" spans="5:5" ht="15.75" customHeight="1">
      <c r="E937" s="516"/>
    </row>
    <row r="938" spans="5:5" ht="15.75" customHeight="1">
      <c r="E938" s="516"/>
    </row>
    <row r="939" spans="5:5" ht="15.75" customHeight="1">
      <c r="E939" s="516"/>
    </row>
    <row r="940" spans="5:5" ht="15.75" customHeight="1">
      <c r="E940" s="516"/>
    </row>
    <row r="941" spans="5:5" ht="15.75" customHeight="1">
      <c r="E941" s="516"/>
    </row>
    <row r="942" spans="5:5" ht="15.75" customHeight="1">
      <c r="E942" s="516"/>
    </row>
    <row r="943" spans="5:5" ht="15.75" customHeight="1">
      <c r="E943" s="516"/>
    </row>
    <row r="944" spans="5:5" ht="15.75" customHeight="1">
      <c r="E944" s="516"/>
    </row>
    <row r="945" spans="5:5" ht="15.75" customHeight="1">
      <c r="E945" s="516"/>
    </row>
    <row r="946" spans="5:5" ht="15.75" customHeight="1">
      <c r="E946" s="516"/>
    </row>
    <row r="947" spans="5:5" ht="15.75" customHeight="1">
      <c r="E947" s="516"/>
    </row>
    <row r="948" spans="5:5" ht="15.75" customHeight="1">
      <c r="E948" s="516"/>
    </row>
    <row r="949" spans="5:5" ht="15.75" customHeight="1">
      <c r="E949" s="516"/>
    </row>
    <row r="950" spans="5:5" ht="15.75" customHeight="1">
      <c r="E950" s="516"/>
    </row>
    <row r="951" spans="5:5" ht="15.75" customHeight="1">
      <c r="E951" s="516"/>
    </row>
    <row r="952" spans="5:5" ht="15.75" customHeight="1">
      <c r="E952" s="516"/>
    </row>
    <row r="953" spans="5:5" ht="15.75" customHeight="1">
      <c r="E953" s="516"/>
    </row>
    <row r="954" spans="5:5" ht="15.75" customHeight="1">
      <c r="E954" s="516"/>
    </row>
    <row r="955" spans="5:5" ht="15.75" customHeight="1">
      <c r="E955" s="516"/>
    </row>
    <row r="956" spans="5:5" ht="15.75" customHeight="1">
      <c r="E956" s="516"/>
    </row>
    <row r="957" spans="5:5" ht="15.75" customHeight="1">
      <c r="E957" s="516"/>
    </row>
    <row r="958" spans="5:5" ht="15.75" customHeight="1">
      <c r="E958" s="516"/>
    </row>
    <row r="959" spans="5:5" ht="15.75" customHeight="1">
      <c r="E959" s="516"/>
    </row>
    <row r="960" spans="5:5" ht="15.75" customHeight="1">
      <c r="E960" s="516"/>
    </row>
    <row r="961" spans="5:5" ht="15.75" customHeight="1">
      <c r="E961" s="516"/>
    </row>
    <row r="962" spans="5:5" ht="15.75" customHeight="1">
      <c r="E962" s="516"/>
    </row>
    <row r="963" spans="5:5" ht="15.75" customHeight="1">
      <c r="E963" s="516"/>
    </row>
    <row r="964" spans="5:5" ht="15.75" customHeight="1">
      <c r="E964" s="516"/>
    </row>
    <row r="965" spans="5:5" ht="15.75" customHeight="1">
      <c r="E965" s="516"/>
    </row>
    <row r="966" spans="5:5" ht="15.75" customHeight="1">
      <c r="E966" s="516"/>
    </row>
    <row r="967" spans="5:5" ht="15.75" customHeight="1">
      <c r="E967" s="516"/>
    </row>
    <row r="968" spans="5:5" ht="15.75" customHeight="1">
      <c r="E968" s="516"/>
    </row>
    <row r="969" spans="5:5" ht="15.75" customHeight="1">
      <c r="E969" s="516"/>
    </row>
    <row r="970" spans="5:5" ht="15.75" customHeight="1">
      <c r="E970" s="516"/>
    </row>
    <row r="971" spans="5:5" ht="15.75" customHeight="1">
      <c r="E971" s="516"/>
    </row>
    <row r="972" spans="5:5" ht="15.75" customHeight="1">
      <c r="E972" s="516"/>
    </row>
    <row r="973" spans="5:5" ht="15.75" customHeight="1">
      <c r="E973" s="516"/>
    </row>
    <row r="974" spans="5:5" ht="15.75" customHeight="1">
      <c r="E974" s="516"/>
    </row>
    <row r="975" spans="5:5" ht="15.75" customHeight="1">
      <c r="E975" s="516"/>
    </row>
    <row r="976" spans="5:5" ht="15.75" customHeight="1">
      <c r="E976" s="516"/>
    </row>
    <row r="977" spans="5:5" ht="15.75" customHeight="1">
      <c r="E977" s="516"/>
    </row>
    <row r="978" spans="5:5" ht="15.75" customHeight="1">
      <c r="E978" s="516"/>
    </row>
    <row r="979" spans="5:5" ht="15.75" customHeight="1">
      <c r="E979" s="516"/>
    </row>
    <row r="980" spans="5:5" ht="15.75" customHeight="1">
      <c r="E980" s="516"/>
    </row>
    <row r="981" spans="5:5" ht="15.75" customHeight="1">
      <c r="E981" s="516"/>
    </row>
    <row r="982" spans="5:5" ht="15.75" customHeight="1">
      <c r="E982" s="516"/>
    </row>
    <row r="983" spans="5:5" ht="15.75" customHeight="1">
      <c r="E983" s="516"/>
    </row>
    <row r="984" spans="5:5" ht="15.75" customHeight="1">
      <c r="E984" s="516"/>
    </row>
    <row r="985" spans="5:5" ht="15.75" customHeight="1">
      <c r="E985" s="516"/>
    </row>
    <row r="986" spans="5:5" ht="15.75" customHeight="1">
      <c r="E986" s="516"/>
    </row>
    <row r="987" spans="5:5" ht="15.75" customHeight="1">
      <c r="E987" s="516"/>
    </row>
    <row r="988" spans="5:5" ht="15.75" customHeight="1">
      <c r="E988" s="516"/>
    </row>
    <row r="989" spans="5:5" ht="15.75" customHeight="1">
      <c r="E989" s="516"/>
    </row>
    <row r="990" spans="5:5" ht="15.75" customHeight="1">
      <c r="E990" s="516"/>
    </row>
    <row r="991" spans="5:5" ht="15.75" customHeight="1">
      <c r="E991" s="516"/>
    </row>
    <row r="992" spans="5:5" ht="15.75" customHeight="1">
      <c r="E992" s="516"/>
    </row>
    <row r="993" spans="5:5" ht="15.75" customHeight="1">
      <c r="E993" s="516"/>
    </row>
    <row r="994" spans="5:5" ht="15.75" customHeight="1">
      <c r="E994" s="516"/>
    </row>
    <row r="995" spans="5:5" ht="15.75" customHeight="1">
      <c r="E995" s="516"/>
    </row>
    <row r="996" spans="5:5" ht="15.75" customHeight="1">
      <c r="E996" s="516"/>
    </row>
    <row r="997" spans="5:5" ht="15.75" customHeight="1">
      <c r="E997" s="516"/>
    </row>
    <row r="998" spans="5:5" ht="15.75" customHeight="1">
      <c r="E998" s="516"/>
    </row>
    <row r="999" spans="5:5" ht="15.75" customHeight="1">
      <c r="E999" s="516"/>
    </row>
    <row r="1000" spans="5:5" ht="15.75" customHeight="1">
      <c r="E1000" s="516"/>
    </row>
    <row r="1001" spans="5:5" ht="15.75" customHeight="1">
      <c r="E1001" s="516"/>
    </row>
  </sheetData>
  <autoFilter ref="B4:AD84" xr:uid="{00000000-0009-0000-0000-000002000000}">
    <sortState xmlns:xlrd2="http://schemas.microsoft.com/office/spreadsheetml/2017/richdata2" ref="B4:AD84">
      <sortCondition ref="F4:F84"/>
      <sortCondition ref="E4:E84"/>
      <sortCondition descending="1" ref="C4:C84"/>
    </sortState>
  </autoFilter>
  <customSheetViews>
    <customSheetView guid="{FCAF690B-A1CB-4C23-90B1-52725D85E739}" filter="1" showAutoFilter="1">
      <pageMargins left="0.7" right="0.7" top="0.75" bottom="0.75" header="0.3" footer="0.3"/>
      <autoFilter ref="AH16:AH27" xr:uid="{779D64AD-0352-4EE9-A212-1F45C09E4E20}"/>
    </customSheetView>
  </customSheetViews>
  <mergeCells count="7">
    <mergeCell ref="AA3:AB3"/>
    <mergeCell ref="AC3:AD3"/>
    <mergeCell ref="A1:F2"/>
    <mergeCell ref="A3:C3"/>
    <mergeCell ref="E3:F3"/>
    <mergeCell ref="G3:I3"/>
    <mergeCell ref="Y3:Z3"/>
  </mergeCells>
  <conditionalFormatting sqref="E5:E58 E60:E71 E76:E84">
    <cfRule type="expression" dxfId="25" priority="1">
      <formula>COUNTIF(E:E,E5)&gt;1</formula>
    </cfRule>
  </conditionalFormatting>
  <dataValidations count="16">
    <dataValidation type="list" allowBlank="1" showInputMessage="1" showErrorMessage="1" prompt=" - " sqref="U5:U71 U76:U84" xr:uid="{00000000-0002-0000-0200-000000000000}">
      <formula1>outputdana</formula1>
    </dataValidation>
    <dataValidation type="list" allowBlank="1" showErrorMessage="1" sqref="G5:P71 G76:P84" xr:uid="{00000000-0002-0000-0200-000001000000}">
      <formula1>nmperiset</formula1>
    </dataValidation>
    <dataValidation type="custom" allowBlank="1" sqref="Z5:Z71 AB5:AB71 Z76:Z84 AB76:AB84" xr:uid="{00000000-0002-0000-0200-000002000000}">
      <formula1>OR(NOT(ISERROR(DATEVALUE(Z5))),AND(ISNUMBER(Z5),LEFT(CELL("format",Z5))="D"))</formula1>
    </dataValidation>
    <dataValidation type="custom" allowBlank="1" sqref="Y9" xr:uid="{00000000-0002-0000-0200-000003000000}">
      <formula1>COUNTIF($Y$5:$Y1048,Y9)=1</formula1>
    </dataValidation>
    <dataValidation type="list" allowBlank="1" showInputMessage="1" showErrorMessage="1" prompt=" - " sqref="T5:T71 T76:T84" xr:uid="{00000000-0002-0000-0200-000004000000}">
      <formula1>smbrdana</formula1>
    </dataValidation>
    <dataValidation type="list" allowBlank="1" showErrorMessage="1" sqref="S5:S71 S76:S84" xr:uid="{00000000-0002-0000-0200-000005000000}">
      <formula1>jdn</formula1>
    </dataValidation>
    <dataValidation type="list" allowBlank="1" showDropDown="1" showErrorMessage="1" sqref="D5:D71 D76:D84" xr:uid="{00000000-0002-0000-0200-000006000000}">
      <formula1>statuskelris</formula1>
    </dataValidation>
    <dataValidation type="list" allowBlank="1" showErrorMessage="1" sqref="C5:C71 C76:C84" xr:uid="{00000000-0002-0000-0200-000007000000}">
      <formula1>periodestamp</formula1>
    </dataValidation>
    <dataValidation type="list" allowBlank="1" showErrorMessage="1" sqref="F5:F71 F76:F84" xr:uid="{00000000-0002-0000-0200-000009000000}">
      <formula1>kelris</formula1>
    </dataValidation>
    <dataValidation type="list" allowBlank="1" showErrorMessage="1" sqref="R5:R71 R76:R84" xr:uid="{00000000-0002-0000-0200-00000A000000}">
      <formula1>jnsolehan</formula1>
    </dataValidation>
    <dataValidation type="custom" allowBlank="1" sqref="AA5 Y5:Y8 Y29:Y56 Y76:Y84" xr:uid="{00000000-0002-0000-0200-00000B000000}">
      <formula1>COUNTIF($Y$5:$Y1043,Y5)=1</formula1>
    </dataValidation>
    <dataValidation type="list" allowBlank="1" showErrorMessage="1" sqref="AD5:AD71 AD76:AD84" xr:uid="{00000000-0002-0000-0200-00000C000000}">
      <formula1>stsupload</formula1>
    </dataValidation>
    <dataValidation type="custom" allowBlank="1" sqref="Y10:Y15 Y18:Y28 Y57:Y71" xr:uid="{00000000-0002-0000-0200-00000D000000}">
      <formula1>COUNTIF($Y$5:$Y1047,Y10)=1</formula1>
    </dataValidation>
    <dataValidation type="custom" allowBlank="1" showInputMessage="1" prompt="Duplikasi!! judul yang anda masukkan sudah terdapat pada list sebelumnya" sqref="E8 E32:E44 E46 E49:E56 E76:E84" xr:uid="{00000000-0002-0000-0200-00000E000000}">
      <formula1>COUNTIF($E$5:$E1046,E8)=1</formula1>
    </dataValidation>
    <dataValidation type="custom" allowBlank="1" showInputMessage="1" prompt="Duplikasi!! judul yang anda masukkan sudah terdapat pada list sebelumnya" sqref="E47" xr:uid="{00000000-0002-0000-0200-00000F000000}">
      <formula1>COUNTIF($E$5:$E1086,E47)=1</formula1>
    </dataValidation>
    <dataValidation type="custom" allowBlank="1" showInputMessage="1" prompt="Duplikasi!! judul yang anda masukkan sudah terdapat pada list sebelumnya" sqref="E10:E24 E26:E28 E57:E58 E60:E71" xr:uid="{00000000-0002-0000-0200-000010000000}">
      <formula1>COUNTIF($E$5:$E1047,E10)=1</formula1>
    </dataValidation>
  </dataValidations>
  <hyperlinks>
    <hyperlink ref="AC5" r:id="rId1" xr:uid="{00000000-0004-0000-0200-000000000000}"/>
    <hyperlink ref="AC6" r:id="rId2" xr:uid="{00000000-0004-0000-0200-000001000000}"/>
    <hyperlink ref="AC7" r:id="rId3" xr:uid="{00000000-0004-0000-0200-000002000000}"/>
    <hyperlink ref="AC8" r:id="rId4" xr:uid="{00000000-0004-0000-0200-000003000000}"/>
    <hyperlink ref="G9" r:id="rId5" xr:uid="{00000000-0004-0000-0200-000004000000}"/>
    <hyperlink ref="AC9" r:id="rId6" xr:uid="{00000000-0004-0000-0200-000005000000}"/>
    <hyperlink ref="AC10" r:id="rId7" xr:uid="{00000000-0004-0000-0200-000006000000}"/>
    <hyperlink ref="AC11" r:id="rId8" xr:uid="{00000000-0004-0000-0200-000007000000}"/>
    <hyperlink ref="AC12" r:id="rId9" xr:uid="{00000000-0004-0000-0200-000008000000}"/>
    <hyperlink ref="AC13" r:id="rId10" xr:uid="{00000000-0004-0000-0200-000009000000}"/>
    <hyperlink ref="AC14" r:id="rId11" xr:uid="{00000000-0004-0000-0200-00000A000000}"/>
    <hyperlink ref="AC15" r:id="rId12" xr:uid="{00000000-0004-0000-0200-00000B000000}"/>
    <hyperlink ref="AC16" r:id="rId13" xr:uid="{00000000-0004-0000-0200-00000C000000}"/>
    <hyperlink ref="AC17" r:id="rId14" xr:uid="{00000000-0004-0000-0200-00000D000000}"/>
    <hyperlink ref="AC18" r:id="rId15" xr:uid="{00000000-0004-0000-0200-00000E000000}"/>
    <hyperlink ref="AG18" r:id="rId16" xr:uid="{00000000-0004-0000-0200-00000F000000}"/>
    <hyperlink ref="AC19" r:id="rId17" xr:uid="{00000000-0004-0000-0200-000010000000}"/>
    <hyperlink ref="AC20" r:id="rId18" xr:uid="{00000000-0004-0000-0200-000011000000}"/>
    <hyperlink ref="AC21" r:id="rId19" xr:uid="{00000000-0004-0000-0200-000012000000}"/>
    <hyperlink ref="AC22" r:id="rId20" xr:uid="{00000000-0004-0000-0200-000013000000}"/>
    <hyperlink ref="AC23" r:id="rId21" xr:uid="{00000000-0004-0000-0200-000014000000}"/>
    <hyperlink ref="AC24" r:id="rId22" xr:uid="{00000000-0004-0000-0200-000015000000}"/>
    <hyperlink ref="AC25" r:id="rId23" xr:uid="{00000000-0004-0000-0200-000016000000}"/>
    <hyperlink ref="AC26" r:id="rId24" xr:uid="{00000000-0004-0000-0200-000017000000}"/>
    <hyperlink ref="AC27" r:id="rId25" xr:uid="{00000000-0004-0000-0200-000018000000}"/>
    <hyperlink ref="AG27" r:id="rId26" xr:uid="{00000000-0004-0000-0200-000019000000}"/>
    <hyperlink ref="AC28" r:id="rId27" xr:uid="{00000000-0004-0000-0200-00001A000000}"/>
    <hyperlink ref="AG28" r:id="rId28" xr:uid="{00000000-0004-0000-0200-00001B000000}"/>
    <hyperlink ref="AC29" r:id="rId29" xr:uid="{00000000-0004-0000-0200-00001C000000}"/>
    <hyperlink ref="AC30" r:id="rId30" xr:uid="{00000000-0004-0000-0200-00001D000000}"/>
    <hyperlink ref="AC31" r:id="rId31" xr:uid="{00000000-0004-0000-0200-00001E000000}"/>
    <hyperlink ref="AC32" r:id="rId32" xr:uid="{00000000-0004-0000-0200-00001F000000}"/>
    <hyperlink ref="AC33" r:id="rId33" xr:uid="{00000000-0004-0000-0200-000020000000}"/>
    <hyperlink ref="AC34" r:id="rId34" xr:uid="{00000000-0004-0000-0200-000021000000}"/>
    <hyperlink ref="AC35" r:id="rId35" xr:uid="{00000000-0004-0000-0200-000022000000}"/>
    <hyperlink ref="AC36" r:id="rId36" xr:uid="{00000000-0004-0000-0200-000023000000}"/>
    <hyperlink ref="AC37" r:id="rId37" xr:uid="{00000000-0004-0000-0200-000024000000}"/>
    <hyperlink ref="G38" r:id="rId38" xr:uid="{00000000-0004-0000-0200-000025000000}"/>
    <hyperlink ref="AC38" r:id="rId39" xr:uid="{00000000-0004-0000-0200-000026000000}"/>
    <hyperlink ref="AC39" r:id="rId40" xr:uid="{00000000-0004-0000-0200-000027000000}"/>
    <hyperlink ref="AC40" r:id="rId41" xr:uid="{00000000-0004-0000-0200-000028000000}"/>
    <hyperlink ref="AC41" r:id="rId42" xr:uid="{00000000-0004-0000-0200-000029000000}"/>
    <hyperlink ref="AC42" r:id="rId43" xr:uid="{00000000-0004-0000-0200-00002A000000}"/>
    <hyperlink ref="AC43" r:id="rId44" xr:uid="{00000000-0004-0000-0200-00002B000000}"/>
    <hyperlink ref="AC44" r:id="rId45" xr:uid="{00000000-0004-0000-0200-00002C000000}"/>
    <hyperlink ref="AC45" r:id="rId46" xr:uid="{00000000-0004-0000-0200-00002D000000}"/>
    <hyperlink ref="AC46" r:id="rId47" xr:uid="{00000000-0004-0000-0200-00002E000000}"/>
    <hyperlink ref="AC47" r:id="rId48" xr:uid="{00000000-0004-0000-0200-00002F000000}"/>
    <hyperlink ref="AC48" r:id="rId49" xr:uid="{00000000-0004-0000-0200-000030000000}"/>
    <hyperlink ref="AC49" r:id="rId50" xr:uid="{00000000-0004-0000-0200-000031000000}"/>
    <hyperlink ref="AC50" r:id="rId51" xr:uid="{00000000-0004-0000-0200-000032000000}"/>
    <hyperlink ref="AC51" r:id="rId52" xr:uid="{00000000-0004-0000-0200-000033000000}"/>
    <hyperlink ref="AC52" r:id="rId53" xr:uid="{00000000-0004-0000-0200-000034000000}"/>
    <hyperlink ref="AC53" r:id="rId54" xr:uid="{00000000-0004-0000-0200-000035000000}"/>
    <hyperlink ref="AC54" r:id="rId55" xr:uid="{00000000-0004-0000-0200-000036000000}"/>
    <hyperlink ref="AC55" r:id="rId56" xr:uid="{00000000-0004-0000-0200-000037000000}"/>
    <hyperlink ref="AC56" r:id="rId57" xr:uid="{00000000-0004-0000-0200-000038000000}"/>
    <hyperlink ref="AC57" r:id="rId58" xr:uid="{00000000-0004-0000-0200-000039000000}"/>
    <hyperlink ref="AC58" r:id="rId59" xr:uid="{00000000-0004-0000-0200-00003A000000}"/>
    <hyperlink ref="AG58" r:id="rId60" xr:uid="{00000000-0004-0000-0200-00003B000000}"/>
    <hyperlink ref="K59" r:id="rId61" xr:uid="{00000000-0004-0000-0200-00003C000000}"/>
    <hyperlink ref="AC59" r:id="rId62" xr:uid="{00000000-0004-0000-0200-00003D000000}"/>
    <hyperlink ref="X60" r:id="rId63" xr:uid="{00000000-0004-0000-0200-00003E000000}"/>
    <hyperlink ref="AC60" r:id="rId64" xr:uid="{00000000-0004-0000-0200-00003F000000}"/>
    <hyperlink ref="AG60" r:id="rId65" xr:uid="{00000000-0004-0000-0200-000040000000}"/>
    <hyperlink ref="AC61" r:id="rId66" xr:uid="{00000000-0004-0000-0200-000041000000}"/>
    <hyperlink ref="AC62" r:id="rId67" xr:uid="{00000000-0004-0000-0200-000042000000}"/>
    <hyperlink ref="AC63" r:id="rId68" xr:uid="{00000000-0004-0000-0200-000043000000}"/>
    <hyperlink ref="AC64" r:id="rId69" xr:uid="{00000000-0004-0000-0200-000044000000}"/>
    <hyperlink ref="AC65" r:id="rId70" xr:uid="{00000000-0004-0000-0200-000045000000}"/>
    <hyperlink ref="AC66" r:id="rId71" xr:uid="{00000000-0004-0000-0200-000046000000}"/>
    <hyperlink ref="AC67" r:id="rId72" xr:uid="{00000000-0004-0000-0200-000047000000}"/>
    <hyperlink ref="AC68" r:id="rId73" xr:uid="{00000000-0004-0000-0200-000048000000}"/>
    <hyperlink ref="AC69" r:id="rId74" xr:uid="{00000000-0004-0000-0200-000049000000}"/>
    <hyperlink ref="AC70" r:id="rId75" xr:uid="{00000000-0004-0000-0200-00004A000000}"/>
    <hyperlink ref="AC71" r:id="rId76" xr:uid="{00000000-0004-0000-0200-00004B000000}"/>
    <hyperlink ref="AC76" r:id="rId77" xr:uid="{00000000-0004-0000-0200-00004C000000}"/>
    <hyperlink ref="AC77" r:id="rId78" xr:uid="{00000000-0004-0000-0200-00004D000000}"/>
    <hyperlink ref="AC78" r:id="rId79" xr:uid="{00000000-0004-0000-0200-00004E000000}"/>
    <hyperlink ref="AC79" r:id="rId80" xr:uid="{00000000-0004-0000-0200-00004F000000}"/>
    <hyperlink ref="AC80" r:id="rId81" xr:uid="{00000000-0004-0000-0200-000050000000}"/>
    <hyperlink ref="AC81" r:id="rId82" xr:uid="{00000000-0004-0000-0200-000051000000}"/>
    <hyperlink ref="AC82" r:id="rId83" xr:uid="{00000000-0004-0000-0200-000052000000}"/>
    <hyperlink ref="AC83" r:id="rId84" xr:uid="{00000000-0004-0000-0200-000053000000}"/>
    <hyperlink ref="AC84" r:id="rId85" xr:uid="{00000000-0004-0000-0200-000054000000}"/>
  </hyperlinks>
  <pageMargins left="0.7" right="0.7" top="0.75" bottom="0.75" header="0" footer="0"/>
  <pageSetup paperSize="9" scale="23"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pane xSplit="5" ySplit="2" topLeftCell="F8" activePane="bottomRight" state="frozen"/>
      <selection pane="topRight" activeCell="F1" sqref="F1"/>
      <selection pane="bottomLeft" activeCell="A3" sqref="A3"/>
      <selection pane="bottomRight" activeCell="A9" sqref="A9:XFD10"/>
    </sheetView>
  </sheetViews>
  <sheetFormatPr defaultColWidth="11.23046875" defaultRowHeight="15" customHeight="1"/>
  <cols>
    <col min="1" max="1" width="4.07421875" customWidth="1"/>
    <col min="2" max="3" width="12.69140625" customWidth="1"/>
    <col min="4" max="4" width="3.53515625" customWidth="1"/>
    <col min="5" max="5" width="23.765625" customWidth="1"/>
    <col min="6" max="6" width="25.69140625" customWidth="1"/>
    <col min="7" max="7" width="10.84375" customWidth="1"/>
    <col min="8" max="8" width="20" customWidth="1"/>
    <col min="9" max="9" width="15.53515625" customWidth="1"/>
    <col min="10" max="10" width="36.765625" customWidth="1"/>
    <col min="11" max="11" width="11.84375" customWidth="1"/>
    <col min="12" max="12" width="14.4609375" customWidth="1"/>
    <col min="13" max="13" width="11.07421875" customWidth="1"/>
    <col min="14" max="14" width="49.84375" customWidth="1"/>
    <col min="15" max="18" width="6.23046875" customWidth="1"/>
  </cols>
  <sheetData>
    <row r="1" spans="1:27" ht="18.5">
      <c r="A1" s="1188" t="s">
        <v>2095</v>
      </c>
      <c r="B1" s="1176"/>
      <c r="C1" s="1176"/>
      <c r="D1" s="1176"/>
      <c r="E1" s="1176"/>
      <c r="F1" s="1176"/>
      <c r="G1" s="230"/>
      <c r="H1" s="230"/>
      <c r="I1" s="230"/>
      <c r="J1" s="230"/>
      <c r="K1" s="230"/>
      <c r="L1" s="230"/>
      <c r="M1" s="230"/>
      <c r="N1" s="230"/>
      <c r="O1" s="230"/>
      <c r="P1" s="230"/>
      <c r="Q1" s="230"/>
      <c r="R1" s="230"/>
    </row>
    <row r="2" spans="1:27" ht="18.5">
      <c r="A2" s="1176"/>
      <c r="B2" s="1176"/>
      <c r="C2" s="1176"/>
      <c r="D2" s="1176"/>
      <c r="E2" s="1176"/>
      <c r="F2" s="1176"/>
      <c r="G2" s="230"/>
      <c r="H2" s="230"/>
      <c r="I2" s="230"/>
      <c r="J2" s="230"/>
      <c r="K2" s="230"/>
      <c r="L2" s="230"/>
      <c r="M2" s="230"/>
      <c r="N2" s="230"/>
      <c r="O2" s="230"/>
      <c r="P2" s="230"/>
      <c r="Q2" s="230"/>
      <c r="R2" s="230"/>
    </row>
    <row r="3" spans="1:27" ht="18.5">
      <c r="A3" s="230"/>
      <c r="B3" s="230"/>
      <c r="C3" s="230"/>
      <c r="D3" s="230"/>
      <c r="E3" s="230"/>
      <c r="F3" s="230"/>
      <c r="G3" s="230"/>
      <c r="H3" s="230"/>
      <c r="I3" s="230"/>
      <c r="J3" s="230"/>
      <c r="K3" s="230"/>
      <c r="L3" s="230"/>
      <c r="M3" s="230"/>
      <c r="N3" s="230"/>
      <c r="O3" s="230"/>
      <c r="P3" s="230"/>
      <c r="Q3" s="230"/>
      <c r="R3" s="230"/>
    </row>
    <row r="4" spans="1:27" ht="15.75" customHeight="1">
      <c r="A4" s="1196" t="s">
        <v>1</v>
      </c>
      <c r="B4" s="1179"/>
      <c r="C4" s="1180"/>
      <c r="D4" s="517"/>
      <c r="E4" s="1201" t="s">
        <v>2096</v>
      </c>
      <c r="F4" s="1202"/>
      <c r="G4" s="518"/>
      <c r="H4" s="519"/>
      <c r="I4" s="520"/>
      <c r="J4" s="521"/>
      <c r="L4" s="522"/>
      <c r="M4" s="522"/>
    </row>
    <row r="5" spans="1:27" ht="39">
      <c r="A5" s="523" t="s">
        <v>5</v>
      </c>
      <c r="B5" s="524" t="s">
        <v>6</v>
      </c>
      <c r="C5" s="524" t="s">
        <v>7</v>
      </c>
      <c r="D5" s="525"/>
      <c r="E5" s="526" t="s">
        <v>2097</v>
      </c>
      <c r="F5" s="526" t="s">
        <v>10</v>
      </c>
      <c r="G5" s="526" t="s">
        <v>2098</v>
      </c>
      <c r="H5" s="526" t="s">
        <v>2099</v>
      </c>
      <c r="I5" s="526" t="s">
        <v>23</v>
      </c>
      <c r="J5" s="526" t="s">
        <v>1836</v>
      </c>
      <c r="K5" s="527" t="s">
        <v>2100</v>
      </c>
      <c r="L5" s="528" t="s">
        <v>2101</v>
      </c>
      <c r="M5" s="528" t="s">
        <v>1842</v>
      </c>
      <c r="N5" s="529" t="s">
        <v>30</v>
      </c>
    </row>
    <row r="6" spans="1:27" ht="46.5" customHeight="1">
      <c r="A6" s="530">
        <v>1</v>
      </c>
      <c r="B6" s="241">
        <f t="shared" ref="B6:B61" ca="1" si="0">IF(OR(E6&lt;&gt;"",F6&lt;&gt;""),IF(B6="",NOW(),B6),"")</f>
        <v>45728.550199999998</v>
      </c>
      <c r="C6" s="531" t="s">
        <v>47</v>
      </c>
      <c r="D6" s="63"/>
      <c r="E6" s="532" t="s">
        <v>531</v>
      </c>
      <c r="F6" s="533" t="s">
        <v>32</v>
      </c>
      <c r="G6" s="534" t="s">
        <v>2102</v>
      </c>
      <c r="H6" s="535" t="s">
        <v>2103</v>
      </c>
      <c r="I6" s="536" t="s">
        <v>2104</v>
      </c>
      <c r="J6" s="68" t="s">
        <v>2105</v>
      </c>
      <c r="K6" s="24" t="s">
        <v>2106</v>
      </c>
      <c r="L6" s="537" t="s">
        <v>2107</v>
      </c>
      <c r="M6" s="373" t="s">
        <v>1811</v>
      </c>
      <c r="N6" s="328" t="s">
        <v>2105</v>
      </c>
      <c r="O6" s="538" t="s">
        <v>2108</v>
      </c>
      <c r="P6" s="539"/>
      <c r="Q6" s="539"/>
      <c r="R6" s="539"/>
      <c r="S6" s="539"/>
      <c r="T6" s="539"/>
      <c r="U6" s="539"/>
      <c r="V6" s="539"/>
      <c r="W6" s="539"/>
      <c r="X6" s="539"/>
      <c r="Y6" s="539"/>
      <c r="Z6" s="539"/>
      <c r="AA6" s="539"/>
    </row>
    <row r="7" spans="1:27" ht="54" customHeight="1">
      <c r="A7" s="540">
        <v>2</v>
      </c>
      <c r="B7" s="241">
        <f t="shared" ca="1" si="0"/>
        <v>45736.243090000004</v>
      </c>
      <c r="C7" s="541"/>
      <c r="D7" s="63"/>
      <c r="E7" s="79" t="s">
        <v>33</v>
      </c>
      <c r="F7" s="542" t="s">
        <v>32</v>
      </c>
      <c r="G7" s="543" t="s">
        <v>2102</v>
      </c>
      <c r="H7" s="535" t="s">
        <v>2109</v>
      </c>
      <c r="I7" s="544" t="s">
        <v>2110</v>
      </c>
      <c r="J7" s="68" t="s">
        <v>2111</v>
      </c>
      <c r="K7" s="24" t="s">
        <v>2106</v>
      </c>
      <c r="L7" s="545" t="s">
        <v>2112</v>
      </c>
      <c r="M7" s="373" t="s">
        <v>1811</v>
      </c>
      <c r="N7" s="546" t="s">
        <v>2113</v>
      </c>
    </row>
    <row r="8" spans="1:27" ht="37.5" customHeight="1">
      <c r="A8" s="530">
        <v>3</v>
      </c>
      <c r="B8" s="241">
        <f t="shared" ca="1" si="0"/>
        <v>45736.243499999997</v>
      </c>
      <c r="C8" s="531" t="s">
        <v>47</v>
      </c>
      <c r="D8" s="63"/>
      <c r="E8" s="547" t="s">
        <v>93</v>
      </c>
      <c r="F8" s="548" t="s">
        <v>49</v>
      </c>
      <c r="G8" s="543" t="s">
        <v>2102</v>
      </c>
      <c r="H8" s="535" t="s">
        <v>2114</v>
      </c>
      <c r="I8" s="544" t="s">
        <v>2115</v>
      </c>
      <c r="J8" s="68" t="s">
        <v>2116</v>
      </c>
      <c r="K8" s="24" t="s">
        <v>2106</v>
      </c>
      <c r="L8" s="545" t="s">
        <v>2117</v>
      </c>
      <c r="M8" s="373" t="s">
        <v>1811</v>
      </c>
      <c r="N8" s="549" t="s">
        <v>2118</v>
      </c>
    </row>
    <row r="9" spans="1:27" ht="37.5" customHeight="1">
      <c r="A9" s="540"/>
      <c r="B9" s="241"/>
      <c r="C9" s="550"/>
      <c r="D9" s="63"/>
      <c r="E9" s="551"/>
      <c r="F9" s="552"/>
      <c r="G9" s="553"/>
      <c r="H9" s="535"/>
      <c r="I9" s="554"/>
      <c r="J9" s="555"/>
      <c r="K9" s="24"/>
      <c r="L9" s="545"/>
      <c r="M9" s="373"/>
      <c r="N9" s="549"/>
    </row>
    <row r="10" spans="1:27" ht="58.5" customHeight="1">
      <c r="A10" s="530"/>
      <c r="B10" s="241"/>
      <c r="C10" s="556"/>
      <c r="D10" s="63"/>
      <c r="E10" s="547"/>
      <c r="F10" s="557"/>
      <c r="G10" s="553"/>
      <c r="H10" s="535"/>
      <c r="I10" s="558"/>
      <c r="J10" s="68"/>
      <c r="K10" s="24"/>
      <c r="L10" s="545"/>
      <c r="M10" s="373"/>
      <c r="N10" s="559"/>
    </row>
    <row r="11" spans="1:27" ht="37.5" customHeight="1">
      <c r="A11" s="540">
        <v>6</v>
      </c>
      <c r="B11" s="241">
        <f t="shared" ca="1" si="0"/>
        <v>45805.379780000003</v>
      </c>
      <c r="C11" s="560" t="s">
        <v>480</v>
      </c>
      <c r="D11" s="63"/>
      <c r="E11" s="547" t="s">
        <v>137</v>
      </c>
      <c r="F11" s="561" t="s">
        <v>58</v>
      </c>
      <c r="G11" s="303" t="s">
        <v>2102</v>
      </c>
      <c r="H11" s="562" t="s">
        <v>2119</v>
      </c>
      <c r="I11" s="563" t="s">
        <v>2104</v>
      </c>
      <c r="J11" s="564" t="s">
        <v>2120</v>
      </c>
      <c r="K11" s="24" t="s">
        <v>2106</v>
      </c>
      <c r="L11" s="565" t="s">
        <v>2121</v>
      </c>
      <c r="M11" s="373" t="s">
        <v>1811</v>
      </c>
      <c r="N11" s="564" t="s">
        <v>2122</v>
      </c>
    </row>
    <row r="12" spans="1:27" ht="37.5" customHeight="1">
      <c r="A12" s="530">
        <v>7</v>
      </c>
      <c r="B12" s="241">
        <f t="shared" ca="1" si="0"/>
        <v>45856.489829999999</v>
      </c>
      <c r="C12" s="560" t="s">
        <v>480</v>
      </c>
      <c r="D12" s="63"/>
      <c r="E12" s="547" t="s">
        <v>672</v>
      </c>
      <c r="F12" s="561" t="s">
        <v>49</v>
      </c>
      <c r="G12" s="303" t="s">
        <v>2102</v>
      </c>
      <c r="H12" s="535" t="s">
        <v>2109</v>
      </c>
      <c r="I12" s="563" t="s">
        <v>2115</v>
      </c>
      <c r="J12" s="564" t="s">
        <v>2123</v>
      </c>
      <c r="K12" s="24" t="s">
        <v>2106</v>
      </c>
      <c r="L12" s="565" t="s">
        <v>2124</v>
      </c>
      <c r="M12" s="373" t="s">
        <v>1811</v>
      </c>
      <c r="N12" s="549"/>
    </row>
    <row r="13" spans="1:27" ht="37.5" customHeight="1">
      <c r="A13" s="530">
        <v>9</v>
      </c>
      <c r="B13" s="241" t="str">
        <f t="shared" ca="1" si="0"/>
        <v/>
      </c>
      <c r="C13" s="550"/>
      <c r="D13" s="63"/>
      <c r="E13" s="547"/>
      <c r="F13" s="566"/>
      <c r="G13" s="303"/>
      <c r="H13" s="562"/>
      <c r="I13" s="563"/>
      <c r="J13" s="564"/>
      <c r="K13" s="24" t="s">
        <v>2106</v>
      </c>
      <c r="L13" s="567"/>
      <c r="M13" s="303"/>
      <c r="N13" s="549"/>
    </row>
    <row r="14" spans="1:27" ht="37.5" customHeight="1">
      <c r="A14" s="540">
        <v>10</v>
      </c>
      <c r="B14" s="241" t="str">
        <f t="shared" ca="1" si="0"/>
        <v/>
      </c>
      <c r="C14" s="550"/>
      <c r="D14" s="63"/>
      <c r="E14" s="455"/>
      <c r="F14" s="568"/>
      <c r="G14" s="303"/>
      <c r="H14" s="562"/>
      <c r="I14" s="563"/>
      <c r="J14" s="564"/>
      <c r="K14" s="24" t="s">
        <v>2106</v>
      </c>
      <c r="L14" s="567"/>
      <c r="M14" s="303"/>
      <c r="N14" s="549"/>
    </row>
    <row r="15" spans="1:27" ht="37.5" customHeight="1">
      <c r="A15" s="530">
        <v>11</v>
      </c>
      <c r="B15" s="241" t="str">
        <f t="shared" ca="1" si="0"/>
        <v/>
      </c>
      <c r="C15" s="569"/>
      <c r="D15" s="63"/>
      <c r="E15" s="455"/>
      <c r="F15" s="568"/>
      <c r="G15" s="303"/>
      <c r="H15" s="562"/>
      <c r="I15" s="563"/>
      <c r="J15" s="564"/>
      <c r="K15" s="24" t="s">
        <v>2106</v>
      </c>
      <c r="L15" s="567"/>
      <c r="M15" s="303"/>
      <c r="N15" s="549"/>
    </row>
    <row r="16" spans="1:27" ht="37.5" customHeight="1">
      <c r="A16" s="540">
        <v>12</v>
      </c>
      <c r="B16" s="241" t="str">
        <f t="shared" ca="1" si="0"/>
        <v/>
      </c>
      <c r="C16" s="569"/>
      <c r="D16" s="63"/>
      <c r="E16" s="455"/>
      <c r="F16" s="568"/>
      <c r="G16" s="303"/>
      <c r="H16" s="562"/>
      <c r="I16" s="563"/>
      <c r="J16" s="570"/>
      <c r="K16" s="24" t="s">
        <v>2106</v>
      </c>
      <c r="L16" s="567"/>
      <c r="M16" s="303"/>
      <c r="N16" s="549"/>
    </row>
    <row r="17" spans="1:15" ht="37.5" customHeight="1">
      <c r="A17" s="530">
        <v>13</v>
      </c>
      <c r="B17" s="241" t="str">
        <f t="shared" ca="1" si="0"/>
        <v/>
      </c>
      <c r="C17" s="569"/>
      <c r="D17" s="63"/>
      <c r="E17" s="455"/>
      <c r="F17" s="568"/>
      <c r="G17" s="303"/>
      <c r="H17" s="562"/>
      <c r="I17" s="563"/>
      <c r="J17" s="564"/>
      <c r="K17" s="24" t="s">
        <v>2106</v>
      </c>
      <c r="L17" s="567"/>
      <c r="M17" s="303"/>
      <c r="N17" s="549"/>
    </row>
    <row r="18" spans="1:15" ht="37.5" customHeight="1">
      <c r="A18" s="540">
        <v>14</v>
      </c>
      <c r="B18" s="241" t="str">
        <f t="shared" ca="1" si="0"/>
        <v/>
      </c>
      <c r="C18" s="569"/>
      <c r="D18" s="63"/>
      <c r="E18" s="455"/>
      <c r="F18" s="571"/>
      <c r="G18" s="303"/>
      <c r="H18" s="562"/>
      <c r="I18" s="563"/>
      <c r="J18" s="570"/>
      <c r="K18" s="24" t="s">
        <v>2106</v>
      </c>
      <c r="L18" s="567"/>
      <c r="M18" s="303"/>
      <c r="N18" s="549"/>
    </row>
    <row r="19" spans="1:15" ht="37.5" customHeight="1">
      <c r="A19" s="530">
        <v>15</v>
      </c>
      <c r="B19" s="241" t="str">
        <f t="shared" ca="1" si="0"/>
        <v/>
      </c>
      <c r="C19" s="569"/>
      <c r="D19" s="63"/>
      <c r="E19" s="455"/>
      <c r="F19" s="568"/>
      <c r="G19" s="303"/>
      <c r="H19" s="562"/>
      <c r="I19" s="563"/>
      <c r="J19" s="572"/>
      <c r="K19" s="24" t="s">
        <v>2106</v>
      </c>
      <c r="L19" s="567"/>
      <c r="M19" s="573"/>
      <c r="N19" s="549"/>
      <c r="O19" s="574"/>
    </row>
    <row r="20" spans="1:15" ht="37.5" customHeight="1">
      <c r="A20" s="540">
        <v>16</v>
      </c>
      <c r="B20" s="241" t="str">
        <f t="shared" ca="1" si="0"/>
        <v/>
      </c>
      <c r="C20" s="550"/>
      <c r="D20" s="63"/>
      <c r="E20" s="455"/>
      <c r="F20" s="568"/>
      <c r="G20" s="303"/>
      <c r="H20" s="562"/>
      <c r="I20" s="563"/>
      <c r="J20" s="564"/>
      <c r="K20" s="24" t="s">
        <v>2106</v>
      </c>
      <c r="L20" s="567"/>
      <c r="M20" s="303"/>
      <c r="N20" s="549"/>
      <c r="O20" s="574"/>
    </row>
    <row r="21" spans="1:15" ht="37.5" customHeight="1">
      <c r="A21" s="530">
        <v>17</v>
      </c>
      <c r="B21" s="241" t="str">
        <f t="shared" ca="1" si="0"/>
        <v/>
      </c>
      <c r="C21" s="569"/>
      <c r="D21" s="63"/>
      <c r="E21" s="455"/>
      <c r="F21" s="568"/>
      <c r="G21" s="303"/>
      <c r="H21" s="562"/>
      <c r="I21" s="563"/>
      <c r="J21" s="564"/>
      <c r="K21" s="24" t="s">
        <v>2106</v>
      </c>
      <c r="L21" s="567"/>
      <c r="M21" s="303"/>
      <c r="N21" s="549"/>
    </row>
    <row r="22" spans="1:15" ht="37.5" customHeight="1">
      <c r="A22" s="540">
        <v>18</v>
      </c>
      <c r="B22" s="241" t="str">
        <f t="shared" ca="1" si="0"/>
        <v/>
      </c>
      <c r="C22" s="569"/>
      <c r="D22" s="63"/>
      <c r="E22" s="455"/>
      <c r="F22" s="568"/>
      <c r="G22" s="303"/>
      <c r="H22" s="562"/>
      <c r="I22" s="563"/>
      <c r="J22" s="564"/>
      <c r="K22" s="24" t="s">
        <v>2106</v>
      </c>
      <c r="L22" s="567"/>
      <c r="M22" s="303"/>
      <c r="N22" s="549"/>
    </row>
    <row r="23" spans="1:15" ht="37.5" customHeight="1">
      <c r="A23" s="530">
        <v>19</v>
      </c>
      <c r="B23" s="241" t="str">
        <f t="shared" ca="1" si="0"/>
        <v/>
      </c>
      <c r="C23" s="569"/>
      <c r="D23" s="63"/>
      <c r="E23" s="455"/>
      <c r="F23" s="568"/>
      <c r="G23" s="303"/>
      <c r="H23" s="562"/>
      <c r="I23" s="563"/>
      <c r="J23" s="564"/>
      <c r="K23" s="24" t="s">
        <v>2106</v>
      </c>
      <c r="L23" s="567"/>
      <c r="M23" s="303"/>
      <c r="N23" s="549"/>
    </row>
    <row r="24" spans="1:15" ht="37.5" customHeight="1">
      <c r="A24" s="540">
        <v>20</v>
      </c>
      <c r="B24" s="241" t="str">
        <f t="shared" ca="1" si="0"/>
        <v/>
      </c>
      <c r="C24" s="575"/>
      <c r="D24" s="63"/>
      <c r="E24" s="576"/>
      <c r="F24" s="568"/>
      <c r="G24" s="303"/>
      <c r="H24" s="562"/>
      <c r="I24" s="563"/>
      <c r="J24" s="564"/>
      <c r="K24" s="24" t="s">
        <v>2106</v>
      </c>
      <c r="L24" s="567"/>
      <c r="M24" s="303"/>
      <c r="N24" s="577"/>
    </row>
    <row r="25" spans="1:15" ht="37.5" customHeight="1">
      <c r="A25" s="530">
        <v>21</v>
      </c>
      <c r="B25" s="241" t="str">
        <f t="shared" ca="1" si="0"/>
        <v/>
      </c>
      <c r="C25" s="569"/>
      <c r="D25" s="63"/>
      <c r="E25" s="578"/>
      <c r="F25" s="568"/>
      <c r="G25" s="303"/>
      <c r="H25" s="562"/>
      <c r="I25" s="563"/>
      <c r="J25" s="564"/>
      <c r="K25" s="24" t="s">
        <v>2106</v>
      </c>
      <c r="L25" s="567"/>
      <c r="M25" s="303"/>
      <c r="N25" s="549"/>
    </row>
    <row r="26" spans="1:15" ht="37.5" customHeight="1">
      <c r="A26" s="540">
        <v>22</v>
      </c>
      <c r="B26" s="241" t="str">
        <f t="shared" ca="1" si="0"/>
        <v/>
      </c>
      <c r="C26" s="569"/>
      <c r="D26" s="63"/>
      <c r="E26" s="578"/>
      <c r="F26" s="568"/>
      <c r="G26" s="303"/>
      <c r="H26" s="562"/>
      <c r="I26" s="563"/>
      <c r="J26" s="572"/>
      <c r="K26" s="24" t="s">
        <v>2106</v>
      </c>
      <c r="L26" s="567"/>
      <c r="M26" s="303"/>
      <c r="N26" s="549"/>
    </row>
    <row r="27" spans="1:15" ht="37.5" customHeight="1">
      <c r="A27" s="530">
        <v>23</v>
      </c>
      <c r="B27" s="241" t="str">
        <f t="shared" ca="1" si="0"/>
        <v/>
      </c>
      <c r="C27" s="569"/>
      <c r="D27" s="63"/>
      <c r="E27" s="578"/>
      <c r="F27" s="568"/>
      <c r="G27" s="303"/>
      <c r="H27" s="562"/>
      <c r="I27" s="563"/>
      <c r="J27" s="572"/>
      <c r="K27" s="24" t="s">
        <v>2106</v>
      </c>
      <c r="L27" s="567"/>
      <c r="M27" s="303"/>
      <c r="N27" s="549"/>
    </row>
    <row r="28" spans="1:15" ht="37.5" customHeight="1">
      <c r="A28" s="540">
        <v>24</v>
      </c>
      <c r="B28" s="241" t="str">
        <f t="shared" ca="1" si="0"/>
        <v/>
      </c>
      <c r="C28" s="531"/>
      <c r="D28" s="63"/>
      <c r="E28" s="578"/>
      <c r="F28" s="568"/>
      <c r="G28" s="303"/>
      <c r="H28" s="562"/>
      <c r="I28" s="563"/>
      <c r="J28" s="564"/>
      <c r="K28" s="24" t="s">
        <v>2106</v>
      </c>
      <c r="L28" s="567"/>
      <c r="M28" s="303"/>
      <c r="N28" s="549"/>
    </row>
    <row r="29" spans="1:15" ht="37.5" customHeight="1">
      <c r="A29" s="530">
        <v>25</v>
      </c>
      <c r="B29" s="241" t="str">
        <f t="shared" ca="1" si="0"/>
        <v/>
      </c>
      <c r="C29" s="531"/>
      <c r="D29" s="63"/>
      <c r="E29" s="578"/>
      <c r="F29" s="568"/>
      <c r="G29" s="303"/>
      <c r="H29" s="562"/>
      <c r="I29" s="563"/>
      <c r="J29" s="564"/>
      <c r="K29" s="24" t="s">
        <v>2106</v>
      </c>
      <c r="L29" s="567"/>
      <c r="M29" s="303"/>
      <c r="N29" s="549"/>
    </row>
    <row r="30" spans="1:15" ht="37.5" customHeight="1">
      <c r="A30" s="540">
        <v>26</v>
      </c>
      <c r="B30" s="241" t="str">
        <f t="shared" ca="1" si="0"/>
        <v/>
      </c>
      <c r="C30" s="579"/>
      <c r="D30" s="63"/>
      <c r="E30" s="578"/>
      <c r="F30" s="568"/>
      <c r="G30" s="303"/>
      <c r="H30" s="562"/>
      <c r="I30" s="563"/>
      <c r="J30" s="580"/>
      <c r="K30" s="24" t="s">
        <v>2106</v>
      </c>
      <c r="L30" s="567"/>
      <c r="M30" s="303"/>
      <c r="N30" s="549"/>
    </row>
    <row r="31" spans="1:15" ht="37.5" customHeight="1">
      <c r="A31" s="530">
        <v>27</v>
      </c>
      <c r="B31" s="241" t="str">
        <f t="shared" ca="1" si="0"/>
        <v/>
      </c>
      <c r="C31" s="550"/>
      <c r="D31" s="63"/>
      <c r="E31" s="578"/>
      <c r="F31" s="568"/>
      <c r="G31" s="303"/>
      <c r="H31" s="562"/>
      <c r="I31" s="563"/>
      <c r="J31" s="580"/>
      <c r="K31" s="24" t="s">
        <v>2106</v>
      </c>
      <c r="L31" s="567"/>
      <c r="M31" s="303"/>
      <c r="N31" s="304"/>
    </row>
    <row r="32" spans="1:15" ht="37.5" customHeight="1">
      <c r="A32" s="540">
        <v>28</v>
      </c>
      <c r="B32" s="241" t="str">
        <f t="shared" ca="1" si="0"/>
        <v/>
      </c>
      <c r="C32" s="569"/>
      <c r="D32" s="63"/>
      <c r="E32" s="578"/>
      <c r="F32" s="568"/>
      <c r="G32" s="303"/>
      <c r="H32" s="562"/>
      <c r="I32" s="563"/>
      <c r="J32" s="580"/>
      <c r="K32" s="24" t="s">
        <v>2106</v>
      </c>
      <c r="L32" s="567"/>
      <c r="M32" s="303"/>
      <c r="N32" s="304"/>
    </row>
    <row r="33" spans="1:14" ht="37.5" customHeight="1">
      <c r="A33" s="530">
        <v>29</v>
      </c>
      <c r="B33" s="241" t="str">
        <f t="shared" ca="1" si="0"/>
        <v/>
      </c>
      <c r="C33" s="569"/>
      <c r="D33" s="63"/>
      <c r="E33" s="578"/>
      <c r="F33" s="568"/>
      <c r="G33" s="303"/>
      <c r="H33" s="562"/>
      <c r="I33" s="563"/>
      <c r="J33" s="580"/>
      <c r="K33" s="24" t="s">
        <v>2106</v>
      </c>
      <c r="L33" s="567"/>
      <c r="M33" s="303"/>
      <c r="N33" s="304"/>
    </row>
    <row r="34" spans="1:14" ht="37.5" customHeight="1">
      <c r="A34" s="540">
        <v>30</v>
      </c>
      <c r="B34" s="241" t="str">
        <f t="shared" ca="1" si="0"/>
        <v/>
      </c>
      <c r="C34" s="550"/>
      <c r="D34" s="63"/>
      <c r="E34" s="578"/>
      <c r="F34" s="568"/>
      <c r="G34" s="303"/>
      <c r="H34" s="562"/>
      <c r="I34" s="563"/>
      <c r="J34" s="564"/>
      <c r="K34" s="24" t="s">
        <v>2106</v>
      </c>
      <c r="L34" s="567"/>
      <c r="M34" s="303"/>
      <c r="N34" s="304"/>
    </row>
    <row r="35" spans="1:14" ht="37.5" customHeight="1">
      <c r="A35" s="530">
        <v>31</v>
      </c>
      <c r="B35" s="241" t="str">
        <f t="shared" ca="1" si="0"/>
        <v/>
      </c>
      <c r="C35" s="569"/>
      <c r="D35" s="63"/>
      <c r="E35" s="578"/>
      <c r="F35" s="568"/>
      <c r="G35" s="303"/>
      <c r="H35" s="562"/>
      <c r="I35" s="563"/>
      <c r="J35" s="564"/>
      <c r="K35" s="24" t="s">
        <v>2106</v>
      </c>
      <c r="L35" s="567"/>
      <c r="M35" s="303"/>
      <c r="N35" s="304"/>
    </row>
    <row r="36" spans="1:14" ht="37.5" customHeight="1">
      <c r="A36" s="540">
        <v>32</v>
      </c>
      <c r="B36" s="241" t="str">
        <f t="shared" ca="1" si="0"/>
        <v/>
      </c>
      <c r="C36" s="569"/>
      <c r="D36" s="63"/>
      <c r="E36" s="581"/>
      <c r="F36" s="568"/>
      <c r="G36" s="303"/>
      <c r="H36" s="562"/>
      <c r="I36" s="563"/>
      <c r="J36" s="580"/>
      <c r="K36" s="24" t="s">
        <v>2106</v>
      </c>
      <c r="L36" s="567"/>
      <c r="M36" s="303"/>
      <c r="N36" s="304"/>
    </row>
    <row r="37" spans="1:14" ht="37.5" customHeight="1">
      <c r="A37" s="530">
        <v>33</v>
      </c>
      <c r="B37" s="241" t="str">
        <f t="shared" ca="1" si="0"/>
        <v/>
      </c>
      <c r="C37" s="569"/>
      <c r="D37" s="63"/>
      <c r="E37" s="455"/>
      <c r="F37" s="568"/>
      <c r="G37" s="303"/>
      <c r="H37" s="562"/>
      <c r="I37" s="563"/>
      <c r="J37" s="582"/>
      <c r="K37" s="24" t="s">
        <v>2106</v>
      </c>
      <c r="L37" s="567"/>
      <c r="M37" s="303"/>
      <c r="N37" s="304"/>
    </row>
    <row r="38" spans="1:14" ht="37.5" customHeight="1">
      <c r="A38" s="540">
        <v>34</v>
      </c>
      <c r="B38" s="241" t="str">
        <f t="shared" ca="1" si="0"/>
        <v/>
      </c>
      <c r="C38" s="550"/>
      <c r="D38" s="63"/>
      <c r="E38" s="581"/>
      <c r="F38" s="568"/>
      <c r="G38" s="303"/>
      <c r="H38" s="562"/>
      <c r="I38" s="563"/>
      <c r="J38" s="580"/>
      <c r="K38" s="24" t="s">
        <v>2106</v>
      </c>
      <c r="L38" s="567"/>
      <c r="M38" s="303"/>
      <c r="N38" s="304"/>
    </row>
    <row r="39" spans="1:14" ht="37.5" customHeight="1">
      <c r="A39" s="530">
        <v>35</v>
      </c>
      <c r="B39" s="241" t="str">
        <f t="shared" ca="1" si="0"/>
        <v/>
      </c>
      <c r="C39" s="550"/>
      <c r="D39" s="63"/>
      <c r="E39" s="581"/>
      <c r="F39" s="568"/>
      <c r="G39" s="303"/>
      <c r="H39" s="562"/>
      <c r="I39" s="563"/>
      <c r="J39" s="580"/>
      <c r="K39" s="24" t="s">
        <v>2106</v>
      </c>
      <c r="L39" s="567"/>
      <c r="M39" s="303"/>
      <c r="N39" s="304"/>
    </row>
    <row r="40" spans="1:14" ht="37.5" customHeight="1">
      <c r="A40" s="540">
        <v>36</v>
      </c>
      <c r="B40" s="241" t="str">
        <f t="shared" ca="1" si="0"/>
        <v/>
      </c>
      <c r="C40" s="569"/>
      <c r="D40" s="63"/>
      <c r="E40" s="455"/>
      <c r="F40" s="568"/>
      <c r="G40" s="303"/>
      <c r="H40" s="562"/>
      <c r="I40" s="563"/>
      <c r="J40" s="580"/>
      <c r="K40" s="24" t="s">
        <v>2106</v>
      </c>
      <c r="L40" s="567"/>
      <c r="M40" s="303"/>
      <c r="N40" s="304"/>
    </row>
    <row r="41" spans="1:14" ht="37.5" customHeight="1">
      <c r="A41" s="530">
        <v>37</v>
      </c>
      <c r="B41" s="241" t="str">
        <f t="shared" ca="1" si="0"/>
        <v/>
      </c>
      <c r="C41" s="569"/>
      <c r="D41" s="63"/>
      <c r="E41" s="455"/>
      <c r="F41" s="568"/>
      <c r="G41" s="303"/>
      <c r="H41" s="562"/>
      <c r="I41" s="563"/>
      <c r="J41" s="580"/>
      <c r="K41" s="24" t="s">
        <v>2106</v>
      </c>
      <c r="L41" s="567"/>
      <c r="M41" s="303"/>
      <c r="N41" s="304"/>
    </row>
    <row r="42" spans="1:14" ht="37.5" customHeight="1">
      <c r="A42" s="540">
        <v>38</v>
      </c>
      <c r="B42" s="241" t="str">
        <f t="shared" ca="1" si="0"/>
        <v/>
      </c>
      <c r="C42" s="569"/>
      <c r="D42" s="63"/>
      <c r="E42" s="455"/>
      <c r="F42" s="304"/>
      <c r="G42" s="303"/>
      <c r="H42" s="562"/>
      <c r="I42" s="563"/>
      <c r="J42" s="580"/>
      <c r="K42" s="24" t="s">
        <v>2106</v>
      </c>
      <c r="L42" s="567"/>
      <c r="M42" s="303"/>
      <c r="N42" s="304"/>
    </row>
    <row r="43" spans="1:14" ht="37.5" customHeight="1">
      <c r="A43" s="530">
        <v>39</v>
      </c>
      <c r="B43" s="241" t="str">
        <f t="shared" ca="1" si="0"/>
        <v/>
      </c>
      <c r="C43" s="569"/>
      <c r="D43" s="63"/>
      <c r="E43" s="455"/>
      <c r="F43" s="304"/>
      <c r="G43" s="303"/>
      <c r="H43" s="562"/>
      <c r="I43" s="563"/>
      <c r="J43" s="583"/>
      <c r="K43" s="24" t="s">
        <v>2106</v>
      </c>
      <c r="L43" s="567"/>
      <c r="M43" s="303"/>
      <c r="N43" s="304"/>
    </row>
    <row r="44" spans="1:14" ht="37.5" customHeight="1">
      <c r="A44" s="540">
        <v>40</v>
      </c>
      <c r="B44" s="241" t="str">
        <f t="shared" ca="1" si="0"/>
        <v/>
      </c>
      <c r="C44" s="569"/>
      <c r="D44" s="63"/>
      <c r="E44" s="455"/>
      <c r="F44" s="304"/>
      <c r="G44" s="303"/>
      <c r="H44" s="562"/>
      <c r="I44" s="563"/>
      <c r="J44" s="584"/>
      <c r="K44" s="24" t="s">
        <v>2106</v>
      </c>
      <c r="L44" s="303"/>
      <c r="M44" s="303"/>
      <c r="N44" s="304"/>
    </row>
    <row r="45" spans="1:14" ht="15.75" customHeight="1">
      <c r="A45" s="530">
        <v>41</v>
      </c>
      <c r="B45" s="241" t="str">
        <f t="shared" ca="1" si="0"/>
        <v/>
      </c>
      <c r="C45" s="579"/>
      <c r="D45" s="63"/>
      <c r="E45" s="455"/>
      <c r="F45" s="304"/>
      <c r="G45" s="303"/>
      <c r="H45" s="562"/>
      <c r="I45" s="563"/>
      <c r="J45" s="580"/>
      <c r="K45" s="24" t="s">
        <v>2106</v>
      </c>
      <c r="L45" s="303"/>
      <c r="M45" s="303"/>
      <c r="N45" s="304"/>
    </row>
    <row r="46" spans="1:14" ht="15.75" customHeight="1">
      <c r="A46" s="540">
        <v>42</v>
      </c>
      <c r="B46" s="241" t="str">
        <f t="shared" ca="1" si="0"/>
        <v/>
      </c>
      <c r="C46" s="579"/>
      <c r="D46" s="63"/>
      <c r="E46" s="455"/>
      <c r="F46" s="304"/>
      <c r="G46" s="303"/>
      <c r="H46" s="562"/>
      <c r="I46" s="563"/>
      <c r="J46" s="580"/>
      <c r="K46" s="24" t="s">
        <v>2106</v>
      </c>
      <c r="L46" s="303"/>
      <c r="M46" s="303"/>
      <c r="N46" s="182"/>
    </row>
    <row r="47" spans="1:14" ht="15.75" customHeight="1">
      <c r="A47" s="530">
        <v>43</v>
      </c>
      <c r="B47" s="241" t="str">
        <f t="shared" ca="1" si="0"/>
        <v/>
      </c>
      <c r="C47" s="569"/>
      <c r="D47" s="63"/>
      <c r="E47" s="578"/>
      <c r="F47" s="304"/>
      <c r="G47" s="303"/>
      <c r="H47" s="562"/>
      <c r="I47" s="563"/>
      <c r="J47" s="580"/>
      <c r="K47" s="24" t="s">
        <v>2106</v>
      </c>
      <c r="L47" s="585"/>
      <c r="M47" s="585"/>
      <c r="N47" s="586"/>
    </row>
    <row r="48" spans="1:14" ht="15.75" customHeight="1">
      <c r="A48" s="540">
        <v>44</v>
      </c>
      <c r="B48" s="241" t="str">
        <f t="shared" ca="1" si="0"/>
        <v/>
      </c>
      <c r="C48" s="569"/>
      <c r="D48" s="63"/>
      <c r="E48" s="578"/>
      <c r="F48" s="304"/>
      <c r="G48" s="303"/>
      <c r="H48" s="562"/>
      <c r="I48" s="563"/>
      <c r="J48" s="580"/>
      <c r="K48" s="24" t="s">
        <v>2106</v>
      </c>
      <c r="L48" s="585"/>
      <c r="M48" s="585"/>
      <c r="N48" s="586"/>
    </row>
    <row r="49" spans="1:14" ht="15.75" customHeight="1">
      <c r="A49" s="530">
        <v>45</v>
      </c>
      <c r="B49" s="241" t="str">
        <f t="shared" ca="1" si="0"/>
        <v/>
      </c>
      <c r="C49" s="569"/>
      <c r="D49" s="63"/>
      <c r="E49" s="578"/>
      <c r="F49" s="304"/>
      <c r="G49" s="303"/>
      <c r="H49" s="562"/>
      <c r="I49" s="563"/>
      <c r="J49" s="580"/>
      <c r="K49" s="24" t="s">
        <v>2106</v>
      </c>
      <c r="L49" s="585"/>
      <c r="M49" s="585"/>
      <c r="N49" s="586"/>
    </row>
    <row r="50" spans="1:14" ht="15.75" customHeight="1">
      <c r="A50" s="540">
        <v>46</v>
      </c>
      <c r="B50" s="241" t="str">
        <f t="shared" ca="1" si="0"/>
        <v/>
      </c>
      <c r="C50" s="569"/>
      <c r="D50" s="63"/>
      <c r="E50" s="578"/>
      <c r="F50" s="304"/>
      <c r="G50" s="303"/>
      <c r="H50" s="562"/>
      <c r="I50" s="563"/>
      <c r="J50" s="584"/>
      <c r="K50" s="24" t="s">
        <v>2106</v>
      </c>
      <c r="L50" s="585"/>
      <c r="M50" s="585"/>
      <c r="N50" s="586"/>
    </row>
    <row r="51" spans="1:14" ht="15.75" customHeight="1">
      <c r="A51" s="530">
        <v>47</v>
      </c>
      <c r="B51" s="241" t="str">
        <f t="shared" ca="1" si="0"/>
        <v/>
      </c>
      <c r="C51" s="569"/>
      <c r="D51" s="63"/>
      <c r="E51" s="455"/>
      <c r="F51" s="304"/>
      <c r="G51" s="303"/>
      <c r="H51" s="562"/>
      <c r="I51" s="563"/>
      <c r="J51" s="580"/>
      <c r="K51" s="24" t="s">
        <v>2106</v>
      </c>
      <c r="L51" s="585"/>
      <c r="M51" s="585"/>
      <c r="N51" s="586"/>
    </row>
    <row r="52" spans="1:14" ht="15.75" customHeight="1">
      <c r="A52" s="540">
        <v>48</v>
      </c>
      <c r="B52" s="241" t="str">
        <f t="shared" ca="1" si="0"/>
        <v/>
      </c>
      <c r="C52" s="579"/>
      <c r="D52" s="63"/>
      <c r="E52" s="587"/>
      <c r="F52" s="304"/>
      <c r="G52" s="588"/>
      <c r="H52" s="562"/>
      <c r="I52" s="589"/>
      <c r="J52" s="580"/>
      <c r="K52" s="24" t="s">
        <v>2106</v>
      </c>
      <c r="L52" s="585"/>
      <c r="M52" s="585"/>
      <c r="N52" s="586"/>
    </row>
    <row r="53" spans="1:14" ht="15.75" customHeight="1">
      <c r="A53" s="530">
        <v>49</v>
      </c>
      <c r="B53" s="241" t="str">
        <f t="shared" ca="1" si="0"/>
        <v/>
      </c>
      <c r="C53" s="579"/>
      <c r="D53" s="63"/>
      <c r="E53" s="587"/>
      <c r="F53" s="304"/>
      <c r="G53" s="588"/>
      <c r="H53" s="562"/>
      <c r="I53" s="589"/>
      <c r="J53" s="580"/>
      <c r="K53" s="24" t="s">
        <v>2106</v>
      </c>
      <c r="L53" s="585"/>
      <c r="M53" s="585"/>
      <c r="N53" s="586"/>
    </row>
    <row r="54" spans="1:14" ht="15.75" customHeight="1">
      <c r="A54" s="540">
        <v>50</v>
      </c>
      <c r="B54" s="241" t="str">
        <f t="shared" ca="1" si="0"/>
        <v/>
      </c>
      <c r="C54" s="579"/>
      <c r="D54" s="63"/>
      <c r="E54" s="587"/>
      <c r="F54" s="304"/>
      <c r="G54" s="588"/>
      <c r="H54" s="562"/>
      <c r="I54" s="589"/>
      <c r="J54" s="580"/>
      <c r="K54" s="24" t="s">
        <v>2106</v>
      </c>
      <c r="L54" s="585"/>
      <c r="M54" s="585"/>
      <c r="N54" s="586"/>
    </row>
    <row r="55" spans="1:14" ht="15.75" customHeight="1">
      <c r="A55" s="530">
        <v>51</v>
      </c>
      <c r="B55" s="241" t="str">
        <f t="shared" ca="1" si="0"/>
        <v/>
      </c>
      <c r="C55" s="579"/>
      <c r="D55" s="63"/>
      <c r="E55" s="587"/>
      <c r="F55" s="304"/>
      <c r="G55" s="588"/>
      <c r="H55" s="562"/>
      <c r="I55" s="589"/>
      <c r="J55" s="580"/>
      <c r="K55" s="24" t="s">
        <v>2106</v>
      </c>
      <c r="L55" s="585"/>
      <c r="M55" s="585"/>
      <c r="N55" s="586"/>
    </row>
    <row r="56" spans="1:14" ht="15.75" customHeight="1">
      <c r="A56" s="540">
        <v>52</v>
      </c>
      <c r="B56" s="241" t="str">
        <f t="shared" ca="1" si="0"/>
        <v/>
      </c>
      <c r="C56" s="579"/>
      <c r="D56" s="63"/>
      <c r="E56" s="587"/>
      <c r="F56" s="304"/>
      <c r="G56" s="588"/>
      <c r="H56" s="562"/>
      <c r="I56" s="589"/>
      <c r="J56" s="580"/>
      <c r="K56" s="24" t="s">
        <v>2106</v>
      </c>
      <c r="L56" s="585"/>
      <c r="M56" s="585"/>
      <c r="N56" s="586"/>
    </row>
    <row r="57" spans="1:14" ht="15.75" customHeight="1">
      <c r="A57" s="530">
        <v>53</v>
      </c>
      <c r="B57" s="241" t="str">
        <f t="shared" ca="1" si="0"/>
        <v/>
      </c>
      <c r="C57" s="579"/>
      <c r="D57" s="63"/>
      <c r="E57" s="587"/>
      <c r="F57" s="304"/>
      <c r="G57" s="588"/>
      <c r="H57" s="562"/>
      <c r="I57" s="589"/>
      <c r="J57" s="580"/>
      <c r="K57" s="24" t="s">
        <v>2106</v>
      </c>
      <c r="L57" s="585"/>
      <c r="M57" s="585"/>
      <c r="N57" s="586"/>
    </row>
    <row r="58" spans="1:14" ht="15.75" customHeight="1">
      <c r="A58" s="540">
        <v>54</v>
      </c>
      <c r="B58" s="241" t="str">
        <f t="shared" ca="1" si="0"/>
        <v/>
      </c>
      <c r="C58" s="579"/>
      <c r="D58" s="63"/>
      <c r="E58" s="587"/>
      <c r="F58" s="304"/>
      <c r="G58" s="588"/>
      <c r="H58" s="562"/>
      <c r="I58" s="589"/>
      <c r="J58" s="580"/>
      <c r="K58" s="24" t="s">
        <v>2106</v>
      </c>
      <c r="L58" s="585"/>
      <c r="M58" s="585"/>
      <c r="N58" s="586"/>
    </row>
    <row r="59" spans="1:14" ht="15.75" customHeight="1">
      <c r="A59" s="530">
        <v>55</v>
      </c>
      <c r="B59" s="241" t="str">
        <f t="shared" ca="1" si="0"/>
        <v/>
      </c>
      <c r="C59" s="579"/>
      <c r="D59" s="63"/>
      <c r="E59" s="587"/>
      <c r="F59" s="304"/>
      <c r="G59" s="588"/>
      <c r="H59" s="562"/>
      <c r="I59" s="589"/>
      <c r="J59" s="580"/>
      <c r="K59" s="24" t="s">
        <v>2106</v>
      </c>
      <c r="L59" s="585"/>
      <c r="M59" s="585"/>
      <c r="N59" s="586"/>
    </row>
    <row r="60" spans="1:14" ht="15.75" customHeight="1">
      <c r="A60" s="540">
        <v>56</v>
      </c>
      <c r="B60" s="241" t="str">
        <f t="shared" ca="1" si="0"/>
        <v/>
      </c>
      <c r="C60" s="579"/>
      <c r="D60" s="63"/>
      <c r="E60" s="587"/>
      <c r="F60" s="304"/>
      <c r="G60" s="588"/>
      <c r="H60" s="562"/>
      <c r="I60" s="589"/>
      <c r="J60" s="580"/>
      <c r="K60" s="24" t="s">
        <v>2106</v>
      </c>
      <c r="L60" s="585"/>
      <c r="M60" s="585"/>
      <c r="N60" s="586"/>
    </row>
    <row r="61" spans="1:14" ht="15.75" customHeight="1">
      <c r="A61" s="530">
        <v>57</v>
      </c>
      <c r="B61" s="241" t="str">
        <f t="shared" ca="1" si="0"/>
        <v/>
      </c>
      <c r="C61" s="590"/>
      <c r="D61" s="63"/>
      <c r="E61" s="591"/>
      <c r="F61" s="592"/>
      <c r="G61" s="593"/>
      <c r="H61" s="594"/>
      <c r="I61" s="595"/>
      <c r="J61" s="596"/>
      <c r="K61" s="24" t="s">
        <v>2106</v>
      </c>
      <c r="L61" s="597"/>
      <c r="M61" s="598"/>
      <c r="N61" s="599"/>
    </row>
    <row r="62" spans="1:14" ht="15.75" customHeight="1">
      <c r="D62" s="272"/>
      <c r="E62" s="272"/>
      <c r="F62" s="274"/>
      <c r="G62" s="519"/>
      <c r="H62" s="519"/>
      <c r="I62" s="520"/>
      <c r="J62" s="521"/>
      <c r="L62" s="522"/>
      <c r="M62" s="522"/>
    </row>
    <row r="63" spans="1:14" ht="15.75" customHeight="1">
      <c r="D63" s="272"/>
      <c r="E63" s="272"/>
      <c r="F63" s="274"/>
      <c r="G63" s="519"/>
      <c r="H63" s="519"/>
      <c r="I63" s="520"/>
      <c r="J63" s="521"/>
      <c r="L63" s="522"/>
      <c r="M63" s="522"/>
    </row>
    <row r="64" spans="1:14" ht="15.75" customHeight="1">
      <c r="D64" s="272"/>
      <c r="E64" s="272"/>
      <c r="F64" s="274"/>
      <c r="G64" s="519"/>
      <c r="H64" s="519"/>
      <c r="I64" s="520"/>
      <c r="J64" s="521"/>
      <c r="L64" s="522"/>
      <c r="M64" s="522"/>
    </row>
    <row r="65" spans="4:13" ht="15.75" customHeight="1">
      <c r="D65" s="272"/>
      <c r="E65" s="272"/>
      <c r="F65" s="274"/>
      <c r="G65" s="519"/>
      <c r="H65" s="519"/>
      <c r="I65" s="520"/>
      <c r="J65" s="521"/>
      <c r="L65" s="522"/>
      <c r="M65" s="522"/>
    </row>
    <row r="66" spans="4:13" ht="15.75" customHeight="1">
      <c r="D66" s="272"/>
      <c r="E66" s="272"/>
      <c r="F66" s="274"/>
      <c r="G66" s="519"/>
      <c r="H66" s="519"/>
      <c r="I66" s="520"/>
      <c r="J66" s="521"/>
      <c r="L66" s="522"/>
      <c r="M66" s="522"/>
    </row>
    <row r="67" spans="4:13" ht="15.75" customHeight="1">
      <c r="D67" s="272"/>
      <c r="E67" s="272"/>
      <c r="F67" s="274"/>
      <c r="G67" s="519"/>
      <c r="H67" s="519"/>
      <c r="I67" s="520"/>
      <c r="J67" s="521"/>
      <c r="L67" s="522"/>
      <c r="M67" s="522"/>
    </row>
    <row r="68" spans="4:13" ht="15.75" customHeight="1">
      <c r="D68" s="272"/>
      <c r="E68" s="272"/>
      <c r="F68" s="274"/>
      <c r="G68" s="519"/>
      <c r="H68" s="519"/>
      <c r="I68" s="520"/>
      <c r="J68" s="521"/>
      <c r="L68" s="522"/>
      <c r="M68" s="522"/>
    </row>
    <row r="69" spans="4:13" ht="15.75" customHeight="1">
      <c r="D69" s="272"/>
      <c r="E69" s="272"/>
      <c r="F69" s="274"/>
      <c r="G69" s="519"/>
      <c r="H69" s="519"/>
      <c r="I69" s="520"/>
      <c r="J69" s="521"/>
      <c r="L69" s="522"/>
      <c r="M69" s="522"/>
    </row>
    <row r="70" spans="4:13" ht="15.75" customHeight="1">
      <c r="D70" s="272"/>
      <c r="E70" s="272"/>
      <c r="F70" s="274"/>
      <c r="G70" s="519"/>
      <c r="H70" s="519"/>
      <c r="I70" s="520"/>
      <c r="J70" s="521"/>
      <c r="L70" s="522"/>
      <c r="M70" s="522"/>
    </row>
    <row r="71" spans="4:13" ht="15.75" customHeight="1">
      <c r="D71" s="272"/>
      <c r="E71" s="272"/>
      <c r="F71" s="274"/>
      <c r="G71" s="519"/>
      <c r="H71" s="519"/>
      <c r="I71" s="520"/>
      <c r="J71" s="521"/>
      <c r="L71" s="522"/>
      <c r="M71" s="522"/>
    </row>
    <row r="72" spans="4:13" ht="15.75" customHeight="1">
      <c r="D72" s="272"/>
      <c r="E72" s="272"/>
      <c r="F72" s="274"/>
      <c r="G72" s="519"/>
      <c r="H72" s="519"/>
      <c r="I72" s="520"/>
      <c r="J72" s="521"/>
      <c r="L72" s="522"/>
      <c r="M72" s="522"/>
    </row>
    <row r="73" spans="4:13" ht="15.75" customHeight="1">
      <c r="D73" s="272"/>
      <c r="E73" s="272"/>
      <c r="F73" s="274"/>
      <c r="G73" s="519"/>
      <c r="H73" s="519"/>
      <c r="I73" s="520"/>
      <c r="J73" s="521"/>
      <c r="L73" s="522"/>
      <c r="M73" s="522"/>
    </row>
    <row r="74" spans="4:13" ht="15.75" customHeight="1">
      <c r="D74" s="272"/>
      <c r="E74" s="272"/>
      <c r="F74" s="274"/>
      <c r="G74" s="519"/>
      <c r="H74" s="519"/>
      <c r="I74" s="520"/>
      <c r="J74" s="521"/>
      <c r="L74" s="522"/>
      <c r="M74" s="522"/>
    </row>
    <row r="75" spans="4:13" ht="15.75" customHeight="1">
      <c r="D75" s="272"/>
      <c r="E75" s="272"/>
      <c r="F75" s="274"/>
      <c r="G75" s="519"/>
      <c r="H75" s="519"/>
      <c r="I75" s="520"/>
      <c r="J75" s="521"/>
      <c r="L75" s="522"/>
      <c r="M75" s="522"/>
    </row>
    <row r="76" spans="4:13" ht="15.75" customHeight="1">
      <c r="D76" s="272"/>
      <c r="E76" s="272"/>
      <c r="F76" s="274"/>
      <c r="G76" s="519"/>
      <c r="H76" s="519"/>
      <c r="I76" s="520"/>
      <c r="J76" s="521"/>
      <c r="L76" s="522"/>
      <c r="M76" s="522"/>
    </row>
    <row r="77" spans="4:13" ht="15.75" customHeight="1">
      <c r="D77" s="272"/>
      <c r="E77" s="272"/>
      <c r="F77" s="274"/>
      <c r="G77" s="519"/>
      <c r="H77" s="519"/>
      <c r="I77" s="520"/>
      <c r="J77" s="521"/>
      <c r="L77" s="522"/>
      <c r="M77" s="522"/>
    </row>
    <row r="78" spans="4:13" ht="15.75" customHeight="1">
      <c r="D78" s="272"/>
      <c r="E78" s="272"/>
      <c r="F78" s="274"/>
      <c r="G78" s="519"/>
      <c r="H78" s="519"/>
      <c r="I78" s="520"/>
      <c r="J78" s="521"/>
      <c r="L78" s="522"/>
      <c r="M78" s="522"/>
    </row>
    <row r="79" spans="4:13" ht="15.75" customHeight="1">
      <c r="D79" s="272"/>
      <c r="E79" s="272"/>
      <c r="F79" s="274"/>
      <c r="G79" s="519"/>
      <c r="H79" s="519"/>
      <c r="I79" s="520"/>
      <c r="J79" s="521"/>
      <c r="L79" s="522"/>
      <c r="M79" s="522"/>
    </row>
    <row r="80" spans="4:13" ht="15.75" customHeight="1">
      <c r="D80" s="272"/>
      <c r="E80" s="272"/>
      <c r="F80" s="274"/>
      <c r="G80" s="519"/>
      <c r="H80" s="519"/>
      <c r="I80" s="520"/>
      <c r="J80" s="521"/>
      <c r="L80" s="522"/>
      <c r="M80" s="522"/>
    </row>
    <row r="81" spans="4:13" ht="15.75" customHeight="1">
      <c r="D81" s="272"/>
      <c r="E81" s="272"/>
      <c r="F81" s="274"/>
      <c r="G81" s="519"/>
      <c r="H81" s="519"/>
      <c r="I81" s="520"/>
      <c r="J81" s="521"/>
      <c r="L81" s="522"/>
      <c r="M81" s="522"/>
    </row>
    <row r="82" spans="4:13" ht="15.75" customHeight="1">
      <c r="D82" s="272"/>
      <c r="E82" s="272"/>
      <c r="F82" s="274"/>
      <c r="G82" s="519"/>
      <c r="H82" s="519"/>
      <c r="I82" s="520"/>
      <c r="J82" s="521"/>
      <c r="L82" s="522"/>
      <c r="M82" s="522"/>
    </row>
    <row r="83" spans="4:13" ht="15.75" customHeight="1">
      <c r="D83" s="272"/>
      <c r="E83" s="272"/>
      <c r="F83" s="274"/>
      <c r="G83" s="519"/>
      <c r="H83" s="519"/>
      <c r="I83" s="520"/>
      <c r="J83" s="521"/>
      <c r="L83" s="522"/>
      <c r="M83" s="522"/>
    </row>
    <row r="84" spans="4:13" ht="15.75" customHeight="1">
      <c r="D84" s="272"/>
      <c r="E84" s="272"/>
      <c r="F84" s="274"/>
      <c r="G84" s="519"/>
      <c r="H84" s="519"/>
      <c r="I84" s="520"/>
      <c r="J84" s="521"/>
      <c r="L84" s="522"/>
      <c r="M84" s="522"/>
    </row>
    <row r="85" spans="4:13" ht="15.75" customHeight="1">
      <c r="D85" s="272"/>
      <c r="E85" s="272"/>
      <c r="F85" s="274"/>
      <c r="G85" s="519"/>
      <c r="H85" s="519"/>
      <c r="I85" s="520"/>
      <c r="J85" s="521"/>
      <c r="L85" s="522"/>
      <c r="M85" s="522"/>
    </row>
    <row r="86" spans="4:13" ht="15.75" customHeight="1">
      <c r="D86" s="272"/>
      <c r="E86" s="272"/>
      <c r="F86" s="274"/>
      <c r="G86" s="519"/>
      <c r="H86" s="519"/>
      <c r="I86" s="520"/>
      <c r="J86" s="521"/>
      <c r="L86" s="522"/>
      <c r="M86" s="522"/>
    </row>
    <row r="87" spans="4:13" ht="15.75" customHeight="1">
      <c r="D87" s="272"/>
      <c r="E87" s="272"/>
      <c r="F87" s="274"/>
      <c r="G87" s="519"/>
      <c r="H87" s="519"/>
      <c r="I87" s="520"/>
      <c r="J87" s="521"/>
      <c r="L87" s="522"/>
      <c r="M87" s="522"/>
    </row>
    <row r="88" spans="4:13" ht="15.75" customHeight="1">
      <c r="D88" s="272"/>
      <c r="E88" s="272"/>
      <c r="F88" s="274"/>
      <c r="G88" s="519"/>
      <c r="H88" s="519"/>
      <c r="I88" s="520"/>
      <c r="J88" s="521"/>
      <c r="L88" s="522"/>
      <c r="M88" s="522"/>
    </row>
    <row r="89" spans="4:13" ht="15.75" customHeight="1">
      <c r="D89" s="272"/>
      <c r="E89" s="272"/>
      <c r="F89" s="274"/>
      <c r="G89" s="519"/>
      <c r="H89" s="519"/>
      <c r="I89" s="520"/>
      <c r="J89" s="521"/>
      <c r="L89" s="522"/>
      <c r="M89" s="522"/>
    </row>
    <row r="90" spans="4:13" ht="15.75" customHeight="1">
      <c r="D90" s="272"/>
      <c r="E90" s="272"/>
      <c r="F90" s="274"/>
      <c r="G90" s="519"/>
      <c r="H90" s="519"/>
      <c r="I90" s="520"/>
      <c r="J90" s="521"/>
      <c r="L90" s="522"/>
      <c r="M90" s="522"/>
    </row>
    <row r="91" spans="4:13" ht="15.75" customHeight="1">
      <c r="D91" s="272"/>
      <c r="E91" s="272"/>
      <c r="F91" s="274"/>
      <c r="G91" s="519"/>
      <c r="H91" s="519"/>
      <c r="I91" s="520"/>
      <c r="J91" s="521"/>
      <c r="L91" s="522"/>
      <c r="M91" s="522"/>
    </row>
    <row r="92" spans="4:13" ht="15.75" customHeight="1">
      <c r="D92" s="272"/>
      <c r="E92" s="272"/>
      <c r="F92" s="274"/>
      <c r="G92" s="519"/>
      <c r="H92" s="519"/>
      <c r="I92" s="520"/>
      <c r="J92" s="521"/>
      <c r="L92" s="522"/>
      <c r="M92" s="522"/>
    </row>
    <row r="93" spans="4:13" ht="15.75" customHeight="1">
      <c r="D93" s="272"/>
      <c r="E93" s="272"/>
      <c r="F93" s="274"/>
      <c r="G93" s="519"/>
      <c r="H93" s="519"/>
      <c r="I93" s="520"/>
      <c r="J93" s="521"/>
      <c r="L93" s="522"/>
      <c r="M93" s="522"/>
    </row>
    <row r="94" spans="4:13" ht="15.75" customHeight="1">
      <c r="D94" s="272"/>
      <c r="E94" s="272"/>
      <c r="F94" s="274"/>
      <c r="G94" s="519"/>
      <c r="H94" s="519"/>
      <c r="I94" s="520"/>
      <c r="J94" s="521"/>
      <c r="L94" s="522"/>
      <c r="M94" s="522"/>
    </row>
    <row r="95" spans="4:13" ht="15.75" customHeight="1">
      <c r="D95" s="272"/>
      <c r="E95" s="272"/>
      <c r="F95" s="274"/>
      <c r="G95" s="519"/>
      <c r="H95" s="519"/>
      <c r="I95" s="520"/>
      <c r="J95" s="521"/>
      <c r="L95" s="522"/>
      <c r="M95" s="522"/>
    </row>
    <row r="96" spans="4:13" ht="15.75" customHeight="1">
      <c r="D96" s="272"/>
      <c r="E96" s="272"/>
      <c r="F96" s="274"/>
      <c r="G96" s="519"/>
      <c r="H96" s="519"/>
      <c r="I96" s="520"/>
      <c r="J96" s="521"/>
      <c r="L96" s="522"/>
      <c r="M96" s="522"/>
    </row>
    <row r="97" spans="4:13" ht="15.75" customHeight="1">
      <c r="D97" s="272"/>
      <c r="E97" s="272"/>
      <c r="F97" s="274"/>
      <c r="G97" s="519"/>
      <c r="H97" s="519"/>
      <c r="I97" s="520"/>
      <c r="J97" s="521"/>
      <c r="L97" s="522"/>
      <c r="M97" s="522"/>
    </row>
    <row r="98" spans="4:13" ht="15.75" customHeight="1">
      <c r="D98" s="272"/>
      <c r="E98" s="272"/>
      <c r="F98" s="274"/>
      <c r="G98" s="519"/>
      <c r="H98" s="519"/>
      <c r="I98" s="520"/>
      <c r="J98" s="521"/>
      <c r="L98" s="522"/>
      <c r="M98" s="522"/>
    </row>
    <row r="99" spans="4:13" ht="15.75" customHeight="1">
      <c r="D99" s="272"/>
      <c r="E99" s="272"/>
      <c r="F99" s="274"/>
      <c r="G99" s="519"/>
      <c r="H99" s="519"/>
      <c r="I99" s="520"/>
      <c r="J99" s="521"/>
      <c r="L99" s="522"/>
      <c r="M99" s="522"/>
    </row>
    <row r="100" spans="4:13" ht="15.75" customHeight="1">
      <c r="D100" s="272"/>
      <c r="E100" s="272"/>
      <c r="F100" s="274"/>
      <c r="G100" s="519"/>
      <c r="H100" s="519"/>
      <c r="I100" s="520"/>
      <c r="J100" s="521"/>
      <c r="L100" s="522"/>
      <c r="M100" s="522"/>
    </row>
    <row r="101" spans="4:13" ht="15.75" customHeight="1">
      <c r="D101" s="272"/>
      <c r="E101" s="272"/>
      <c r="F101" s="274"/>
      <c r="G101" s="519"/>
      <c r="H101" s="519"/>
      <c r="I101" s="520"/>
      <c r="J101" s="521"/>
      <c r="L101" s="522"/>
      <c r="M101" s="522"/>
    </row>
    <row r="102" spans="4:13" ht="15.75" customHeight="1">
      <c r="D102" s="272"/>
      <c r="E102" s="272"/>
      <c r="F102" s="274"/>
      <c r="G102" s="519"/>
      <c r="H102" s="519"/>
      <c r="I102" s="520"/>
      <c r="J102" s="521"/>
      <c r="L102" s="522"/>
      <c r="M102" s="522"/>
    </row>
    <row r="103" spans="4:13" ht="15.75" customHeight="1">
      <c r="D103" s="272"/>
      <c r="E103" s="272"/>
      <c r="F103" s="274"/>
      <c r="G103" s="519"/>
      <c r="H103" s="519"/>
      <c r="I103" s="520"/>
      <c r="J103" s="521"/>
      <c r="L103" s="522"/>
      <c r="M103" s="522"/>
    </row>
    <row r="104" spans="4:13" ht="15.75" customHeight="1">
      <c r="D104" s="272"/>
      <c r="E104" s="272"/>
      <c r="F104" s="274"/>
      <c r="G104" s="519"/>
      <c r="H104" s="519"/>
      <c r="I104" s="520"/>
      <c r="J104" s="521"/>
      <c r="L104" s="522"/>
      <c r="M104" s="522"/>
    </row>
    <row r="105" spans="4:13" ht="15.75" customHeight="1">
      <c r="D105" s="272"/>
      <c r="E105" s="272"/>
      <c r="F105" s="274"/>
      <c r="G105" s="519"/>
      <c r="H105" s="519"/>
      <c r="I105" s="520"/>
      <c r="J105" s="521"/>
      <c r="L105" s="522"/>
      <c r="M105" s="522"/>
    </row>
    <row r="106" spans="4:13" ht="15.75" customHeight="1">
      <c r="D106" s="272"/>
      <c r="E106" s="272"/>
      <c r="F106" s="274"/>
      <c r="G106" s="519"/>
      <c r="H106" s="519"/>
      <c r="I106" s="520"/>
      <c r="J106" s="521"/>
      <c r="L106" s="522"/>
      <c r="M106" s="522"/>
    </row>
    <row r="107" spans="4:13" ht="15.75" customHeight="1">
      <c r="D107" s="272"/>
      <c r="E107" s="272"/>
      <c r="F107" s="274"/>
      <c r="G107" s="519"/>
      <c r="H107" s="519"/>
      <c r="I107" s="520"/>
      <c r="J107" s="521"/>
      <c r="L107" s="522"/>
      <c r="M107" s="522"/>
    </row>
    <row r="108" spans="4:13" ht="15.75" customHeight="1">
      <c r="D108" s="272"/>
      <c r="E108" s="272"/>
      <c r="F108" s="274"/>
      <c r="G108" s="519"/>
      <c r="H108" s="519"/>
      <c r="I108" s="520"/>
      <c r="J108" s="521"/>
      <c r="L108" s="522"/>
      <c r="M108" s="522"/>
    </row>
    <row r="109" spans="4:13" ht="15.75" customHeight="1">
      <c r="D109" s="272"/>
      <c r="E109" s="272"/>
      <c r="F109" s="274"/>
      <c r="G109" s="519"/>
      <c r="H109" s="519"/>
      <c r="I109" s="520"/>
      <c r="J109" s="521"/>
      <c r="L109" s="522"/>
      <c r="M109" s="522"/>
    </row>
    <row r="110" spans="4:13" ht="15.75" customHeight="1">
      <c r="D110" s="272"/>
      <c r="E110" s="272"/>
      <c r="F110" s="274"/>
      <c r="G110" s="519"/>
      <c r="H110" s="519"/>
      <c r="I110" s="520"/>
      <c r="J110" s="521"/>
      <c r="L110" s="522"/>
      <c r="M110" s="522"/>
    </row>
    <row r="111" spans="4:13" ht="15.75" customHeight="1">
      <c r="D111" s="272"/>
      <c r="E111" s="272"/>
      <c r="F111" s="274"/>
      <c r="G111" s="519"/>
      <c r="H111" s="519"/>
      <c r="I111" s="520"/>
      <c r="J111" s="521"/>
      <c r="L111" s="522"/>
      <c r="M111" s="522"/>
    </row>
    <row r="112" spans="4:13" ht="15.75" customHeight="1">
      <c r="D112" s="272"/>
      <c r="E112" s="272"/>
      <c r="F112" s="274"/>
      <c r="G112" s="519"/>
      <c r="H112" s="519"/>
      <c r="I112" s="520"/>
      <c r="J112" s="521"/>
      <c r="L112" s="522"/>
      <c r="M112" s="522"/>
    </row>
    <row r="113" spans="4:13" ht="15.75" customHeight="1">
      <c r="D113" s="272"/>
      <c r="E113" s="272"/>
      <c r="F113" s="274"/>
      <c r="G113" s="519"/>
      <c r="H113" s="519"/>
      <c r="I113" s="520"/>
      <c r="J113" s="521"/>
      <c r="L113" s="522"/>
      <c r="M113" s="522"/>
    </row>
    <row r="114" spans="4:13" ht="15.75" customHeight="1">
      <c r="D114" s="272"/>
      <c r="E114" s="272"/>
      <c r="F114" s="274"/>
      <c r="G114" s="519"/>
      <c r="H114" s="519"/>
      <c r="I114" s="520"/>
      <c r="J114" s="521"/>
      <c r="L114" s="522"/>
      <c r="M114" s="522"/>
    </row>
    <row r="115" spans="4:13" ht="15.75" customHeight="1">
      <c r="D115" s="272"/>
      <c r="E115" s="272"/>
      <c r="F115" s="274"/>
      <c r="G115" s="519"/>
      <c r="H115" s="519"/>
      <c r="I115" s="520"/>
      <c r="J115" s="521"/>
      <c r="L115" s="522"/>
      <c r="M115" s="522"/>
    </row>
    <row r="116" spans="4:13" ht="15.75" customHeight="1">
      <c r="D116" s="272"/>
      <c r="E116" s="272"/>
      <c r="F116" s="274"/>
      <c r="G116" s="519"/>
      <c r="H116" s="519"/>
      <c r="I116" s="520"/>
      <c r="J116" s="521"/>
      <c r="L116" s="522"/>
      <c r="M116" s="522"/>
    </row>
    <row r="117" spans="4:13" ht="15.75" customHeight="1">
      <c r="D117" s="272"/>
      <c r="E117" s="272"/>
      <c r="F117" s="274"/>
      <c r="G117" s="519"/>
      <c r="H117" s="519"/>
      <c r="I117" s="520"/>
      <c r="J117" s="521"/>
      <c r="L117" s="522"/>
      <c r="M117" s="522"/>
    </row>
    <row r="118" spans="4:13" ht="15.75" customHeight="1">
      <c r="D118" s="272"/>
      <c r="E118" s="272"/>
      <c r="F118" s="274"/>
      <c r="G118" s="519"/>
      <c r="H118" s="519"/>
      <c r="I118" s="520"/>
      <c r="J118" s="521"/>
      <c r="L118" s="522"/>
      <c r="M118" s="522"/>
    </row>
    <row r="119" spans="4:13" ht="15.75" customHeight="1">
      <c r="D119" s="272"/>
      <c r="E119" s="272"/>
      <c r="F119" s="274"/>
      <c r="G119" s="519"/>
      <c r="H119" s="519"/>
      <c r="I119" s="520"/>
      <c r="J119" s="521"/>
      <c r="L119" s="522"/>
      <c r="M119" s="522"/>
    </row>
    <row r="120" spans="4:13" ht="15.75" customHeight="1">
      <c r="D120" s="272"/>
      <c r="E120" s="272"/>
      <c r="F120" s="274"/>
      <c r="G120" s="519"/>
      <c r="H120" s="519"/>
      <c r="I120" s="520"/>
      <c r="J120" s="521"/>
      <c r="L120" s="522"/>
      <c r="M120" s="522"/>
    </row>
    <row r="121" spans="4:13" ht="15.75" customHeight="1">
      <c r="D121" s="272"/>
      <c r="E121" s="272"/>
      <c r="F121" s="274"/>
      <c r="G121" s="519"/>
      <c r="H121" s="519"/>
      <c r="I121" s="520"/>
      <c r="J121" s="521"/>
      <c r="L121" s="522"/>
      <c r="M121" s="522"/>
    </row>
    <row r="122" spans="4:13" ht="15.75" customHeight="1">
      <c r="D122" s="272"/>
      <c r="E122" s="272"/>
      <c r="F122" s="274"/>
      <c r="G122" s="519"/>
      <c r="H122" s="519"/>
      <c r="I122" s="520"/>
      <c r="J122" s="521"/>
      <c r="L122" s="522"/>
      <c r="M122" s="522"/>
    </row>
    <row r="123" spans="4:13" ht="15.75" customHeight="1">
      <c r="D123" s="272"/>
      <c r="E123" s="272"/>
      <c r="F123" s="274"/>
      <c r="G123" s="519"/>
      <c r="H123" s="519"/>
      <c r="I123" s="520"/>
      <c r="J123" s="521"/>
      <c r="L123" s="522"/>
      <c r="M123" s="522"/>
    </row>
    <row r="124" spans="4:13" ht="15.75" customHeight="1">
      <c r="D124" s="272"/>
      <c r="E124" s="272"/>
      <c r="F124" s="274"/>
      <c r="G124" s="519"/>
      <c r="H124" s="519"/>
      <c r="I124" s="520"/>
      <c r="J124" s="521"/>
      <c r="L124" s="522"/>
      <c r="M124" s="522"/>
    </row>
    <row r="125" spans="4:13" ht="15.75" customHeight="1">
      <c r="D125" s="272"/>
      <c r="E125" s="272"/>
      <c r="F125" s="274"/>
      <c r="G125" s="519"/>
      <c r="H125" s="519"/>
      <c r="I125" s="520"/>
      <c r="J125" s="521"/>
      <c r="L125" s="522"/>
      <c r="M125" s="522"/>
    </row>
    <row r="126" spans="4:13" ht="15.75" customHeight="1">
      <c r="D126" s="272"/>
      <c r="E126" s="272"/>
      <c r="F126" s="274"/>
      <c r="G126" s="519"/>
      <c r="H126" s="519"/>
      <c r="I126" s="520"/>
      <c r="J126" s="521"/>
      <c r="L126" s="522"/>
      <c r="M126" s="522"/>
    </row>
    <row r="127" spans="4:13" ht="15.75" customHeight="1">
      <c r="D127" s="272"/>
      <c r="E127" s="272"/>
      <c r="F127" s="274"/>
      <c r="G127" s="519"/>
      <c r="H127" s="519"/>
      <c r="I127" s="520"/>
      <c r="J127" s="521"/>
      <c r="L127" s="522"/>
      <c r="M127" s="522"/>
    </row>
    <row r="128" spans="4:13" ht="15.75" customHeight="1">
      <c r="D128" s="272"/>
      <c r="E128" s="272"/>
      <c r="F128" s="274"/>
      <c r="G128" s="519"/>
      <c r="H128" s="519"/>
      <c r="I128" s="520"/>
      <c r="J128" s="521"/>
      <c r="L128" s="522"/>
      <c r="M128" s="522"/>
    </row>
    <row r="129" spans="4:13" ht="15.75" customHeight="1">
      <c r="D129" s="272"/>
      <c r="E129" s="272"/>
      <c r="F129" s="274"/>
      <c r="G129" s="519"/>
      <c r="H129" s="519"/>
      <c r="I129" s="520"/>
      <c r="J129" s="521"/>
      <c r="L129" s="522"/>
      <c r="M129" s="522"/>
    </row>
    <row r="130" spans="4:13" ht="15.75" customHeight="1">
      <c r="D130" s="272"/>
      <c r="E130" s="272"/>
      <c r="F130" s="274"/>
      <c r="G130" s="519"/>
      <c r="H130" s="519"/>
      <c r="I130" s="520"/>
      <c r="J130" s="521"/>
      <c r="L130" s="522"/>
      <c r="M130" s="522"/>
    </row>
    <row r="131" spans="4:13" ht="15.75" customHeight="1">
      <c r="D131" s="272"/>
      <c r="E131" s="272"/>
      <c r="F131" s="274"/>
      <c r="G131" s="519"/>
      <c r="H131" s="519"/>
      <c r="I131" s="520"/>
      <c r="J131" s="521"/>
      <c r="L131" s="522"/>
      <c r="M131" s="522"/>
    </row>
    <row r="132" spans="4:13" ht="15.75" customHeight="1">
      <c r="D132" s="272"/>
      <c r="E132" s="272"/>
      <c r="F132" s="274"/>
      <c r="G132" s="519"/>
      <c r="H132" s="519"/>
      <c r="I132" s="520"/>
      <c r="J132" s="521"/>
      <c r="L132" s="522"/>
      <c r="M132" s="522"/>
    </row>
    <row r="133" spans="4:13" ht="15.75" customHeight="1">
      <c r="D133" s="272"/>
      <c r="E133" s="272"/>
      <c r="F133" s="274"/>
      <c r="G133" s="519"/>
      <c r="H133" s="519"/>
      <c r="I133" s="520"/>
      <c r="J133" s="521"/>
      <c r="L133" s="522"/>
      <c r="M133" s="522"/>
    </row>
    <row r="134" spans="4:13" ht="15.75" customHeight="1">
      <c r="D134" s="272"/>
      <c r="E134" s="272"/>
      <c r="F134" s="274"/>
      <c r="G134" s="519"/>
      <c r="H134" s="519"/>
      <c r="I134" s="520"/>
      <c r="J134" s="521"/>
      <c r="L134" s="522"/>
      <c r="M134" s="522"/>
    </row>
    <row r="135" spans="4:13" ht="15.75" customHeight="1">
      <c r="D135" s="272"/>
      <c r="E135" s="272"/>
      <c r="F135" s="274"/>
      <c r="G135" s="519"/>
      <c r="H135" s="519"/>
      <c r="I135" s="520"/>
      <c r="J135" s="521"/>
      <c r="L135" s="522"/>
      <c r="M135" s="522"/>
    </row>
    <row r="136" spans="4:13" ht="15.75" customHeight="1">
      <c r="D136" s="272"/>
      <c r="E136" s="272"/>
      <c r="F136" s="274"/>
      <c r="G136" s="519"/>
      <c r="H136" s="519"/>
      <c r="I136" s="520"/>
      <c r="J136" s="521"/>
      <c r="L136" s="522"/>
      <c r="M136" s="522"/>
    </row>
    <row r="137" spans="4:13" ht="15.75" customHeight="1">
      <c r="D137" s="272"/>
      <c r="E137" s="272"/>
      <c r="F137" s="274"/>
      <c r="G137" s="519"/>
      <c r="H137" s="519"/>
      <c r="I137" s="520"/>
      <c r="J137" s="521"/>
      <c r="L137" s="522"/>
      <c r="M137" s="522"/>
    </row>
    <row r="138" spans="4:13" ht="15.75" customHeight="1">
      <c r="D138" s="272"/>
      <c r="E138" s="272"/>
      <c r="F138" s="274"/>
      <c r="G138" s="519"/>
      <c r="H138" s="519"/>
      <c r="I138" s="520"/>
      <c r="J138" s="521"/>
      <c r="L138" s="522"/>
      <c r="M138" s="522"/>
    </row>
    <row r="139" spans="4:13" ht="15.75" customHeight="1">
      <c r="D139" s="272"/>
      <c r="E139" s="272"/>
      <c r="F139" s="274"/>
      <c r="G139" s="519"/>
      <c r="H139" s="519"/>
      <c r="I139" s="520"/>
      <c r="J139" s="521"/>
      <c r="L139" s="522"/>
      <c r="M139" s="522"/>
    </row>
    <row r="140" spans="4:13" ht="15.75" customHeight="1">
      <c r="D140" s="272"/>
      <c r="E140" s="272"/>
      <c r="F140" s="274"/>
      <c r="G140" s="519"/>
      <c r="H140" s="519"/>
      <c r="I140" s="520"/>
      <c r="J140" s="521"/>
      <c r="L140" s="522"/>
      <c r="M140" s="522"/>
    </row>
    <row r="141" spans="4:13" ht="15.75" customHeight="1">
      <c r="D141" s="272"/>
      <c r="E141" s="272"/>
      <c r="F141" s="274"/>
      <c r="G141" s="519"/>
      <c r="H141" s="519"/>
      <c r="I141" s="520"/>
      <c r="J141" s="521"/>
      <c r="L141" s="522"/>
      <c r="M141" s="522"/>
    </row>
    <row r="142" spans="4:13" ht="15.75" customHeight="1">
      <c r="D142" s="272"/>
      <c r="E142" s="272"/>
      <c r="F142" s="274"/>
      <c r="G142" s="519"/>
      <c r="H142" s="519"/>
      <c r="I142" s="520"/>
      <c r="J142" s="521"/>
      <c r="L142" s="522"/>
      <c r="M142" s="522"/>
    </row>
    <row r="143" spans="4:13" ht="15.75" customHeight="1">
      <c r="D143" s="272"/>
      <c r="E143" s="272"/>
      <c r="F143" s="274"/>
      <c r="G143" s="519"/>
      <c r="H143" s="519"/>
      <c r="I143" s="520"/>
      <c r="J143" s="521"/>
      <c r="L143" s="522"/>
      <c r="M143" s="522"/>
    </row>
    <row r="144" spans="4:13" ht="15.75" customHeight="1">
      <c r="D144" s="272"/>
      <c r="E144" s="272"/>
      <c r="F144" s="274"/>
      <c r="G144" s="519"/>
      <c r="H144" s="519"/>
      <c r="I144" s="520"/>
      <c r="J144" s="521"/>
      <c r="L144" s="522"/>
      <c r="M144" s="522"/>
    </row>
    <row r="145" spans="4:13" ht="15.75" customHeight="1">
      <c r="D145" s="272"/>
      <c r="E145" s="272"/>
      <c r="F145" s="274"/>
      <c r="G145" s="519"/>
      <c r="H145" s="519"/>
      <c r="I145" s="520"/>
      <c r="J145" s="521"/>
      <c r="L145" s="522"/>
      <c r="M145" s="522"/>
    </row>
    <row r="146" spans="4:13" ht="15.75" customHeight="1">
      <c r="D146" s="272"/>
      <c r="E146" s="272"/>
      <c r="F146" s="274"/>
      <c r="G146" s="519"/>
      <c r="H146" s="519"/>
      <c r="I146" s="520"/>
      <c r="J146" s="521"/>
      <c r="L146" s="522"/>
      <c r="M146" s="522"/>
    </row>
    <row r="147" spans="4:13" ht="15.75" customHeight="1">
      <c r="D147" s="272"/>
      <c r="E147" s="272"/>
      <c r="F147" s="274"/>
      <c r="G147" s="519"/>
      <c r="H147" s="519"/>
      <c r="I147" s="520"/>
      <c r="J147" s="521"/>
      <c r="L147" s="522"/>
      <c r="M147" s="522"/>
    </row>
    <row r="148" spans="4:13" ht="15.75" customHeight="1">
      <c r="D148" s="272"/>
      <c r="E148" s="272"/>
      <c r="F148" s="274"/>
      <c r="G148" s="519"/>
      <c r="H148" s="519"/>
      <c r="I148" s="520"/>
      <c r="J148" s="521"/>
      <c r="L148" s="522"/>
      <c r="M148" s="522"/>
    </row>
    <row r="149" spans="4:13" ht="15.75" customHeight="1">
      <c r="D149" s="272"/>
      <c r="E149" s="272"/>
      <c r="F149" s="274"/>
      <c r="G149" s="519"/>
      <c r="H149" s="519"/>
      <c r="I149" s="520"/>
      <c r="J149" s="521"/>
      <c r="L149" s="522"/>
      <c r="M149" s="522"/>
    </row>
    <row r="150" spans="4:13" ht="15.75" customHeight="1">
      <c r="D150" s="272"/>
      <c r="E150" s="272"/>
      <c r="F150" s="274"/>
      <c r="G150" s="519"/>
      <c r="H150" s="519"/>
      <c r="I150" s="520"/>
      <c r="J150" s="521"/>
      <c r="L150" s="522"/>
      <c r="M150" s="522"/>
    </row>
    <row r="151" spans="4:13" ht="15.75" customHeight="1">
      <c r="D151" s="272"/>
      <c r="E151" s="272"/>
      <c r="F151" s="274"/>
      <c r="G151" s="519"/>
      <c r="H151" s="519"/>
      <c r="I151" s="520"/>
      <c r="J151" s="521"/>
      <c r="L151" s="522"/>
      <c r="M151" s="522"/>
    </row>
    <row r="152" spans="4:13" ht="15.75" customHeight="1">
      <c r="D152" s="272"/>
      <c r="E152" s="272"/>
      <c r="F152" s="274"/>
      <c r="G152" s="519"/>
      <c r="H152" s="519"/>
      <c r="I152" s="520"/>
      <c r="J152" s="521"/>
      <c r="L152" s="522"/>
      <c r="M152" s="522"/>
    </row>
    <row r="153" spans="4:13" ht="15.75" customHeight="1">
      <c r="D153" s="272"/>
      <c r="E153" s="272"/>
      <c r="F153" s="274"/>
      <c r="G153" s="519"/>
      <c r="H153" s="519"/>
      <c r="I153" s="520"/>
      <c r="J153" s="521"/>
      <c r="L153" s="522"/>
      <c r="M153" s="522"/>
    </row>
    <row r="154" spans="4:13" ht="15.75" customHeight="1">
      <c r="D154" s="272"/>
      <c r="E154" s="272"/>
      <c r="F154" s="274"/>
      <c r="G154" s="519"/>
      <c r="H154" s="519"/>
      <c r="I154" s="520"/>
      <c r="J154" s="521"/>
      <c r="L154" s="522"/>
      <c r="M154" s="522"/>
    </row>
    <row r="155" spans="4:13" ht="15.75" customHeight="1">
      <c r="D155" s="272"/>
      <c r="E155" s="272"/>
      <c r="F155" s="274"/>
      <c r="G155" s="519"/>
      <c r="H155" s="519"/>
      <c r="I155" s="520"/>
      <c r="J155" s="521"/>
      <c r="L155" s="522"/>
      <c r="M155" s="522"/>
    </row>
    <row r="156" spans="4:13" ht="15.75" customHeight="1">
      <c r="D156" s="272"/>
      <c r="E156" s="272"/>
      <c r="F156" s="274"/>
      <c r="G156" s="519"/>
      <c r="H156" s="519"/>
      <c r="I156" s="520"/>
      <c r="J156" s="521"/>
      <c r="L156" s="522"/>
      <c r="M156" s="522"/>
    </row>
    <row r="157" spans="4:13" ht="15.75" customHeight="1">
      <c r="D157" s="272"/>
      <c r="E157" s="272"/>
      <c r="F157" s="274"/>
      <c r="G157" s="519"/>
      <c r="H157" s="519"/>
      <c r="I157" s="520"/>
      <c r="J157" s="521"/>
      <c r="L157" s="522"/>
      <c r="M157" s="522"/>
    </row>
    <row r="158" spans="4:13" ht="15.75" customHeight="1">
      <c r="D158" s="272"/>
      <c r="E158" s="272"/>
      <c r="F158" s="274"/>
      <c r="G158" s="519"/>
      <c r="H158" s="519"/>
      <c r="I158" s="520"/>
      <c r="J158" s="521"/>
      <c r="L158" s="522"/>
      <c r="M158" s="522"/>
    </row>
    <row r="159" spans="4:13" ht="15.75" customHeight="1">
      <c r="D159" s="272"/>
      <c r="E159" s="272"/>
      <c r="F159" s="274"/>
      <c r="G159" s="519"/>
      <c r="H159" s="519"/>
      <c r="I159" s="520"/>
      <c r="J159" s="521"/>
      <c r="L159" s="522"/>
      <c r="M159" s="522"/>
    </row>
    <row r="160" spans="4:13" ht="15.75" customHeight="1">
      <c r="D160" s="272"/>
      <c r="E160" s="272"/>
      <c r="F160" s="274"/>
      <c r="G160" s="519"/>
      <c r="H160" s="519"/>
      <c r="I160" s="520"/>
      <c r="J160" s="521"/>
      <c r="L160" s="522"/>
      <c r="M160" s="522"/>
    </row>
    <row r="161" spans="4:13" ht="15.75" customHeight="1">
      <c r="D161" s="272"/>
      <c r="E161" s="272"/>
      <c r="F161" s="274"/>
      <c r="G161" s="519"/>
      <c r="H161" s="519"/>
      <c r="I161" s="520"/>
      <c r="J161" s="521"/>
      <c r="L161" s="522"/>
      <c r="M161" s="522"/>
    </row>
    <row r="162" spans="4:13" ht="15.75" customHeight="1">
      <c r="D162" s="272"/>
      <c r="E162" s="272"/>
      <c r="F162" s="274"/>
      <c r="G162" s="519"/>
      <c r="H162" s="519"/>
      <c r="I162" s="520"/>
      <c r="J162" s="521"/>
      <c r="L162" s="522"/>
      <c r="M162" s="522"/>
    </row>
    <row r="163" spans="4:13" ht="15.75" customHeight="1">
      <c r="D163" s="272"/>
      <c r="E163" s="272"/>
      <c r="F163" s="274"/>
      <c r="G163" s="519"/>
      <c r="H163" s="519"/>
      <c r="I163" s="520"/>
      <c r="J163" s="521"/>
      <c r="L163" s="522"/>
      <c r="M163" s="522"/>
    </row>
    <row r="164" spans="4:13" ht="15.75" customHeight="1">
      <c r="D164" s="272"/>
      <c r="E164" s="272"/>
      <c r="F164" s="274"/>
      <c r="G164" s="519"/>
      <c r="H164" s="519"/>
      <c r="I164" s="520"/>
      <c r="J164" s="521"/>
      <c r="L164" s="522"/>
      <c r="M164" s="522"/>
    </row>
    <row r="165" spans="4:13" ht="15.75" customHeight="1">
      <c r="D165" s="272"/>
      <c r="E165" s="272"/>
      <c r="F165" s="274"/>
      <c r="G165" s="519"/>
      <c r="H165" s="519"/>
      <c r="I165" s="520"/>
      <c r="J165" s="521"/>
      <c r="L165" s="522"/>
      <c r="M165" s="522"/>
    </row>
    <row r="166" spans="4:13" ht="15.75" customHeight="1">
      <c r="D166" s="272"/>
      <c r="E166" s="272"/>
      <c r="F166" s="274"/>
      <c r="G166" s="519"/>
      <c r="H166" s="519"/>
      <c r="I166" s="520"/>
      <c r="J166" s="521"/>
      <c r="L166" s="522"/>
      <c r="M166" s="522"/>
    </row>
    <row r="167" spans="4:13" ht="15.75" customHeight="1">
      <c r="D167" s="272"/>
      <c r="E167" s="272"/>
      <c r="F167" s="274"/>
      <c r="G167" s="519"/>
      <c r="H167" s="519"/>
      <c r="I167" s="520"/>
      <c r="J167" s="521"/>
      <c r="L167" s="522"/>
      <c r="M167" s="522"/>
    </row>
    <row r="168" spans="4:13" ht="15.75" customHeight="1">
      <c r="D168" s="272"/>
      <c r="E168" s="272"/>
      <c r="F168" s="274"/>
      <c r="G168" s="519"/>
      <c r="H168" s="519"/>
      <c r="I168" s="520"/>
      <c r="J168" s="521"/>
      <c r="L168" s="522"/>
      <c r="M168" s="522"/>
    </row>
    <row r="169" spans="4:13" ht="15.75" customHeight="1">
      <c r="D169" s="272"/>
      <c r="E169" s="272"/>
      <c r="F169" s="274"/>
      <c r="G169" s="519"/>
      <c r="H169" s="519"/>
      <c r="I169" s="520"/>
      <c r="J169" s="521"/>
      <c r="L169" s="522"/>
      <c r="M169" s="522"/>
    </row>
    <row r="170" spans="4:13" ht="15.75" customHeight="1">
      <c r="D170" s="272"/>
      <c r="E170" s="272"/>
      <c r="F170" s="274"/>
      <c r="G170" s="519"/>
      <c r="H170" s="519"/>
      <c r="I170" s="520"/>
      <c r="J170" s="521"/>
      <c r="L170" s="522"/>
      <c r="M170" s="522"/>
    </row>
    <row r="171" spans="4:13" ht="15.75" customHeight="1">
      <c r="D171" s="272"/>
      <c r="E171" s="272"/>
      <c r="F171" s="274"/>
      <c r="G171" s="519"/>
      <c r="H171" s="519"/>
      <c r="I171" s="520"/>
      <c r="J171" s="521"/>
      <c r="L171" s="522"/>
      <c r="M171" s="522"/>
    </row>
    <row r="172" spans="4:13" ht="15.75" customHeight="1">
      <c r="D172" s="272"/>
      <c r="E172" s="272"/>
      <c r="F172" s="274"/>
      <c r="G172" s="519"/>
      <c r="H172" s="519"/>
      <c r="I172" s="520"/>
      <c r="J172" s="521"/>
      <c r="L172" s="522"/>
      <c r="M172" s="522"/>
    </row>
    <row r="173" spans="4:13" ht="15.75" customHeight="1">
      <c r="D173" s="272"/>
      <c r="E173" s="272"/>
      <c r="F173" s="274"/>
      <c r="G173" s="519"/>
      <c r="H173" s="519"/>
      <c r="I173" s="520"/>
      <c r="J173" s="521"/>
      <c r="L173" s="522"/>
      <c r="M173" s="522"/>
    </row>
    <row r="174" spans="4:13" ht="15.75" customHeight="1">
      <c r="D174" s="272"/>
      <c r="E174" s="272"/>
      <c r="F174" s="274"/>
      <c r="G174" s="519"/>
      <c r="H174" s="519"/>
      <c r="I174" s="520"/>
      <c r="J174" s="521"/>
      <c r="L174" s="522"/>
      <c r="M174" s="522"/>
    </row>
    <row r="175" spans="4:13" ht="15.75" customHeight="1">
      <c r="D175" s="272"/>
      <c r="E175" s="272"/>
      <c r="F175" s="274"/>
      <c r="G175" s="519"/>
      <c r="H175" s="519"/>
      <c r="I175" s="520"/>
      <c r="J175" s="521"/>
      <c r="L175" s="522"/>
      <c r="M175" s="522"/>
    </row>
    <row r="176" spans="4:13" ht="15.75" customHeight="1">
      <c r="D176" s="272"/>
      <c r="E176" s="272"/>
      <c r="F176" s="274"/>
      <c r="G176" s="519"/>
      <c r="H176" s="519"/>
      <c r="I176" s="520"/>
      <c r="J176" s="521"/>
      <c r="L176" s="522"/>
      <c r="M176" s="522"/>
    </row>
    <row r="177" spans="4:13" ht="15.75" customHeight="1">
      <c r="D177" s="272"/>
      <c r="E177" s="272"/>
      <c r="F177" s="274"/>
      <c r="G177" s="519"/>
      <c r="H177" s="519"/>
      <c r="I177" s="520"/>
      <c r="J177" s="521"/>
      <c r="L177" s="522"/>
      <c r="M177" s="522"/>
    </row>
    <row r="178" spans="4:13" ht="15.75" customHeight="1">
      <c r="D178" s="272"/>
      <c r="E178" s="272"/>
      <c r="F178" s="274"/>
      <c r="G178" s="519"/>
      <c r="H178" s="519"/>
      <c r="I178" s="520"/>
      <c r="J178" s="521"/>
      <c r="L178" s="522"/>
      <c r="M178" s="522"/>
    </row>
    <row r="179" spans="4:13" ht="15.75" customHeight="1">
      <c r="D179" s="272"/>
      <c r="E179" s="272"/>
      <c r="F179" s="274"/>
      <c r="G179" s="519"/>
      <c r="H179" s="519"/>
      <c r="I179" s="520"/>
      <c r="J179" s="521"/>
      <c r="L179" s="522"/>
      <c r="M179" s="522"/>
    </row>
    <row r="180" spans="4:13" ht="15.75" customHeight="1">
      <c r="D180" s="272"/>
      <c r="E180" s="272"/>
      <c r="F180" s="274"/>
      <c r="G180" s="519"/>
      <c r="H180" s="519"/>
      <c r="I180" s="520"/>
      <c r="J180" s="521"/>
      <c r="L180" s="522"/>
      <c r="M180" s="522"/>
    </row>
    <row r="181" spans="4:13" ht="15.75" customHeight="1">
      <c r="D181" s="272"/>
      <c r="E181" s="272"/>
      <c r="F181" s="274"/>
      <c r="G181" s="519"/>
      <c r="H181" s="519"/>
      <c r="I181" s="520"/>
      <c r="J181" s="521"/>
      <c r="L181" s="522"/>
      <c r="M181" s="522"/>
    </row>
    <row r="182" spans="4:13" ht="15.75" customHeight="1">
      <c r="D182" s="272"/>
      <c r="E182" s="272"/>
      <c r="F182" s="274"/>
      <c r="G182" s="519"/>
      <c r="H182" s="519"/>
      <c r="I182" s="520"/>
      <c r="J182" s="521"/>
      <c r="L182" s="522"/>
      <c r="M182" s="522"/>
    </row>
    <row r="183" spans="4:13" ht="15.75" customHeight="1">
      <c r="D183" s="272"/>
      <c r="E183" s="272"/>
      <c r="F183" s="274"/>
      <c r="G183" s="519"/>
      <c r="H183" s="519"/>
      <c r="I183" s="520"/>
      <c r="J183" s="521"/>
      <c r="L183" s="522"/>
      <c r="M183" s="522"/>
    </row>
    <row r="184" spans="4:13" ht="15.75" customHeight="1">
      <c r="D184" s="272"/>
      <c r="E184" s="272"/>
      <c r="F184" s="274"/>
      <c r="G184" s="519"/>
      <c r="H184" s="519"/>
      <c r="I184" s="520"/>
      <c r="J184" s="521"/>
      <c r="L184" s="522"/>
      <c r="M184" s="522"/>
    </row>
    <row r="185" spans="4:13" ht="15.75" customHeight="1">
      <c r="D185" s="272"/>
      <c r="E185" s="272"/>
      <c r="F185" s="274"/>
      <c r="G185" s="519"/>
      <c r="H185" s="519"/>
      <c r="I185" s="520"/>
      <c r="J185" s="521"/>
      <c r="L185" s="522"/>
      <c r="M185" s="522"/>
    </row>
    <row r="186" spans="4:13" ht="15.75" customHeight="1">
      <c r="D186" s="272"/>
      <c r="E186" s="272"/>
      <c r="F186" s="274"/>
      <c r="G186" s="519"/>
      <c r="H186" s="519"/>
      <c r="I186" s="520"/>
      <c r="J186" s="521"/>
      <c r="L186" s="522"/>
      <c r="M186" s="522"/>
    </row>
    <row r="187" spans="4:13" ht="15.75" customHeight="1">
      <c r="D187" s="272"/>
      <c r="E187" s="272"/>
      <c r="F187" s="274"/>
      <c r="G187" s="519"/>
      <c r="H187" s="519"/>
      <c r="I187" s="520"/>
      <c r="J187" s="521"/>
      <c r="L187" s="522"/>
      <c r="M187" s="522"/>
    </row>
    <row r="188" spans="4:13" ht="15.75" customHeight="1">
      <c r="D188" s="272"/>
      <c r="E188" s="272"/>
      <c r="F188" s="274"/>
      <c r="G188" s="519"/>
      <c r="H188" s="519"/>
      <c r="I188" s="520"/>
      <c r="J188" s="521"/>
      <c r="L188" s="522"/>
      <c r="M188" s="522"/>
    </row>
    <row r="189" spans="4:13" ht="15.75" customHeight="1">
      <c r="D189" s="272"/>
      <c r="E189" s="272"/>
      <c r="F189" s="274"/>
      <c r="G189" s="519"/>
      <c r="H189" s="519"/>
      <c r="I189" s="520"/>
      <c r="J189" s="521"/>
      <c r="L189" s="522"/>
      <c r="M189" s="522"/>
    </row>
    <row r="190" spans="4:13" ht="15.75" customHeight="1">
      <c r="D190" s="272"/>
      <c r="E190" s="272"/>
      <c r="F190" s="274"/>
      <c r="G190" s="519"/>
      <c r="H190" s="519"/>
      <c r="I190" s="520"/>
      <c r="J190" s="521"/>
      <c r="L190" s="522"/>
      <c r="M190" s="522"/>
    </row>
    <row r="191" spans="4:13" ht="15.75" customHeight="1">
      <c r="D191" s="272"/>
      <c r="E191" s="272"/>
      <c r="F191" s="274"/>
      <c r="G191" s="519"/>
      <c r="H191" s="519"/>
      <c r="I191" s="520"/>
      <c r="J191" s="521"/>
      <c r="L191" s="522"/>
      <c r="M191" s="522"/>
    </row>
    <row r="192" spans="4:13" ht="15.75" customHeight="1">
      <c r="D192" s="272"/>
      <c r="E192" s="272"/>
      <c r="F192" s="274"/>
      <c r="G192" s="519"/>
      <c r="H192" s="519"/>
      <c r="I192" s="520"/>
      <c r="J192" s="521"/>
      <c r="L192" s="522"/>
      <c r="M192" s="522"/>
    </row>
    <row r="193" spans="4:13" ht="15.75" customHeight="1">
      <c r="D193" s="272"/>
      <c r="E193" s="272"/>
      <c r="F193" s="274"/>
      <c r="G193" s="519"/>
      <c r="H193" s="519"/>
      <c r="I193" s="520"/>
      <c r="J193" s="521"/>
      <c r="L193" s="522"/>
      <c r="M193" s="522"/>
    </row>
    <row r="194" spans="4:13" ht="15.75" customHeight="1">
      <c r="D194" s="272"/>
      <c r="E194" s="272"/>
      <c r="F194" s="274"/>
      <c r="G194" s="519"/>
      <c r="H194" s="519"/>
      <c r="I194" s="520"/>
      <c r="J194" s="521"/>
      <c r="L194" s="522"/>
      <c r="M194" s="522"/>
    </row>
    <row r="195" spans="4:13" ht="15.75" customHeight="1">
      <c r="D195" s="272"/>
      <c r="E195" s="272"/>
      <c r="F195" s="274"/>
      <c r="G195" s="519"/>
      <c r="H195" s="519"/>
      <c r="I195" s="520"/>
      <c r="J195" s="521"/>
      <c r="L195" s="522"/>
      <c r="M195" s="522"/>
    </row>
    <row r="196" spans="4:13" ht="15.75" customHeight="1">
      <c r="D196" s="272"/>
      <c r="E196" s="272"/>
      <c r="F196" s="274"/>
      <c r="G196" s="519"/>
      <c r="H196" s="519"/>
      <c r="I196" s="520"/>
      <c r="J196" s="521"/>
      <c r="L196" s="522"/>
      <c r="M196" s="522"/>
    </row>
    <row r="197" spans="4:13" ht="15.75" customHeight="1">
      <c r="D197" s="272"/>
      <c r="E197" s="272"/>
      <c r="F197" s="274"/>
      <c r="G197" s="519"/>
      <c r="H197" s="519"/>
      <c r="I197" s="520"/>
      <c r="J197" s="521"/>
      <c r="L197" s="522"/>
      <c r="M197" s="522"/>
    </row>
    <row r="198" spans="4:13" ht="15.75" customHeight="1">
      <c r="D198" s="272"/>
      <c r="E198" s="272"/>
      <c r="F198" s="274"/>
      <c r="G198" s="519"/>
      <c r="H198" s="519"/>
      <c r="I198" s="520"/>
      <c r="J198" s="521"/>
      <c r="L198" s="522"/>
      <c r="M198" s="522"/>
    </row>
    <row r="199" spans="4:13" ht="15.75" customHeight="1">
      <c r="D199" s="272"/>
      <c r="E199" s="272"/>
      <c r="F199" s="274"/>
      <c r="G199" s="519"/>
      <c r="H199" s="519"/>
      <c r="I199" s="520"/>
      <c r="J199" s="521"/>
      <c r="L199" s="522"/>
      <c r="M199" s="522"/>
    </row>
    <row r="200" spans="4:13" ht="15.75" customHeight="1">
      <c r="D200" s="272"/>
      <c r="E200" s="272"/>
      <c r="F200" s="274"/>
      <c r="G200" s="519"/>
      <c r="H200" s="519"/>
      <c r="I200" s="520"/>
      <c r="J200" s="521"/>
      <c r="L200" s="522"/>
      <c r="M200" s="522"/>
    </row>
    <row r="201" spans="4:13" ht="15.75" customHeight="1">
      <c r="D201" s="272"/>
      <c r="E201" s="272"/>
      <c r="F201" s="274"/>
      <c r="G201" s="519"/>
      <c r="H201" s="519"/>
      <c r="I201" s="520"/>
      <c r="J201" s="521"/>
      <c r="L201" s="522"/>
      <c r="M201" s="522"/>
    </row>
    <row r="202" spans="4:13" ht="15.75" customHeight="1">
      <c r="D202" s="272"/>
      <c r="E202" s="272"/>
      <c r="F202" s="274"/>
      <c r="G202" s="519"/>
      <c r="H202" s="519"/>
      <c r="I202" s="520"/>
      <c r="J202" s="521"/>
      <c r="L202" s="522"/>
      <c r="M202" s="522"/>
    </row>
    <row r="203" spans="4:13" ht="15.75" customHeight="1">
      <c r="D203" s="272"/>
      <c r="E203" s="272"/>
      <c r="F203" s="274"/>
      <c r="G203" s="519"/>
      <c r="H203" s="519"/>
      <c r="I203" s="520"/>
      <c r="J203" s="521"/>
      <c r="L203" s="522"/>
      <c r="M203" s="522"/>
    </row>
    <row r="204" spans="4:13" ht="15.75" customHeight="1">
      <c r="D204" s="272"/>
      <c r="E204" s="272"/>
      <c r="F204" s="274"/>
      <c r="G204" s="519"/>
      <c r="H204" s="519"/>
      <c r="I204" s="520"/>
      <c r="J204" s="521"/>
      <c r="L204" s="522"/>
      <c r="M204" s="522"/>
    </row>
    <row r="205" spans="4:13" ht="15.75" customHeight="1">
      <c r="D205" s="272"/>
      <c r="E205" s="272"/>
      <c r="F205" s="274"/>
      <c r="G205" s="519"/>
      <c r="H205" s="519"/>
      <c r="I205" s="520"/>
      <c r="J205" s="521"/>
      <c r="L205" s="522"/>
      <c r="M205" s="522"/>
    </row>
    <row r="206" spans="4:13" ht="15.75" customHeight="1">
      <c r="D206" s="272"/>
      <c r="E206" s="272"/>
      <c r="F206" s="274"/>
      <c r="G206" s="519"/>
      <c r="H206" s="519"/>
      <c r="I206" s="520"/>
      <c r="J206" s="521"/>
      <c r="L206" s="522"/>
      <c r="M206" s="522"/>
    </row>
    <row r="207" spans="4:13" ht="15.75" customHeight="1">
      <c r="D207" s="272"/>
      <c r="E207" s="272"/>
      <c r="F207" s="274"/>
      <c r="G207" s="519"/>
      <c r="H207" s="519"/>
      <c r="I207" s="520"/>
      <c r="J207" s="521"/>
      <c r="L207" s="522"/>
      <c r="M207" s="522"/>
    </row>
    <row r="208" spans="4:13" ht="15.75" customHeight="1">
      <c r="D208" s="272"/>
      <c r="E208" s="272"/>
      <c r="F208" s="274"/>
      <c r="G208" s="519"/>
      <c r="H208" s="519"/>
      <c r="I208" s="520"/>
      <c r="J208" s="521"/>
      <c r="L208" s="522"/>
      <c r="M208" s="522"/>
    </row>
    <row r="209" spans="4:13" ht="15.75" customHeight="1">
      <c r="D209" s="272"/>
      <c r="E209" s="272"/>
      <c r="F209" s="274"/>
      <c r="G209" s="519"/>
      <c r="H209" s="519"/>
      <c r="I209" s="520"/>
      <c r="J209" s="521"/>
      <c r="L209" s="522"/>
      <c r="M209" s="522"/>
    </row>
    <row r="210" spans="4:13" ht="15.75" customHeight="1">
      <c r="D210" s="272"/>
      <c r="E210" s="272"/>
      <c r="F210" s="274"/>
      <c r="G210" s="519"/>
      <c r="H210" s="519"/>
      <c r="I210" s="520"/>
      <c r="J210" s="521"/>
      <c r="L210" s="522"/>
      <c r="M210" s="522"/>
    </row>
    <row r="211" spans="4:13" ht="15.75" customHeight="1">
      <c r="D211" s="272"/>
      <c r="E211" s="272"/>
      <c r="F211" s="274"/>
      <c r="G211" s="519"/>
      <c r="H211" s="519"/>
      <c r="I211" s="520"/>
      <c r="J211" s="521"/>
      <c r="L211" s="522"/>
      <c r="M211" s="522"/>
    </row>
    <row r="212" spans="4:13" ht="15.75" customHeight="1">
      <c r="D212" s="272"/>
      <c r="E212" s="272"/>
      <c r="F212" s="274"/>
      <c r="G212" s="519"/>
      <c r="H212" s="519"/>
      <c r="I212" s="520"/>
      <c r="J212" s="521"/>
      <c r="L212" s="522"/>
      <c r="M212" s="522"/>
    </row>
    <row r="213" spans="4:13" ht="15.75" customHeight="1">
      <c r="D213" s="272"/>
      <c r="E213" s="272"/>
      <c r="F213" s="274"/>
      <c r="G213" s="519"/>
      <c r="H213" s="519"/>
      <c r="I213" s="520"/>
      <c r="J213" s="521"/>
      <c r="L213" s="522"/>
      <c r="M213" s="522"/>
    </row>
    <row r="214" spans="4:13" ht="15.75" customHeight="1">
      <c r="D214" s="272"/>
      <c r="E214" s="272"/>
      <c r="F214" s="274"/>
      <c r="G214" s="519"/>
      <c r="H214" s="519"/>
      <c r="I214" s="520"/>
      <c r="J214" s="521"/>
      <c r="L214" s="522"/>
      <c r="M214" s="522"/>
    </row>
    <row r="215" spans="4:13" ht="15.75" customHeight="1">
      <c r="D215" s="272"/>
      <c r="E215" s="272"/>
      <c r="F215" s="274"/>
      <c r="G215" s="519"/>
      <c r="H215" s="519"/>
      <c r="I215" s="520"/>
      <c r="J215" s="521"/>
      <c r="L215" s="522"/>
      <c r="M215" s="522"/>
    </row>
    <row r="216" spans="4:13" ht="15.75" customHeight="1">
      <c r="D216" s="272"/>
      <c r="E216" s="272"/>
      <c r="F216" s="274"/>
      <c r="G216" s="519"/>
      <c r="H216" s="519"/>
      <c r="I216" s="520"/>
      <c r="J216" s="521"/>
      <c r="L216" s="522"/>
      <c r="M216" s="522"/>
    </row>
    <row r="217" spans="4:13" ht="15.75" customHeight="1">
      <c r="D217" s="272"/>
      <c r="E217" s="272"/>
      <c r="F217" s="274"/>
      <c r="G217" s="519"/>
      <c r="H217" s="519"/>
      <c r="I217" s="520"/>
      <c r="J217" s="521"/>
      <c r="L217" s="522"/>
      <c r="M217" s="522"/>
    </row>
    <row r="218" spans="4:13" ht="15.75" customHeight="1">
      <c r="D218" s="272"/>
      <c r="E218" s="272"/>
      <c r="F218" s="274"/>
      <c r="G218" s="519"/>
      <c r="H218" s="519"/>
      <c r="I218" s="520"/>
      <c r="J218" s="521"/>
      <c r="L218" s="522"/>
      <c r="M218" s="522"/>
    </row>
    <row r="219" spans="4:13" ht="15.75" customHeight="1">
      <c r="D219" s="272"/>
      <c r="E219" s="272"/>
      <c r="F219" s="274"/>
      <c r="G219" s="519"/>
      <c r="H219" s="519"/>
      <c r="I219" s="520"/>
      <c r="J219" s="521"/>
      <c r="L219" s="522"/>
      <c r="M219" s="522"/>
    </row>
    <row r="220" spans="4:13" ht="15.75" customHeight="1">
      <c r="D220" s="272"/>
      <c r="E220" s="272"/>
      <c r="F220" s="274"/>
      <c r="G220" s="519"/>
      <c r="H220" s="519"/>
      <c r="I220" s="520"/>
      <c r="J220" s="521"/>
      <c r="L220" s="522"/>
      <c r="M220" s="522"/>
    </row>
    <row r="221" spans="4:13" ht="15.75" customHeight="1">
      <c r="D221" s="272"/>
      <c r="E221" s="272"/>
      <c r="F221" s="274"/>
      <c r="G221" s="519"/>
      <c r="H221" s="519"/>
      <c r="I221" s="520"/>
      <c r="J221" s="521"/>
      <c r="L221" s="522"/>
      <c r="M221" s="522"/>
    </row>
    <row r="222" spans="4:13" ht="15.75" customHeight="1">
      <c r="D222" s="272"/>
      <c r="E222" s="272"/>
      <c r="F222" s="274"/>
      <c r="G222" s="519"/>
      <c r="H222" s="519"/>
      <c r="I222" s="520"/>
      <c r="J222" s="521"/>
      <c r="L222" s="522"/>
      <c r="M222" s="522"/>
    </row>
    <row r="223" spans="4:13" ht="15.75" customHeight="1">
      <c r="D223" s="272"/>
      <c r="E223" s="272"/>
      <c r="F223" s="274"/>
      <c r="G223" s="519"/>
      <c r="H223" s="519"/>
      <c r="I223" s="520"/>
      <c r="J223" s="521"/>
      <c r="L223" s="522"/>
      <c r="M223" s="522"/>
    </row>
    <row r="224" spans="4:13" ht="15.75" customHeight="1">
      <c r="D224" s="272"/>
      <c r="E224" s="272"/>
      <c r="F224" s="274"/>
      <c r="G224" s="519"/>
      <c r="H224" s="519"/>
      <c r="I224" s="520"/>
      <c r="J224" s="521"/>
      <c r="L224" s="522"/>
      <c r="M224" s="522"/>
    </row>
    <row r="225" spans="4:13" ht="15.75" customHeight="1">
      <c r="D225" s="272"/>
      <c r="E225" s="272"/>
      <c r="F225" s="274"/>
      <c r="G225" s="519"/>
      <c r="H225" s="519"/>
      <c r="I225" s="520"/>
      <c r="J225" s="521"/>
      <c r="L225" s="522"/>
      <c r="M225" s="522"/>
    </row>
    <row r="226" spans="4:13" ht="15.75" customHeight="1">
      <c r="D226" s="272"/>
      <c r="E226" s="272"/>
      <c r="F226" s="274"/>
      <c r="G226" s="519"/>
      <c r="H226" s="519"/>
      <c r="I226" s="520"/>
      <c r="J226" s="521"/>
      <c r="L226" s="522"/>
      <c r="M226" s="522"/>
    </row>
    <row r="227" spans="4:13" ht="15.75" customHeight="1">
      <c r="D227" s="272"/>
      <c r="E227" s="272"/>
      <c r="F227" s="274"/>
      <c r="G227" s="519"/>
      <c r="H227" s="519"/>
      <c r="I227" s="520"/>
      <c r="J227" s="521"/>
      <c r="L227" s="522"/>
      <c r="M227" s="522"/>
    </row>
    <row r="228" spans="4:13" ht="15.75" customHeight="1">
      <c r="D228" s="272"/>
      <c r="E228" s="272"/>
      <c r="F228" s="274"/>
      <c r="G228" s="519"/>
      <c r="H228" s="519"/>
      <c r="I228" s="520"/>
      <c r="J228" s="521"/>
      <c r="L228" s="522"/>
      <c r="M228" s="522"/>
    </row>
    <row r="229" spans="4:13" ht="15.75" customHeight="1">
      <c r="D229" s="272"/>
      <c r="E229" s="272"/>
      <c r="F229" s="274"/>
      <c r="G229" s="519"/>
      <c r="H229" s="519"/>
      <c r="I229" s="520"/>
      <c r="J229" s="521"/>
      <c r="L229" s="522"/>
      <c r="M229" s="522"/>
    </row>
    <row r="230" spans="4:13" ht="15.75" customHeight="1">
      <c r="D230" s="272"/>
      <c r="E230" s="272"/>
      <c r="F230" s="274"/>
      <c r="G230" s="519"/>
      <c r="H230" s="519"/>
      <c r="I230" s="520"/>
      <c r="J230" s="521"/>
      <c r="L230" s="522"/>
      <c r="M230" s="522"/>
    </row>
    <row r="231" spans="4:13" ht="15.75" customHeight="1">
      <c r="D231" s="272"/>
      <c r="E231" s="272"/>
      <c r="F231" s="274"/>
      <c r="G231" s="519"/>
      <c r="H231" s="519"/>
      <c r="I231" s="520"/>
      <c r="J231" s="521"/>
      <c r="L231" s="522"/>
      <c r="M231" s="522"/>
    </row>
    <row r="232" spans="4:13" ht="15.75" customHeight="1">
      <c r="D232" s="272"/>
      <c r="E232" s="272"/>
      <c r="F232" s="274"/>
      <c r="G232" s="519"/>
      <c r="H232" s="519"/>
      <c r="I232" s="520"/>
      <c r="J232" s="521"/>
      <c r="L232" s="522"/>
      <c r="M232" s="522"/>
    </row>
    <row r="233" spans="4:13" ht="15.75" customHeight="1">
      <c r="D233" s="272"/>
      <c r="E233" s="272"/>
      <c r="F233" s="274"/>
      <c r="G233" s="519"/>
      <c r="H233" s="519"/>
      <c r="I233" s="520"/>
      <c r="J233" s="521"/>
      <c r="L233" s="522"/>
      <c r="M233" s="522"/>
    </row>
    <row r="234" spans="4:13" ht="15.75" customHeight="1">
      <c r="D234" s="272"/>
      <c r="E234" s="272"/>
      <c r="F234" s="274"/>
      <c r="G234" s="519"/>
      <c r="H234" s="519"/>
      <c r="I234" s="520"/>
      <c r="J234" s="521"/>
      <c r="L234" s="522"/>
      <c r="M234" s="522"/>
    </row>
    <row r="235" spans="4:13" ht="15.75" customHeight="1">
      <c r="D235" s="272"/>
      <c r="E235" s="272"/>
      <c r="F235" s="274"/>
      <c r="G235" s="519"/>
      <c r="H235" s="519"/>
      <c r="I235" s="520"/>
      <c r="J235" s="521"/>
      <c r="L235" s="522"/>
      <c r="M235" s="522"/>
    </row>
    <row r="236" spans="4:13" ht="15.75" customHeight="1">
      <c r="D236" s="272"/>
      <c r="E236" s="272"/>
      <c r="F236" s="274"/>
      <c r="G236" s="519"/>
      <c r="H236" s="519"/>
      <c r="I236" s="520"/>
      <c r="J236" s="521"/>
      <c r="L236" s="522"/>
      <c r="M236" s="522"/>
    </row>
    <row r="237" spans="4:13" ht="15.75" customHeight="1">
      <c r="D237" s="272"/>
      <c r="E237" s="272"/>
      <c r="F237" s="274"/>
      <c r="G237" s="519"/>
      <c r="H237" s="519"/>
      <c r="I237" s="520"/>
      <c r="J237" s="521"/>
      <c r="L237" s="522"/>
      <c r="M237" s="522"/>
    </row>
    <row r="238" spans="4:13" ht="15.75" customHeight="1">
      <c r="D238" s="272"/>
      <c r="E238" s="272"/>
      <c r="F238" s="274"/>
      <c r="G238" s="519"/>
      <c r="H238" s="519"/>
      <c r="I238" s="520"/>
      <c r="J238" s="521"/>
      <c r="L238" s="522"/>
      <c r="M238" s="522"/>
    </row>
    <row r="239" spans="4:13" ht="15.75" customHeight="1">
      <c r="D239" s="272"/>
      <c r="E239" s="272"/>
      <c r="F239" s="274"/>
      <c r="G239" s="519"/>
      <c r="H239" s="519"/>
      <c r="I239" s="520"/>
      <c r="J239" s="521"/>
      <c r="L239" s="522"/>
      <c r="M239" s="522"/>
    </row>
    <row r="240" spans="4:13" ht="15.75" customHeight="1">
      <c r="D240" s="272"/>
      <c r="E240" s="272"/>
      <c r="F240" s="274"/>
      <c r="G240" s="519"/>
      <c r="H240" s="519"/>
      <c r="I240" s="520"/>
      <c r="J240" s="521"/>
      <c r="L240" s="522"/>
      <c r="M240" s="522"/>
    </row>
    <row r="241" spans="4:13" ht="15.75" customHeight="1">
      <c r="D241" s="272"/>
      <c r="E241" s="272"/>
      <c r="F241" s="274"/>
      <c r="G241" s="519"/>
      <c r="H241" s="519"/>
      <c r="I241" s="520"/>
      <c r="J241" s="521"/>
      <c r="L241" s="522"/>
      <c r="M241" s="522"/>
    </row>
    <row r="242" spans="4:13" ht="15.75" customHeight="1">
      <c r="D242" s="272"/>
      <c r="E242" s="272"/>
      <c r="F242" s="274"/>
      <c r="G242" s="519"/>
      <c r="H242" s="519"/>
      <c r="I242" s="520"/>
      <c r="J242" s="521"/>
      <c r="L242" s="522"/>
      <c r="M242" s="522"/>
    </row>
    <row r="243" spans="4:13" ht="15.75" customHeight="1">
      <c r="D243" s="272"/>
      <c r="E243" s="272"/>
      <c r="F243" s="274"/>
      <c r="G243" s="519"/>
      <c r="H243" s="519"/>
      <c r="I243" s="520"/>
      <c r="J243" s="521"/>
      <c r="L243" s="522"/>
      <c r="M243" s="522"/>
    </row>
    <row r="244" spans="4:13" ht="15.75" customHeight="1">
      <c r="D244" s="272"/>
      <c r="E244" s="272"/>
      <c r="F244" s="274"/>
      <c r="G244" s="519"/>
      <c r="H244" s="519"/>
      <c r="I244" s="520"/>
      <c r="J244" s="521"/>
      <c r="L244" s="522"/>
      <c r="M244" s="522"/>
    </row>
    <row r="245" spans="4:13" ht="15.75" customHeight="1">
      <c r="D245" s="272"/>
      <c r="E245" s="272"/>
      <c r="F245" s="274"/>
      <c r="G245" s="519"/>
      <c r="H245" s="519"/>
      <c r="I245" s="520"/>
      <c r="J245" s="521"/>
      <c r="L245" s="522"/>
      <c r="M245" s="522"/>
    </row>
    <row r="246" spans="4:13" ht="15.75" customHeight="1">
      <c r="D246" s="272"/>
      <c r="E246" s="272"/>
      <c r="F246" s="274"/>
      <c r="G246" s="519"/>
      <c r="H246" s="519"/>
      <c r="I246" s="520"/>
      <c r="J246" s="521"/>
      <c r="L246" s="522"/>
      <c r="M246" s="522"/>
    </row>
    <row r="247" spans="4:13" ht="15.75" customHeight="1">
      <c r="D247" s="272"/>
      <c r="E247" s="272"/>
      <c r="F247" s="274"/>
      <c r="G247" s="519"/>
      <c r="H247" s="519"/>
      <c r="I247" s="520"/>
      <c r="J247" s="521"/>
      <c r="L247" s="522"/>
      <c r="M247" s="522"/>
    </row>
    <row r="248" spans="4:13" ht="15.75" customHeight="1">
      <c r="D248" s="272"/>
      <c r="E248" s="272"/>
      <c r="F248" s="274"/>
      <c r="G248" s="519"/>
      <c r="H248" s="519"/>
      <c r="I248" s="520"/>
      <c r="J248" s="521"/>
      <c r="L248" s="522"/>
      <c r="M248" s="522"/>
    </row>
    <row r="249" spans="4:13" ht="15.75" customHeight="1">
      <c r="D249" s="272"/>
      <c r="E249" s="272"/>
      <c r="F249" s="274"/>
      <c r="G249" s="519"/>
      <c r="H249" s="519"/>
      <c r="I249" s="520"/>
      <c r="J249" s="521"/>
      <c r="L249" s="522"/>
      <c r="M249" s="522"/>
    </row>
    <row r="250" spans="4:13" ht="15.75" customHeight="1">
      <c r="D250" s="272"/>
      <c r="E250" s="272"/>
      <c r="F250" s="274"/>
      <c r="G250" s="519"/>
      <c r="H250" s="519"/>
      <c r="I250" s="520"/>
      <c r="J250" s="521"/>
      <c r="L250" s="522"/>
      <c r="M250" s="522"/>
    </row>
    <row r="251" spans="4:13" ht="15.75" customHeight="1">
      <c r="D251" s="272"/>
      <c r="E251" s="272"/>
      <c r="F251" s="274"/>
      <c r="G251" s="519"/>
      <c r="H251" s="519"/>
      <c r="I251" s="520"/>
      <c r="J251" s="521"/>
      <c r="L251" s="522"/>
      <c r="M251" s="522"/>
    </row>
    <row r="252" spans="4:13" ht="15.75" customHeight="1">
      <c r="D252" s="272"/>
      <c r="E252" s="272"/>
      <c r="F252" s="274"/>
      <c r="G252" s="519"/>
      <c r="H252" s="519"/>
      <c r="I252" s="520"/>
      <c r="J252" s="521"/>
      <c r="L252" s="522"/>
      <c r="M252" s="522"/>
    </row>
    <row r="253" spans="4:13" ht="15.75" customHeight="1">
      <c r="D253" s="272"/>
      <c r="E253" s="272"/>
      <c r="F253" s="274"/>
      <c r="G253" s="519"/>
      <c r="H253" s="519"/>
      <c r="I253" s="520"/>
      <c r="J253" s="521"/>
      <c r="L253" s="522"/>
      <c r="M253" s="522"/>
    </row>
    <row r="254" spans="4:13" ht="15.75" customHeight="1">
      <c r="D254" s="272"/>
      <c r="E254" s="272"/>
      <c r="F254" s="274"/>
      <c r="G254" s="519"/>
      <c r="H254" s="519"/>
      <c r="I254" s="520"/>
      <c r="J254" s="521"/>
      <c r="L254" s="522"/>
      <c r="M254" s="522"/>
    </row>
    <row r="255" spans="4:13" ht="15.75" customHeight="1">
      <c r="D255" s="272"/>
      <c r="E255" s="272"/>
      <c r="F255" s="274"/>
      <c r="G255" s="519"/>
      <c r="H255" s="519"/>
      <c r="I255" s="520"/>
      <c r="J255" s="521"/>
      <c r="L255" s="522"/>
      <c r="M255" s="522"/>
    </row>
    <row r="256" spans="4:13" ht="15.75" customHeight="1">
      <c r="D256" s="272"/>
      <c r="E256" s="272"/>
      <c r="F256" s="274"/>
      <c r="G256" s="519"/>
      <c r="H256" s="519"/>
      <c r="I256" s="520"/>
      <c r="J256" s="521"/>
      <c r="L256" s="522"/>
      <c r="M256" s="522"/>
    </row>
    <row r="257" spans="4:13" ht="15.75" customHeight="1">
      <c r="D257" s="272"/>
      <c r="E257" s="272"/>
      <c r="F257" s="274"/>
      <c r="G257" s="519"/>
      <c r="H257" s="519"/>
      <c r="I257" s="520"/>
      <c r="J257" s="521"/>
      <c r="L257" s="522"/>
      <c r="M257" s="522"/>
    </row>
    <row r="258" spans="4:13" ht="15.75" customHeight="1">
      <c r="D258" s="272"/>
      <c r="E258" s="272"/>
      <c r="F258" s="274"/>
      <c r="G258" s="519"/>
      <c r="H258" s="519"/>
      <c r="I258" s="520"/>
      <c r="J258" s="521"/>
      <c r="L258" s="522"/>
      <c r="M258" s="522"/>
    </row>
    <row r="259" spans="4:13" ht="15.75" customHeight="1">
      <c r="D259" s="272"/>
      <c r="E259" s="272"/>
      <c r="F259" s="274"/>
      <c r="G259" s="519"/>
      <c r="H259" s="519"/>
      <c r="I259" s="520"/>
      <c r="J259" s="521"/>
      <c r="L259" s="522"/>
      <c r="M259" s="522"/>
    </row>
    <row r="260" spans="4:13" ht="15.75" customHeight="1">
      <c r="D260" s="272"/>
      <c r="E260" s="272"/>
      <c r="F260" s="274"/>
      <c r="G260" s="519"/>
      <c r="H260" s="519"/>
      <c r="I260" s="520"/>
      <c r="J260" s="521"/>
      <c r="L260" s="522"/>
      <c r="M260" s="522"/>
    </row>
    <row r="261" spans="4:13" ht="15.75" customHeight="1">
      <c r="D261" s="272"/>
      <c r="E261" s="272"/>
      <c r="F261" s="274"/>
      <c r="G261" s="519"/>
      <c r="H261" s="519"/>
      <c r="I261" s="520"/>
      <c r="J261" s="521"/>
      <c r="L261" s="522"/>
      <c r="M261" s="522"/>
    </row>
    <row r="262" spans="4:13" ht="15.75" customHeight="1">
      <c r="F262" s="274"/>
      <c r="H262" s="519"/>
      <c r="I262" s="272"/>
      <c r="J262" s="521"/>
      <c r="L262" s="519"/>
      <c r="M262" s="519"/>
    </row>
    <row r="263" spans="4:13" ht="15.75" customHeight="1">
      <c r="F263" s="274"/>
      <c r="H263" s="519"/>
      <c r="I263" s="272"/>
      <c r="J263" s="521"/>
      <c r="L263" s="519"/>
      <c r="M263" s="519"/>
    </row>
    <row r="264" spans="4:13" ht="15.75" customHeight="1"/>
    <row r="265" spans="4:13" ht="15.75" customHeight="1"/>
    <row r="266" spans="4:13" ht="15.75" customHeight="1"/>
    <row r="267" spans="4:13" ht="15.75" customHeight="1"/>
    <row r="268" spans="4:13" ht="15.75" customHeight="1"/>
    <row r="269" spans="4:13" ht="15.75" customHeight="1"/>
    <row r="270" spans="4:13" ht="15.75" customHeight="1"/>
    <row r="271" spans="4:13" ht="15.75" customHeight="1"/>
    <row r="272" spans="4:13"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5:J61" xr:uid="{00000000-0009-0000-0000-000003000000}"/>
  <mergeCells count="3">
    <mergeCell ref="A1:F2"/>
    <mergeCell ref="A4:C4"/>
    <mergeCell ref="E4:F4"/>
  </mergeCells>
  <conditionalFormatting sqref="E6:E61">
    <cfRule type="expression" dxfId="24" priority="1">
      <formula>COUNTIF(E:E,E6)&gt;1</formula>
    </cfRule>
  </conditionalFormatting>
  <dataValidations count="6">
    <dataValidation type="list" allowBlank="1" showErrorMessage="1" sqref="C6:C61" xr:uid="{00000000-0002-0000-0300-000000000000}">
      <formula1>periodestamp</formula1>
    </dataValidation>
    <dataValidation type="list" allowBlank="1" showErrorMessage="1" sqref="E6:E61" xr:uid="{00000000-0002-0000-0300-000001000000}">
      <formula1>nmperiset</formula1>
    </dataValidation>
    <dataValidation type="list" allowBlank="1" showDropDown="1" showErrorMessage="1" sqref="D6:D61" xr:uid="{00000000-0002-0000-0300-000002000000}">
      <formula1>statuskelris</formula1>
    </dataValidation>
    <dataValidation type="list" allowBlank="1" showErrorMessage="1" sqref="F6:F61" xr:uid="{00000000-0002-0000-0300-000004000000}">
      <formula1>kelris</formula1>
    </dataValidation>
    <dataValidation type="list" allowBlank="1" showErrorMessage="1" sqref="M6:M43 L44:M61" xr:uid="{00000000-0002-0000-0300-000005000000}">
      <formula1>stsupload</formula1>
    </dataValidation>
    <dataValidation type="list" allowBlank="1" showErrorMessage="1" sqref="G6:G61" xr:uid="{00000000-0002-0000-0300-000006000000}">
      <formula1>jnjg</formula1>
    </dataValidation>
  </dataValidations>
  <hyperlinks>
    <hyperlink ref="K6" r:id="rId1" xr:uid="{00000000-0004-0000-0300-000000000000}"/>
    <hyperlink ref="L6" r:id="rId2" xr:uid="{00000000-0004-0000-0300-000001000000}"/>
    <hyperlink ref="K7" r:id="rId3" xr:uid="{00000000-0004-0000-0300-000002000000}"/>
    <hyperlink ref="L7" r:id="rId4" xr:uid="{00000000-0004-0000-0300-000003000000}"/>
    <hyperlink ref="K8" r:id="rId5" xr:uid="{00000000-0004-0000-0300-000004000000}"/>
    <hyperlink ref="L8" r:id="rId6" xr:uid="{00000000-0004-0000-0300-000005000000}"/>
    <hyperlink ref="K11" r:id="rId7" xr:uid="{00000000-0004-0000-0300-00000B000000}"/>
    <hyperlink ref="L11" r:id="rId8" xr:uid="{00000000-0004-0000-0300-00000C000000}"/>
    <hyperlink ref="K12" r:id="rId9" xr:uid="{00000000-0004-0000-0300-00000D000000}"/>
    <hyperlink ref="L12" r:id="rId10" xr:uid="{00000000-0004-0000-0300-00000E000000}"/>
    <hyperlink ref="K13" r:id="rId11" xr:uid="{00000000-0004-0000-0300-00000F000000}"/>
    <hyperlink ref="K14" r:id="rId12" xr:uid="{00000000-0004-0000-0300-000010000000}"/>
    <hyperlink ref="K15" r:id="rId13" xr:uid="{00000000-0004-0000-0300-000011000000}"/>
    <hyperlink ref="K16" r:id="rId14" xr:uid="{00000000-0004-0000-0300-000012000000}"/>
    <hyperlink ref="K17" r:id="rId15" xr:uid="{00000000-0004-0000-0300-000013000000}"/>
    <hyperlink ref="K18" r:id="rId16" xr:uid="{00000000-0004-0000-0300-000014000000}"/>
    <hyperlink ref="K19" r:id="rId17" xr:uid="{00000000-0004-0000-0300-000015000000}"/>
    <hyperlink ref="K20" r:id="rId18" xr:uid="{00000000-0004-0000-0300-000016000000}"/>
    <hyperlink ref="K21" r:id="rId19" xr:uid="{00000000-0004-0000-0300-000017000000}"/>
    <hyperlink ref="K22" r:id="rId20" xr:uid="{00000000-0004-0000-0300-000018000000}"/>
    <hyperlink ref="K23" r:id="rId21" xr:uid="{00000000-0004-0000-0300-000019000000}"/>
    <hyperlink ref="K24" r:id="rId22" xr:uid="{00000000-0004-0000-0300-00001A000000}"/>
    <hyperlink ref="K25" r:id="rId23" xr:uid="{00000000-0004-0000-0300-00001B000000}"/>
    <hyperlink ref="K26" r:id="rId24" xr:uid="{00000000-0004-0000-0300-00001C000000}"/>
    <hyperlink ref="K27" r:id="rId25" xr:uid="{00000000-0004-0000-0300-00001D000000}"/>
    <hyperlink ref="K28" r:id="rId26" xr:uid="{00000000-0004-0000-0300-00001E000000}"/>
    <hyperlink ref="K29" r:id="rId27" xr:uid="{00000000-0004-0000-0300-00001F000000}"/>
    <hyperlink ref="K30" r:id="rId28" xr:uid="{00000000-0004-0000-0300-000020000000}"/>
    <hyperlink ref="K31" r:id="rId29" xr:uid="{00000000-0004-0000-0300-000021000000}"/>
    <hyperlink ref="K32" r:id="rId30" xr:uid="{00000000-0004-0000-0300-000022000000}"/>
    <hyperlink ref="K33" r:id="rId31" xr:uid="{00000000-0004-0000-0300-000023000000}"/>
    <hyperlink ref="K34" r:id="rId32" xr:uid="{00000000-0004-0000-0300-000024000000}"/>
    <hyperlink ref="K35" r:id="rId33" xr:uid="{00000000-0004-0000-0300-000025000000}"/>
    <hyperlink ref="K36" r:id="rId34" xr:uid="{00000000-0004-0000-0300-000026000000}"/>
    <hyperlink ref="K37" r:id="rId35" xr:uid="{00000000-0004-0000-0300-000027000000}"/>
    <hyperlink ref="K38" r:id="rId36" xr:uid="{00000000-0004-0000-0300-000028000000}"/>
    <hyperlink ref="K39" r:id="rId37" xr:uid="{00000000-0004-0000-0300-000029000000}"/>
    <hyperlink ref="K40" r:id="rId38" xr:uid="{00000000-0004-0000-0300-00002A000000}"/>
    <hyperlink ref="K41" r:id="rId39" xr:uid="{00000000-0004-0000-0300-00002B000000}"/>
    <hyperlink ref="K42" r:id="rId40" xr:uid="{00000000-0004-0000-0300-00002C000000}"/>
    <hyperlink ref="K43" r:id="rId41" xr:uid="{00000000-0004-0000-0300-00002D000000}"/>
    <hyperlink ref="K44" r:id="rId42" xr:uid="{00000000-0004-0000-0300-00002E000000}"/>
    <hyperlink ref="K45" r:id="rId43" xr:uid="{00000000-0004-0000-0300-00002F000000}"/>
    <hyperlink ref="K46" r:id="rId44" xr:uid="{00000000-0004-0000-0300-000030000000}"/>
    <hyperlink ref="K47" r:id="rId45" xr:uid="{00000000-0004-0000-0300-000031000000}"/>
    <hyperlink ref="K48" r:id="rId46" xr:uid="{00000000-0004-0000-0300-000032000000}"/>
    <hyperlink ref="K49" r:id="rId47" xr:uid="{00000000-0004-0000-0300-000033000000}"/>
    <hyperlink ref="K50" r:id="rId48" xr:uid="{00000000-0004-0000-0300-000034000000}"/>
    <hyperlink ref="K51" r:id="rId49" xr:uid="{00000000-0004-0000-0300-000035000000}"/>
    <hyperlink ref="K52" r:id="rId50" xr:uid="{00000000-0004-0000-0300-000036000000}"/>
    <hyperlink ref="K53" r:id="rId51" xr:uid="{00000000-0004-0000-0300-000037000000}"/>
    <hyperlink ref="K54" r:id="rId52" xr:uid="{00000000-0004-0000-0300-000038000000}"/>
    <hyperlink ref="K55" r:id="rId53" xr:uid="{00000000-0004-0000-0300-000039000000}"/>
    <hyperlink ref="K56" r:id="rId54" xr:uid="{00000000-0004-0000-0300-00003A000000}"/>
    <hyperlink ref="K57" r:id="rId55" xr:uid="{00000000-0004-0000-0300-00003B000000}"/>
    <hyperlink ref="K58" r:id="rId56" xr:uid="{00000000-0004-0000-0300-00003C000000}"/>
    <hyperlink ref="K59" r:id="rId57" xr:uid="{00000000-0004-0000-0300-00003D000000}"/>
    <hyperlink ref="K60" r:id="rId58" xr:uid="{00000000-0004-0000-0300-00003E000000}"/>
    <hyperlink ref="K61" r:id="rId59" xr:uid="{00000000-0004-0000-0300-00003F000000}"/>
  </hyperlinks>
  <pageMargins left="0.7" right="0.7" top="0.75" bottom="0.75" header="0" footer="0"/>
  <pageSetup paperSize="9" scale="4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Click and enter a value from range" xr:uid="{00000000-0002-0000-0300-000003000000}">
          <x14:formula1>
            <xm:f>Master!$A$50:$A$57</xm:f>
          </x14:formula1>
          <xm:sqref>I6:I61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pane xSplit="7" ySplit="5" topLeftCell="H6" activePane="bottomRight" state="frozen"/>
      <selection pane="topRight" activeCell="H1" sqref="H1"/>
      <selection pane="bottomLeft" activeCell="A6" sqref="A6"/>
      <selection pane="bottomRight" activeCell="H6" sqref="H6"/>
    </sheetView>
  </sheetViews>
  <sheetFormatPr defaultColWidth="11.23046875" defaultRowHeight="15" customHeight="1"/>
  <cols>
    <col min="1" max="1" width="6" customWidth="1"/>
    <col min="2" max="2" width="12.69140625" customWidth="1"/>
    <col min="3" max="3" width="12.07421875" customWidth="1"/>
    <col min="4" max="4" width="2.69140625" customWidth="1"/>
    <col min="5" max="5" width="19.3046875" customWidth="1"/>
    <col min="6" max="6" width="17.3046875" customWidth="1"/>
    <col min="7" max="7" width="25.69140625" customWidth="1"/>
    <col min="8" max="8" width="26" customWidth="1"/>
    <col min="9" max="9" width="12.07421875" customWidth="1"/>
    <col min="10" max="10" width="8.53515625" customWidth="1"/>
    <col min="11" max="11" width="19.84375" customWidth="1"/>
    <col min="12" max="17" width="23.69140625" customWidth="1"/>
    <col min="18" max="18" width="12.69140625" customWidth="1"/>
    <col min="19" max="19" width="11.07421875" customWidth="1"/>
    <col min="20" max="20" width="45" customWidth="1"/>
    <col min="21" max="24" width="6.23046875" customWidth="1"/>
  </cols>
  <sheetData>
    <row r="1" spans="1:27" ht="18.5">
      <c r="A1" s="1188" t="s">
        <v>2125</v>
      </c>
      <c r="B1" s="1176"/>
      <c r="C1" s="1176"/>
      <c r="D1" s="1176"/>
      <c r="E1" s="1176"/>
      <c r="F1" s="1176"/>
      <c r="G1" s="1176"/>
      <c r="H1" s="230"/>
      <c r="I1" s="230"/>
      <c r="J1" s="230"/>
      <c r="K1" s="230"/>
      <c r="L1" s="230"/>
      <c r="M1" s="230"/>
      <c r="N1" s="230"/>
      <c r="O1" s="230"/>
      <c r="P1" s="230"/>
      <c r="Q1" s="230"/>
      <c r="R1" s="230"/>
      <c r="S1" s="230"/>
      <c r="T1" s="230"/>
      <c r="U1" s="230"/>
      <c r="V1" s="230"/>
      <c r="W1" s="230"/>
      <c r="X1" s="230"/>
    </row>
    <row r="2" spans="1:27" ht="18.5">
      <c r="A2" s="1176"/>
      <c r="B2" s="1176"/>
      <c r="C2" s="1176"/>
      <c r="D2" s="1176"/>
      <c r="E2" s="1176"/>
      <c r="F2" s="1176"/>
      <c r="G2" s="1176"/>
      <c r="H2" s="230"/>
      <c r="I2" s="230"/>
      <c r="J2" s="230"/>
      <c r="K2" s="230"/>
      <c r="L2" s="230"/>
      <c r="M2" s="230"/>
      <c r="N2" s="230"/>
      <c r="O2" s="230"/>
      <c r="P2" s="230"/>
      <c r="Q2" s="230"/>
      <c r="R2" s="230"/>
      <c r="S2" s="230"/>
      <c r="T2" s="230"/>
      <c r="U2" s="230"/>
      <c r="V2" s="230"/>
      <c r="W2" s="230"/>
      <c r="X2" s="230"/>
    </row>
    <row r="3" spans="1:27" ht="18.5">
      <c r="A3" s="229"/>
      <c r="B3" s="230"/>
      <c r="C3" s="230"/>
      <c r="D3" s="230"/>
      <c r="E3" s="230"/>
      <c r="F3" s="230"/>
      <c r="G3" s="230"/>
      <c r="H3" s="230"/>
      <c r="I3" s="230"/>
      <c r="J3" s="230"/>
      <c r="K3" s="230"/>
      <c r="L3" s="230"/>
      <c r="M3" s="230"/>
      <c r="N3" s="230"/>
      <c r="O3" s="230"/>
      <c r="P3" s="230"/>
      <c r="Q3" s="230"/>
      <c r="R3" s="230"/>
      <c r="S3" s="230"/>
      <c r="T3" s="230"/>
      <c r="U3" s="230"/>
      <c r="V3" s="230"/>
      <c r="W3" s="230"/>
      <c r="X3" s="230"/>
    </row>
    <row r="4" spans="1:27" ht="15.75" customHeight="1">
      <c r="A4" s="1196" t="s">
        <v>1</v>
      </c>
      <c r="B4" s="1179"/>
      <c r="C4" s="1180"/>
      <c r="D4" s="600"/>
      <c r="E4" s="1203" t="s">
        <v>2</v>
      </c>
      <c r="F4" s="1202"/>
      <c r="G4" s="601"/>
      <c r="H4" s="518"/>
      <c r="I4" s="522"/>
      <c r="J4" s="1204" t="s">
        <v>1833</v>
      </c>
      <c r="K4" s="1205"/>
      <c r="L4" s="1204" t="s">
        <v>0</v>
      </c>
      <c r="M4" s="1184"/>
      <c r="N4" s="1205"/>
      <c r="Q4" s="519"/>
      <c r="S4" s="602"/>
      <c r="T4" s="603"/>
    </row>
    <row r="5" spans="1:27" ht="26">
      <c r="A5" s="604" t="s">
        <v>5</v>
      </c>
      <c r="B5" s="605" t="s">
        <v>6</v>
      </c>
      <c r="C5" s="606" t="s">
        <v>7</v>
      </c>
      <c r="D5" s="607"/>
      <c r="E5" s="608" t="s">
        <v>2126</v>
      </c>
      <c r="F5" s="608" t="s">
        <v>2127</v>
      </c>
      <c r="G5" s="526" t="s">
        <v>10</v>
      </c>
      <c r="H5" s="526" t="s">
        <v>23</v>
      </c>
      <c r="I5" s="526" t="s">
        <v>22</v>
      </c>
      <c r="J5" s="526" t="s">
        <v>2128</v>
      </c>
      <c r="K5" s="526" t="s">
        <v>2129</v>
      </c>
      <c r="L5" s="526">
        <v>1</v>
      </c>
      <c r="M5" s="526">
        <v>2</v>
      </c>
      <c r="N5" s="526">
        <v>3</v>
      </c>
      <c r="O5" s="526" t="s">
        <v>2130</v>
      </c>
      <c r="P5" s="526" t="s">
        <v>2131</v>
      </c>
      <c r="Q5" s="526" t="s">
        <v>1836</v>
      </c>
      <c r="R5" s="527" t="s">
        <v>2100</v>
      </c>
      <c r="S5" s="609" t="s">
        <v>1842</v>
      </c>
      <c r="T5" s="610" t="s">
        <v>30</v>
      </c>
    </row>
    <row r="6" spans="1:27" ht="37.5" customHeight="1">
      <c r="A6" s="611">
        <v>1</v>
      </c>
      <c r="B6" s="612">
        <f t="shared" ref="B6:B31" ca="1" si="0">IF(OR(E6&lt;&gt;"",F6&lt;&gt;""),IF(B6="",NOW(),B6),"")</f>
        <v>45736.405100000004</v>
      </c>
      <c r="C6" s="613" t="s">
        <v>47</v>
      </c>
      <c r="D6" s="63"/>
      <c r="E6" s="614" t="s">
        <v>33</v>
      </c>
      <c r="F6" s="615"/>
      <c r="G6" s="616" t="s">
        <v>32</v>
      </c>
      <c r="H6" s="617" t="s">
        <v>2132</v>
      </c>
      <c r="I6" s="618" t="s">
        <v>1915</v>
      </c>
      <c r="J6" s="619"/>
      <c r="K6" s="620"/>
      <c r="L6" s="619"/>
      <c r="M6" s="619"/>
      <c r="N6" s="619"/>
      <c r="O6" s="619"/>
      <c r="P6" s="619" t="s">
        <v>2039</v>
      </c>
      <c r="Q6" s="621" t="s">
        <v>2133</v>
      </c>
      <c r="R6" s="301" t="s">
        <v>2134</v>
      </c>
      <c r="S6" s="622" t="s">
        <v>1811</v>
      </c>
      <c r="T6" s="623"/>
    </row>
    <row r="7" spans="1:27" ht="37.5" customHeight="1">
      <c r="A7" s="624">
        <v>2</v>
      </c>
      <c r="B7" s="612">
        <f t="shared" ca="1" si="0"/>
        <v>45736.482790000002</v>
      </c>
      <c r="C7" s="625" t="s">
        <v>47</v>
      </c>
      <c r="D7" s="63"/>
      <c r="E7" s="547" t="s">
        <v>496</v>
      </c>
      <c r="F7" s="626"/>
      <c r="G7" s="627" t="s">
        <v>201</v>
      </c>
      <c r="H7" s="628" t="s">
        <v>2132</v>
      </c>
      <c r="I7" s="618" t="s">
        <v>1915</v>
      </c>
      <c r="J7" s="619"/>
      <c r="K7" s="629"/>
      <c r="L7" s="554"/>
      <c r="M7" s="554"/>
      <c r="N7" s="554"/>
      <c r="O7" s="554"/>
      <c r="P7" s="554" t="s">
        <v>1974</v>
      </c>
      <c r="Q7" s="630" t="s">
        <v>2135</v>
      </c>
      <c r="R7" s="301" t="s">
        <v>2134</v>
      </c>
      <c r="S7" s="631" t="s">
        <v>1811</v>
      </c>
      <c r="T7" s="632" t="s">
        <v>2136</v>
      </c>
      <c r="U7" s="633"/>
      <c r="V7" s="633"/>
      <c r="W7" s="633"/>
      <c r="X7" s="633"/>
      <c r="Y7" s="633"/>
      <c r="Z7" s="633"/>
      <c r="AA7" s="633"/>
    </row>
    <row r="8" spans="1:27" ht="30.75" customHeight="1">
      <c r="A8" s="634">
        <v>3</v>
      </c>
      <c r="B8" s="612">
        <f t="shared" ca="1" si="0"/>
        <v>45787.79537</v>
      </c>
      <c r="C8" s="635" t="s">
        <v>251</v>
      </c>
      <c r="D8" s="63"/>
      <c r="E8" s="547" t="s">
        <v>523</v>
      </c>
      <c r="F8" s="626"/>
      <c r="G8" s="627" t="s">
        <v>49</v>
      </c>
      <c r="H8" s="628" t="s">
        <v>2132</v>
      </c>
      <c r="I8" s="618" t="s">
        <v>1915</v>
      </c>
      <c r="J8" s="619"/>
      <c r="K8" s="629"/>
      <c r="L8" s="554"/>
      <c r="M8" s="554"/>
      <c r="N8" s="554"/>
      <c r="O8" s="554"/>
      <c r="P8" s="554" t="s">
        <v>2137</v>
      </c>
      <c r="Q8" s="636"/>
      <c r="R8" s="301" t="s">
        <v>2134</v>
      </c>
      <c r="S8" s="631" t="s">
        <v>1811</v>
      </c>
      <c r="T8" s="632" t="s">
        <v>2138</v>
      </c>
      <c r="U8" s="637"/>
      <c r="V8" s="637"/>
      <c r="W8" s="637"/>
      <c r="X8" s="637"/>
      <c r="Y8" s="637"/>
      <c r="Z8" s="637"/>
      <c r="AA8" s="637"/>
    </row>
    <row r="9" spans="1:27" ht="43.5" customHeight="1">
      <c r="A9" s="624">
        <v>4</v>
      </c>
      <c r="B9" s="612">
        <f t="shared" ca="1" si="0"/>
        <v>45787.814339999997</v>
      </c>
      <c r="C9" s="635" t="s">
        <v>423</v>
      </c>
      <c r="D9" s="63"/>
      <c r="E9" s="455" t="s">
        <v>360</v>
      </c>
      <c r="F9" s="304"/>
      <c r="G9" s="627" t="s">
        <v>201</v>
      </c>
      <c r="H9" s="628" t="s">
        <v>2132</v>
      </c>
      <c r="I9" s="618" t="s">
        <v>1915</v>
      </c>
      <c r="J9" s="619"/>
      <c r="K9" s="629"/>
      <c r="L9" s="554"/>
      <c r="M9" s="554"/>
      <c r="N9" s="554"/>
      <c r="O9" s="554"/>
      <c r="P9" s="554" t="s">
        <v>1979</v>
      </c>
      <c r="Q9" s="636"/>
      <c r="R9" s="301" t="s">
        <v>2134</v>
      </c>
      <c r="S9" s="631" t="s">
        <v>1811</v>
      </c>
      <c r="T9" s="638" t="s">
        <v>2139</v>
      </c>
      <c r="U9" s="637"/>
      <c r="V9" s="637"/>
      <c r="W9" s="637"/>
      <c r="X9" s="637"/>
      <c r="Y9" s="637"/>
      <c r="Z9" s="637"/>
      <c r="AA9" s="637"/>
    </row>
    <row r="10" spans="1:27" ht="37.5" customHeight="1">
      <c r="A10" s="634">
        <v>5</v>
      </c>
      <c r="B10" s="612">
        <f t="shared" ca="1" si="0"/>
        <v>45805.683089999999</v>
      </c>
      <c r="C10" s="635" t="s">
        <v>423</v>
      </c>
      <c r="D10" s="63"/>
      <c r="E10" s="455" t="s">
        <v>416</v>
      </c>
      <c r="F10" s="304"/>
      <c r="G10" s="627" t="s">
        <v>201</v>
      </c>
      <c r="H10" s="639" t="s">
        <v>2140</v>
      </c>
      <c r="I10" s="618" t="s">
        <v>1915</v>
      </c>
      <c r="J10" s="619"/>
      <c r="K10" s="629"/>
      <c r="L10" s="554"/>
      <c r="M10" s="554"/>
      <c r="N10" s="554"/>
      <c r="O10" s="554"/>
      <c r="P10" s="554" t="s">
        <v>1982</v>
      </c>
      <c r="Q10" s="640" t="s">
        <v>2141</v>
      </c>
      <c r="R10" s="301" t="s">
        <v>2134</v>
      </c>
      <c r="S10" s="641" t="s">
        <v>1811</v>
      </c>
      <c r="T10" s="632"/>
      <c r="U10" s="642"/>
      <c r="V10" s="633"/>
      <c r="W10" s="633"/>
      <c r="X10" s="633"/>
      <c r="Y10" s="633"/>
      <c r="Z10" s="633"/>
      <c r="AA10" s="633"/>
    </row>
    <row r="11" spans="1:27" ht="58">
      <c r="A11" s="624">
        <v>6</v>
      </c>
      <c r="B11" s="612">
        <f t="shared" ca="1" si="0"/>
        <v>45805.872369999997</v>
      </c>
      <c r="C11" s="635" t="s">
        <v>423</v>
      </c>
      <c r="D11" s="63"/>
      <c r="E11" s="455" t="s">
        <v>33</v>
      </c>
      <c r="F11" s="304"/>
      <c r="G11" s="616" t="s">
        <v>32</v>
      </c>
      <c r="H11" s="643" t="s">
        <v>2140</v>
      </c>
      <c r="I11" s="618" t="s">
        <v>1915</v>
      </c>
      <c r="J11" s="619"/>
      <c r="K11" s="620"/>
      <c r="L11" s="619"/>
      <c r="M11" s="619"/>
      <c r="N11" s="619"/>
      <c r="O11" s="619"/>
      <c r="P11" s="619" t="s">
        <v>2041</v>
      </c>
      <c r="Q11" s="640" t="s">
        <v>2142</v>
      </c>
      <c r="R11" s="301" t="s">
        <v>2134</v>
      </c>
      <c r="S11" s="622" t="s">
        <v>1811</v>
      </c>
      <c r="T11" s="644"/>
    </row>
    <row r="12" spans="1:27" ht="29">
      <c r="A12" s="634">
        <v>7</v>
      </c>
      <c r="B12" s="612">
        <f t="shared" ca="1" si="0"/>
        <v>45851.270429999997</v>
      </c>
      <c r="C12" s="635" t="s">
        <v>423</v>
      </c>
      <c r="D12" s="63"/>
      <c r="E12" s="455"/>
      <c r="F12" s="645" t="s">
        <v>2143</v>
      </c>
      <c r="G12" s="627" t="s">
        <v>49</v>
      </c>
      <c r="H12" s="639" t="s">
        <v>2140</v>
      </c>
      <c r="I12" s="618" t="s">
        <v>1915</v>
      </c>
      <c r="J12" s="618"/>
      <c r="K12" s="629"/>
      <c r="L12" s="558"/>
      <c r="M12" s="558"/>
      <c r="N12" s="558"/>
      <c r="O12" s="558"/>
      <c r="P12" s="558"/>
      <c r="Q12" s="646" t="s">
        <v>2144</v>
      </c>
      <c r="R12" s="301" t="s">
        <v>2134</v>
      </c>
      <c r="S12" s="647" t="s">
        <v>1811</v>
      </c>
      <c r="T12" s="648"/>
    </row>
    <row r="13" spans="1:27" ht="58">
      <c r="A13" s="624">
        <v>8</v>
      </c>
      <c r="B13" s="612">
        <f t="shared" ca="1" si="0"/>
        <v>45851.270850000001</v>
      </c>
      <c r="C13" s="635" t="s">
        <v>423</v>
      </c>
      <c r="D13" s="63"/>
      <c r="E13" s="455"/>
      <c r="F13" s="645" t="s">
        <v>2145</v>
      </c>
      <c r="G13" s="627" t="s">
        <v>201</v>
      </c>
      <c r="H13" s="639" t="s">
        <v>2140</v>
      </c>
      <c r="I13" s="618" t="s">
        <v>1915</v>
      </c>
      <c r="J13" s="618"/>
      <c r="K13" s="629"/>
      <c r="L13" s="558"/>
      <c r="M13" s="558"/>
      <c r="N13" s="558"/>
      <c r="O13" s="558"/>
      <c r="P13" s="558"/>
      <c r="Q13" s="630" t="s">
        <v>2146</v>
      </c>
      <c r="R13" s="301" t="s">
        <v>2134</v>
      </c>
      <c r="S13" s="647" t="s">
        <v>1811</v>
      </c>
      <c r="T13" s="648"/>
    </row>
    <row r="14" spans="1:27" ht="43.5">
      <c r="A14" s="634">
        <v>9</v>
      </c>
      <c r="B14" s="612">
        <f t="shared" ca="1" si="0"/>
        <v>45854.574630000003</v>
      </c>
      <c r="C14" s="635" t="s">
        <v>480</v>
      </c>
      <c r="D14" s="63"/>
      <c r="E14" s="455" t="s">
        <v>273</v>
      </c>
      <c r="F14" s="645" t="s">
        <v>2147</v>
      </c>
      <c r="G14" s="627" t="s">
        <v>58</v>
      </c>
      <c r="H14" s="639" t="s">
        <v>2140</v>
      </c>
      <c r="I14" s="618" t="s">
        <v>1915</v>
      </c>
      <c r="J14" s="618"/>
      <c r="K14" s="629"/>
      <c r="L14" s="558"/>
      <c r="M14" s="558"/>
      <c r="N14" s="558"/>
      <c r="O14" s="558"/>
      <c r="P14" s="558"/>
      <c r="Q14" s="649" t="s">
        <v>2148</v>
      </c>
      <c r="R14" s="301" t="s">
        <v>2134</v>
      </c>
      <c r="S14" s="647" t="s">
        <v>1811</v>
      </c>
      <c r="T14" s="648"/>
    </row>
    <row r="15" spans="1:27" ht="95.25" customHeight="1">
      <c r="A15" s="624">
        <v>10</v>
      </c>
      <c r="B15" s="612">
        <f t="shared" ca="1" si="0"/>
        <v>45880.384570000002</v>
      </c>
      <c r="C15" s="650"/>
      <c r="D15" s="63"/>
      <c r="E15" s="455"/>
      <c r="F15" s="455" t="s">
        <v>2149</v>
      </c>
      <c r="G15" s="455"/>
      <c r="H15" s="455" t="s">
        <v>2140</v>
      </c>
      <c r="I15" s="618" t="s">
        <v>1915</v>
      </c>
      <c r="J15" s="618"/>
      <c r="K15" s="629"/>
      <c r="L15" s="558"/>
      <c r="M15" s="558"/>
      <c r="N15" s="558"/>
      <c r="O15" s="558"/>
      <c r="P15" s="558"/>
      <c r="Q15" s="636"/>
      <c r="R15" s="301" t="s">
        <v>2134</v>
      </c>
      <c r="S15" s="647"/>
      <c r="T15" s="648"/>
    </row>
    <row r="16" spans="1:27" ht="29">
      <c r="A16" s="634">
        <v>11</v>
      </c>
      <c r="B16" s="612">
        <f t="shared" ca="1" si="0"/>
        <v>45880.384740000001</v>
      </c>
      <c r="C16" s="635" t="s">
        <v>182</v>
      </c>
      <c r="D16" s="63"/>
      <c r="E16" s="455"/>
      <c r="F16" s="645" t="s">
        <v>2150</v>
      </c>
      <c r="G16" s="627" t="s">
        <v>201</v>
      </c>
      <c r="H16" s="639" t="s">
        <v>2140</v>
      </c>
      <c r="I16" s="618" t="s">
        <v>1915</v>
      </c>
      <c r="J16" s="618"/>
      <c r="K16" s="629"/>
      <c r="L16" s="558"/>
      <c r="M16" s="558"/>
      <c r="N16" s="558"/>
      <c r="O16" s="558"/>
      <c r="P16" s="558"/>
      <c r="Q16" s="646" t="s">
        <v>2151</v>
      </c>
      <c r="R16" s="301" t="s">
        <v>2134</v>
      </c>
      <c r="S16" s="647" t="s">
        <v>1811</v>
      </c>
      <c r="T16" s="651"/>
    </row>
    <row r="17" spans="1:20" ht="72.5">
      <c r="A17" s="624">
        <v>12</v>
      </c>
      <c r="B17" s="612">
        <f t="shared" ca="1" si="0"/>
        <v>45880.384919999997</v>
      </c>
      <c r="C17" s="635" t="s">
        <v>326</v>
      </c>
      <c r="D17" s="63"/>
      <c r="E17" s="455" t="s">
        <v>159</v>
      </c>
      <c r="F17" s="455"/>
      <c r="G17" s="627" t="s">
        <v>58</v>
      </c>
      <c r="H17" s="628" t="s">
        <v>2132</v>
      </c>
      <c r="I17" s="618" t="s">
        <v>1915</v>
      </c>
      <c r="J17" s="618"/>
      <c r="K17" s="629"/>
      <c r="L17" s="558"/>
      <c r="M17" s="558"/>
      <c r="N17" s="558"/>
      <c r="O17" s="558"/>
      <c r="P17" s="558"/>
      <c r="Q17" s="646" t="s">
        <v>1939</v>
      </c>
      <c r="R17" s="301" t="s">
        <v>2134</v>
      </c>
      <c r="S17" s="647" t="s">
        <v>1811</v>
      </c>
      <c r="T17" s="648"/>
    </row>
    <row r="18" spans="1:20" ht="30.75" customHeight="1">
      <c r="A18" s="634">
        <v>13</v>
      </c>
      <c r="B18" s="612">
        <f t="shared" ca="1" si="0"/>
        <v>45880.387269999999</v>
      </c>
      <c r="C18" s="652"/>
      <c r="D18" s="63"/>
      <c r="E18" s="455" t="s">
        <v>2152</v>
      </c>
      <c r="F18" s="645"/>
      <c r="G18" s="455"/>
      <c r="H18" s="455" t="s">
        <v>2132</v>
      </c>
      <c r="I18" s="618" t="s">
        <v>1915</v>
      </c>
      <c r="J18" s="618"/>
      <c r="K18" s="629"/>
      <c r="L18" s="558"/>
      <c r="M18" s="558"/>
      <c r="N18" s="558"/>
      <c r="O18" s="558"/>
      <c r="P18" s="558"/>
      <c r="Q18" s="636"/>
      <c r="R18" s="301" t="s">
        <v>2134</v>
      </c>
      <c r="S18" s="647"/>
      <c r="T18" s="648"/>
    </row>
    <row r="19" spans="1:20" ht="43.5">
      <c r="A19" s="624">
        <v>14</v>
      </c>
      <c r="B19" s="612">
        <f t="shared" ca="1" si="0"/>
        <v>45989.573960000002</v>
      </c>
      <c r="C19" s="625" t="s">
        <v>650</v>
      </c>
      <c r="D19" s="63"/>
      <c r="E19" s="455" t="s">
        <v>59</v>
      </c>
      <c r="F19" s="645" t="s">
        <v>2153</v>
      </c>
      <c r="G19" s="627" t="s">
        <v>58</v>
      </c>
      <c r="H19" s="639" t="s">
        <v>2140</v>
      </c>
      <c r="I19" s="618" t="s">
        <v>1915</v>
      </c>
      <c r="J19" s="618"/>
      <c r="K19" s="629"/>
      <c r="L19" s="558"/>
      <c r="M19" s="558"/>
      <c r="N19" s="558"/>
      <c r="O19" s="558"/>
      <c r="P19" s="558"/>
      <c r="Q19" s="623" t="s">
        <v>2154</v>
      </c>
      <c r="R19" s="301" t="s">
        <v>2134</v>
      </c>
      <c r="S19" s="647" t="s">
        <v>1811</v>
      </c>
      <c r="T19" s="653"/>
    </row>
    <row r="20" spans="1:20" ht="72.5">
      <c r="A20" s="634">
        <v>15</v>
      </c>
      <c r="B20" s="612">
        <f t="shared" ca="1" si="0"/>
        <v>45993.693370000001</v>
      </c>
      <c r="C20" s="635" t="s">
        <v>182</v>
      </c>
      <c r="D20" s="63"/>
      <c r="E20" s="455" t="s">
        <v>68</v>
      </c>
      <c r="F20" s="645"/>
      <c r="G20" s="627" t="s">
        <v>67</v>
      </c>
      <c r="H20" s="639" t="s">
        <v>2140</v>
      </c>
      <c r="I20" s="618" t="s">
        <v>1915</v>
      </c>
      <c r="J20" s="618"/>
      <c r="K20" s="629"/>
      <c r="L20" s="558"/>
      <c r="M20" s="558"/>
      <c r="N20" s="558"/>
      <c r="O20" s="558"/>
      <c r="P20" s="558"/>
      <c r="Q20" s="646" t="s">
        <v>2155</v>
      </c>
      <c r="R20" s="301" t="s">
        <v>2134</v>
      </c>
      <c r="S20" s="647" t="s">
        <v>1811</v>
      </c>
      <c r="T20" s="654"/>
    </row>
    <row r="21" spans="1:20" ht="45" customHeight="1">
      <c r="A21" s="624">
        <v>16</v>
      </c>
      <c r="B21" s="612">
        <f t="shared" ca="1" si="0"/>
        <v>45999.601549999999</v>
      </c>
      <c r="C21" s="635" t="s">
        <v>182</v>
      </c>
      <c r="D21" s="63"/>
      <c r="E21" s="455" t="s">
        <v>193</v>
      </c>
      <c r="F21" s="645"/>
      <c r="G21" s="627" t="s">
        <v>201</v>
      </c>
      <c r="H21" s="628" t="s">
        <v>2132</v>
      </c>
      <c r="I21" s="618" t="s">
        <v>1915</v>
      </c>
      <c r="J21" s="618"/>
      <c r="K21" s="629"/>
      <c r="L21" s="655"/>
      <c r="M21" s="655"/>
      <c r="N21" s="655"/>
      <c r="O21" s="655"/>
      <c r="P21" s="655"/>
      <c r="Q21" s="646" t="s">
        <v>2156</v>
      </c>
      <c r="R21" s="301" t="s">
        <v>2134</v>
      </c>
      <c r="S21" s="647" t="s">
        <v>1811</v>
      </c>
      <c r="T21" s="654"/>
    </row>
    <row r="22" spans="1:20" ht="15.75" customHeight="1">
      <c r="A22" s="634">
        <v>17</v>
      </c>
      <c r="B22" s="612" t="str">
        <f t="shared" ca="1" si="0"/>
        <v/>
      </c>
      <c r="C22" s="656"/>
      <c r="D22" s="63"/>
      <c r="E22" s="455"/>
      <c r="F22" s="645"/>
      <c r="G22" s="455"/>
      <c r="H22" s="455"/>
      <c r="I22" s="618"/>
      <c r="J22" s="618"/>
      <c r="K22" s="629"/>
      <c r="L22" s="657"/>
      <c r="M22" s="657"/>
      <c r="N22" s="657"/>
      <c r="O22" s="657"/>
      <c r="P22" s="657"/>
      <c r="Q22" s="636"/>
      <c r="R22" s="301" t="s">
        <v>2134</v>
      </c>
      <c r="S22" s="647"/>
      <c r="T22" s="654"/>
    </row>
    <row r="23" spans="1:20" ht="15.75" customHeight="1">
      <c r="A23" s="624">
        <v>18</v>
      </c>
      <c r="B23" s="612" t="str">
        <f t="shared" ca="1" si="0"/>
        <v/>
      </c>
      <c r="C23" s="656"/>
      <c r="D23" s="63"/>
      <c r="E23" s="455"/>
      <c r="F23" s="645"/>
      <c r="G23" s="455"/>
      <c r="H23" s="455"/>
      <c r="I23" s="618"/>
      <c r="J23" s="618"/>
      <c r="K23" s="629"/>
      <c r="L23" s="558"/>
      <c r="M23" s="558"/>
      <c r="N23" s="558"/>
      <c r="O23" s="558"/>
      <c r="P23" s="558"/>
      <c r="Q23" s="588"/>
      <c r="R23" s="301" t="s">
        <v>2134</v>
      </c>
      <c r="S23" s="647"/>
      <c r="T23" s="654"/>
    </row>
    <row r="24" spans="1:20" ht="15.75" customHeight="1">
      <c r="A24" s="634">
        <v>19</v>
      </c>
      <c r="B24" s="612" t="str">
        <f t="shared" ca="1" si="0"/>
        <v/>
      </c>
      <c r="C24" s="656"/>
      <c r="D24" s="63"/>
      <c r="E24" s="455"/>
      <c r="F24" s="645"/>
      <c r="G24" s="455"/>
      <c r="H24" s="455"/>
      <c r="I24" s="618"/>
      <c r="J24" s="618"/>
      <c r="K24" s="629"/>
      <c r="L24" s="657"/>
      <c r="M24" s="657"/>
      <c r="N24" s="657"/>
      <c r="O24" s="657"/>
      <c r="P24" s="657"/>
      <c r="Q24" s="658"/>
      <c r="R24" s="301" t="s">
        <v>2134</v>
      </c>
      <c r="S24" s="647"/>
      <c r="T24" s="654"/>
    </row>
    <row r="25" spans="1:20" ht="15.75" customHeight="1">
      <c r="A25" s="624">
        <v>20</v>
      </c>
      <c r="B25" s="612" t="str">
        <f t="shared" ca="1" si="0"/>
        <v/>
      </c>
      <c r="C25" s="656"/>
      <c r="D25" s="63"/>
      <c r="E25" s="455"/>
      <c r="F25" s="645"/>
      <c r="G25" s="455"/>
      <c r="H25" s="455"/>
      <c r="I25" s="618"/>
      <c r="J25" s="618"/>
      <c r="K25" s="629"/>
      <c r="L25" s="558"/>
      <c r="M25" s="558"/>
      <c r="N25" s="558"/>
      <c r="O25" s="558"/>
      <c r="P25" s="558"/>
      <c r="Q25" s="588"/>
      <c r="R25" s="301" t="s">
        <v>2134</v>
      </c>
      <c r="S25" s="647"/>
      <c r="T25" s="654"/>
    </row>
    <row r="26" spans="1:20" ht="15.75" customHeight="1">
      <c r="A26" s="634">
        <v>21</v>
      </c>
      <c r="B26" s="612" t="str">
        <f t="shared" ca="1" si="0"/>
        <v/>
      </c>
      <c r="C26" s="656"/>
      <c r="D26" s="63"/>
      <c r="E26" s="455"/>
      <c r="F26" s="645"/>
      <c r="G26" s="455"/>
      <c r="H26" s="455"/>
      <c r="I26" s="618"/>
      <c r="J26" s="618"/>
      <c r="K26" s="629"/>
      <c r="L26" s="558"/>
      <c r="M26" s="558"/>
      <c r="N26" s="558"/>
      <c r="O26" s="558"/>
      <c r="P26" s="558"/>
      <c r="Q26" s="588"/>
      <c r="R26" s="301" t="s">
        <v>2134</v>
      </c>
      <c r="S26" s="647"/>
      <c r="T26" s="654"/>
    </row>
    <row r="27" spans="1:20" ht="15.75" customHeight="1">
      <c r="A27" s="624">
        <v>22</v>
      </c>
      <c r="B27" s="612" t="str">
        <f t="shared" ca="1" si="0"/>
        <v/>
      </c>
      <c r="C27" s="656"/>
      <c r="D27" s="63"/>
      <c r="E27" s="455"/>
      <c r="F27" s="645"/>
      <c r="G27" s="455"/>
      <c r="H27" s="455"/>
      <c r="I27" s="618"/>
      <c r="J27" s="618"/>
      <c r="K27" s="629"/>
      <c r="L27" s="558"/>
      <c r="M27" s="558"/>
      <c r="N27" s="558"/>
      <c r="O27" s="558"/>
      <c r="P27" s="558"/>
      <c r="Q27" s="588"/>
      <c r="R27" s="301" t="s">
        <v>2134</v>
      </c>
      <c r="S27" s="647"/>
      <c r="T27" s="654"/>
    </row>
    <row r="28" spans="1:20" ht="15.75" customHeight="1">
      <c r="A28" s="634">
        <v>23</v>
      </c>
      <c r="B28" s="612" t="str">
        <f t="shared" ca="1" si="0"/>
        <v/>
      </c>
      <c r="C28" s="656"/>
      <c r="D28" s="63"/>
      <c r="E28" s="455"/>
      <c r="F28" s="645"/>
      <c r="G28" s="455"/>
      <c r="H28" s="455"/>
      <c r="I28" s="618"/>
      <c r="J28" s="618"/>
      <c r="K28" s="629"/>
      <c r="L28" s="558"/>
      <c r="M28" s="558"/>
      <c r="N28" s="558"/>
      <c r="O28" s="558"/>
      <c r="P28" s="558"/>
      <c r="Q28" s="588"/>
      <c r="R28" s="301" t="s">
        <v>2134</v>
      </c>
      <c r="S28" s="647"/>
      <c r="T28" s="654"/>
    </row>
    <row r="29" spans="1:20" ht="15.75" customHeight="1">
      <c r="A29" s="624">
        <v>24</v>
      </c>
      <c r="B29" s="612" t="str">
        <f t="shared" ca="1" si="0"/>
        <v/>
      </c>
      <c r="C29" s="656"/>
      <c r="D29" s="63"/>
      <c r="E29" s="455"/>
      <c r="F29" s="645"/>
      <c r="G29" s="455"/>
      <c r="H29" s="455"/>
      <c r="I29" s="618"/>
      <c r="J29" s="618"/>
      <c r="K29" s="629"/>
      <c r="L29" s="558"/>
      <c r="M29" s="558"/>
      <c r="N29" s="558"/>
      <c r="O29" s="558"/>
      <c r="P29" s="558"/>
      <c r="Q29" s="588"/>
      <c r="R29" s="301" t="s">
        <v>2134</v>
      </c>
      <c r="S29" s="647"/>
      <c r="T29" s="654"/>
    </row>
    <row r="30" spans="1:20" ht="15.75" customHeight="1">
      <c r="A30" s="634">
        <v>25</v>
      </c>
      <c r="B30" s="612" t="str">
        <f t="shared" ca="1" si="0"/>
        <v/>
      </c>
      <c r="C30" s="656"/>
      <c r="D30" s="63"/>
      <c r="E30" s="455"/>
      <c r="F30" s="645"/>
      <c r="G30" s="455"/>
      <c r="H30" s="455"/>
      <c r="I30" s="618"/>
      <c r="J30" s="618"/>
      <c r="K30" s="629"/>
      <c r="L30" s="558"/>
      <c r="M30" s="558"/>
      <c r="N30" s="558"/>
      <c r="O30" s="558"/>
      <c r="P30" s="558"/>
      <c r="Q30" s="588"/>
      <c r="R30" s="301" t="s">
        <v>2134</v>
      </c>
      <c r="S30" s="647"/>
      <c r="T30" s="654"/>
    </row>
    <row r="31" spans="1:20" ht="15.75" customHeight="1">
      <c r="A31" s="659">
        <v>26</v>
      </c>
      <c r="B31" s="612" t="str">
        <f t="shared" ca="1" si="0"/>
        <v/>
      </c>
      <c r="C31" s="660"/>
      <c r="D31" s="63"/>
      <c r="E31" s="661"/>
      <c r="F31" s="662"/>
      <c r="G31" s="663"/>
      <c r="H31" s="661"/>
      <c r="I31" s="664"/>
      <c r="J31" s="665"/>
      <c r="K31" s="666"/>
      <c r="L31" s="667"/>
      <c r="M31" s="667"/>
      <c r="N31" s="667"/>
      <c r="O31" s="667"/>
      <c r="P31" s="667"/>
      <c r="Q31" s="593"/>
      <c r="R31" s="301" t="s">
        <v>2134</v>
      </c>
      <c r="S31" s="668"/>
      <c r="T31" s="669"/>
    </row>
    <row r="32" spans="1:20" ht="15.75" customHeight="1">
      <c r="A32" s="670"/>
      <c r="C32" s="175"/>
      <c r="D32" s="671"/>
      <c r="E32" s="671"/>
      <c r="F32" s="671"/>
      <c r="G32" s="274"/>
      <c r="H32" s="519"/>
      <c r="I32" s="522"/>
      <c r="J32" s="520"/>
      <c r="K32" s="672"/>
      <c r="Q32" s="519"/>
      <c r="S32" s="602"/>
      <c r="T32" s="603"/>
    </row>
    <row r="33" spans="1:20" ht="15.75" customHeight="1">
      <c r="A33" s="670"/>
      <c r="C33" s="175"/>
      <c r="D33" s="671"/>
      <c r="E33" s="671"/>
      <c r="F33" s="671"/>
      <c r="G33" s="274"/>
      <c r="H33" s="519">
        <v>3</v>
      </c>
      <c r="I33" s="522"/>
      <c r="J33" s="520"/>
      <c r="K33" s="672"/>
      <c r="Q33" s="519"/>
      <c r="S33" s="602"/>
      <c r="T33" s="603"/>
    </row>
    <row r="34" spans="1:20" ht="15.75" customHeight="1">
      <c r="A34" s="670"/>
      <c r="C34" s="175"/>
      <c r="D34" s="671"/>
      <c r="E34" s="671"/>
      <c r="F34" s="671"/>
      <c r="G34" s="274"/>
      <c r="H34" s="519"/>
      <c r="I34" s="522"/>
      <c r="J34" s="520"/>
      <c r="K34" s="672"/>
      <c r="Q34" s="519"/>
      <c r="S34" s="602"/>
      <c r="T34" s="603"/>
    </row>
    <row r="35" spans="1:20" ht="15.75" customHeight="1">
      <c r="A35" s="670"/>
      <c r="C35" s="175"/>
      <c r="D35" s="671"/>
      <c r="E35" s="671"/>
      <c r="F35" s="671"/>
      <c r="G35" s="274"/>
      <c r="H35" s="519"/>
      <c r="I35" s="522"/>
      <c r="J35" s="520"/>
      <c r="K35" s="672"/>
      <c r="Q35" s="519"/>
      <c r="S35" s="602"/>
      <c r="T35" s="603"/>
    </row>
    <row r="36" spans="1:20" ht="15.75" customHeight="1">
      <c r="A36" s="670"/>
      <c r="C36" s="175"/>
      <c r="D36" s="671"/>
      <c r="E36" s="671"/>
      <c r="F36" s="671"/>
      <c r="G36" s="274"/>
      <c r="H36" s="519"/>
      <c r="I36" s="522"/>
      <c r="J36" s="520"/>
      <c r="K36" s="672"/>
      <c r="Q36" s="519"/>
      <c r="S36" s="602"/>
      <c r="T36" s="603"/>
    </row>
    <row r="37" spans="1:20" ht="15.75" customHeight="1">
      <c r="A37" s="670"/>
      <c r="C37" s="175"/>
      <c r="D37" s="671"/>
      <c r="E37" s="671"/>
      <c r="F37" s="671"/>
      <c r="G37" s="274"/>
      <c r="H37" s="519"/>
      <c r="I37" s="522"/>
      <c r="J37" s="520"/>
      <c r="K37" s="672"/>
      <c r="Q37" s="519"/>
      <c r="S37" s="602"/>
      <c r="T37" s="603"/>
    </row>
    <row r="38" spans="1:20" ht="15.75" customHeight="1">
      <c r="A38" s="670"/>
      <c r="C38" s="175"/>
      <c r="D38" s="671"/>
      <c r="E38" s="671"/>
      <c r="F38" s="671"/>
      <c r="G38" s="274"/>
      <c r="H38" s="519"/>
      <c r="I38" s="522"/>
      <c r="J38" s="520"/>
      <c r="K38" s="672"/>
      <c r="Q38" s="519"/>
      <c r="S38" s="602"/>
      <c r="T38" s="603"/>
    </row>
    <row r="39" spans="1:20" ht="15.75" customHeight="1">
      <c r="A39" s="670"/>
      <c r="C39" s="175"/>
      <c r="D39" s="671"/>
      <c r="E39" s="671"/>
      <c r="F39" s="671"/>
      <c r="G39" s="274"/>
      <c r="H39" s="519"/>
      <c r="I39" s="522"/>
      <c r="J39" s="520"/>
      <c r="K39" s="672"/>
      <c r="Q39" s="519"/>
      <c r="S39" s="602"/>
      <c r="T39" s="603"/>
    </row>
    <row r="40" spans="1:20" ht="15.75" customHeight="1">
      <c r="A40" s="670"/>
      <c r="C40" s="175"/>
      <c r="D40" s="671"/>
      <c r="E40" s="671"/>
      <c r="F40" s="671"/>
      <c r="G40" s="274"/>
      <c r="H40" s="519"/>
      <c r="I40" s="522"/>
      <c r="J40" s="520"/>
      <c r="K40" s="672"/>
      <c r="Q40" s="519"/>
      <c r="S40" s="602"/>
      <c r="T40" s="603"/>
    </row>
    <row r="41" spans="1:20" ht="15.75" customHeight="1">
      <c r="A41" s="670"/>
      <c r="C41" s="175"/>
      <c r="D41" s="671"/>
      <c r="E41" s="671"/>
      <c r="F41" s="671"/>
      <c r="G41" s="274"/>
      <c r="H41" s="519"/>
      <c r="I41" s="522"/>
      <c r="J41" s="520"/>
      <c r="K41" s="672"/>
      <c r="Q41" s="519"/>
      <c r="S41" s="602"/>
      <c r="T41" s="603"/>
    </row>
    <row r="42" spans="1:20" ht="15.75" customHeight="1">
      <c r="A42" s="670"/>
      <c r="C42" s="175"/>
      <c r="D42" s="671"/>
      <c r="E42" s="671"/>
      <c r="F42" s="671"/>
      <c r="G42" s="274"/>
      <c r="H42" s="519"/>
      <c r="I42" s="522"/>
      <c r="J42" s="520"/>
      <c r="K42" s="672"/>
      <c r="Q42" s="519"/>
      <c r="S42" s="602"/>
      <c r="T42" s="603"/>
    </row>
    <row r="43" spans="1:20" ht="15.75" customHeight="1">
      <c r="A43" s="670"/>
      <c r="C43" s="175"/>
      <c r="D43" s="671"/>
      <c r="E43" s="671"/>
      <c r="F43" s="671"/>
      <c r="G43" s="274"/>
      <c r="H43" s="519"/>
      <c r="I43" s="522"/>
      <c r="J43" s="520"/>
      <c r="K43" s="672"/>
      <c r="Q43" s="519"/>
      <c r="S43" s="602"/>
      <c r="T43" s="603"/>
    </row>
    <row r="44" spans="1:20" ht="15.75" customHeight="1">
      <c r="A44" s="670"/>
      <c r="C44" s="175"/>
      <c r="D44" s="671"/>
      <c r="E44" s="671"/>
      <c r="F44" s="671"/>
      <c r="G44" s="274"/>
      <c r="H44" s="519"/>
      <c r="I44" s="522"/>
      <c r="J44" s="520"/>
      <c r="K44" s="672"/>
      <c r="Q44" s="519"/>
      <c r="S44" s="602"/>
      <c r="T44" s="603"/>
    </row>
    <row r="45" spans="1:20" ht="15.75" customHeight="1">
      <c r="A45" s="670"/>
      <c r="C45" s="175"/>
      <c r="D45" s="671"/>
      <c r="E45" s="671"/>
      <c r="F45" s="671"/>
      <c r="G45" s="274"/>
      <c r="H45" s="519"/>
      <c r="I45" s="522"/>
      <c r="J45" s="520"/>
      <c r="K45" s="672"/>
      <c r="Q45" s="519"/>
      <c r="S45" s="602"/>
      <c r="T45" s="603"/>
    </row>
    <row r="46" spans="1:20" ht="15.75" customHeight="1">
      <c r="A46" s="670"/>
      <c r="C46" s="175"/>
      <c r="D46" s="671"/>
      <c r="E46" s="671"/>
      <c r="F46" s="671"/>
      <c r="G46" s="274"/>
      <c r="H46" s="519"/>
      <c r="I46" s="522"/>
      <c r="J46" s="520"/>
      <c r="K46" s="672"/>
      <c r="Q46" s="519"/>
      <c r="S46" s="602"/>
      <c r="T46" s="603"/>
    </row>
    <row r="47" spans="1:20" ht="15.75" customHeight="1">
      <c r="A47" s="670"/>
      <c r="C47" s="175"/>
      <c r="D47" s="671"/>
      <c r="E47" s="671"/>
      <c r="F47" s="671"/>
      <c r="G47" s="274"/>
      <c r="H47" s="519"/>
      <c r="I47" s="522"/>
      <c r="J47" s="520"/>
      <c r="K47" s="672"/>
      <c r="Q47" s="519"/>
      <c r="S47" s="602"/>
      <c r="T47" s="603"/>
    </row>
    <row r="48" spans="1:20" ht="15.75" customHeight="1">
      <c r="A48" s="670"/>
      <c r="C48" s="175"/>
      <c r="D48" s="671"/>
      <c r="E48" s="671"/>
      <c r="F48" s="671"/>
      <c r="G48" s="274"/>
      <c r="H48" s="519"/>
      <c r="I48" s="522"/>
      <c r="J48" s="520"/>
      <c r="K48" s="672"/>
      <c r="Q48" s="519"/>
      <c r="S48" s="602"/>
      <c r="T48" s="603"/>
    </row>
    <row r="49" spans="1:20" ht="15.75" customHeight="1">
      <c r="A49" s="670"/>
      <c r="C49" s="175"/>
      <c r="D49" s="671"/>
      <c r="E49" s="671"/>
      <c r="F49" s="671"/>
      <c r="G49" s="274"/>
      <c r="H49" s="519"/>
      <c r="I49" s="522"/>
      <c r="J49" s="520"/>
      <c r="K49" s="672"/>
      <c r="Q49" s="519"/>
      <c r="S49" s="602"/>
      <c r="T49" s="603"/>
    </row>
    <row r="50" spans="1:20" ht="15.75" customHeight="1">
      <c r="A50" s="670"/>
      <c r="C50" s="175"/>
      <c r="D50" s="671"/>
      <c r="E50" s="671"/>
      <c r="F50" s="671"/>
      <c r="G50" s="274"/>
      <c r="H50" s="519"/>
      <c r="I50" s="522"/>
      <c r="J50" s="520"/>
      <c r="K50" s="672"/>
      <c r="Q50" s="519"/>
      <c r="S50" s="602"/>
      <c r="T50" s="603"/>
    </row>
    <row r="51" spans="1:20" ht="15.75" customHeight="1">
      <c r="A51" s="670"/>
      <c r="C51" s="175"/>
      <c r="D51" s="671"/>
      <c r="E51" s="671"/>
      <c r="F51" s="671"/>
      <c r="G51" s="274"/>
      <c r="H51" s="519"/>
      <c r="I51" s="522"/>
      <c r="J51" s="520"/>
      <c r="K51" s="672"/>
      <c r="Q51" s="519"/>
      <c r="S51" s="602"/>
      <c r="T51" s="603"/>
    </row>
    <row r="52" spans="1:20" ht="15.75" customHeight="1">
      <c r="A52" s="670"/>
      <c r="C52" s="175"/>
      <c r="D52" s="671"/>
      <c r="E52" s="671"/>
      <c r="F52" s="671"/>
      <c r="G52" s="274"/>
      <c r="H52" s="519"/>
      <c r="I52" s="522"/>
      <c r="J52" s="520"/>
      <c r="K52" s="672"/>
      <c r="Q52" s="519"/>
      <c r="S52" s="602"/>
      <c r="T52" s="603"/>
    </row>
    <row r="53" spans="1:20" ht="15.75" customHeight="1">
      <c r="A53" s="670"/>
      <c r="C53" s="175"/>
      <c r="D53" s="671"/>
      <c r="E53" s="671"/>
      <c r="F53" s="671"/>
      <c r="G53" s="274"/>
      <c r="H53" s="519"/>
      <c r="I53" s="522"/>
      <c r="J53" s="520"/>
      <c r="K53" s="672"/>
      <c r="Q53" s="519"/>
      <c r="S53" s="602"/>
      <c r="T53" s="603"/>
    </row>
    <row r="54" spans="1:20" ht="15.75" customHeight="1">
      <c r="A54" s="670"/>
      <c r="C54" s="175"/>
      <c r="D54" s="671"/>
      <c r="E54" s="671"/>
      <c r="F54" s="671"/>
      <c r="G54" s="274"/>
      <c r="H54" s="519"/>
      <c r="I54" s="522"/>
      <c r="J54" s="520"/>
      <c r="K54" s="672"/>
      <c r="Q54" s="519"/>
      <c r="S54" s="602"/>
      <c r="T54" s="603"/>
    </row>
    <row r="55" spans="1:20" ht="15.75" customHeight="1">
      <c r="A55" s="670"/>
      <c r="C55" s="175"/>
      <c r="D55" s="671"/>
      <c r="E55" s="671"/>
      <c r="F55" s="671"/>
      <c r="G55" s="274"/>
      <c r="H55" s="519"/>
      <c r="I55" s="522"/>
      <c r="J55" s="520"/>
      <c r="K55" s="672"/>
      <c r="Q55" s="519"/>
      <c r="S55" s="602"/>
      <c r="T55" s="603"/>
    </row>
    <row r="56" spans="1:20" ht="15.75" customHeight="1">
      <c r="A56" s="670"/>
      <c r="C56" s="175"/>
      <c r="D56" s="671"/>
      <c r="E56" s="671"/>
      <c r="F56" s="671"/>
      <c r="G56" s="274"/>
      <c r="H56" s="519"/>
      <c r="I56" s="522"/>
      <c r="J56" s="520"/>
      <c r="K56" s="672"/>
      <c r="Q56" s="519"/>
      <c r="S56" s="602"/>
      <c r="T56" s="603"/>
    </row>
    <row r="57" spans="1:20" ht="15.75" customHeight="1">
      <c r="A57" s="670"/>
      <c r="C57" s="175"/>
      <c r="D57" s="671"/>
      <c r="E57" s="671"/>
      <c r="F57" s="671"/>
      <c r="G57" s="274"/>
      <c r="H57" s="519"/>
      <c r="I57" s="522"/>
      <c r="J57" s="520"/>
      <c r="K57" s="672"/>
      <c r="Q57" s="519"/>
      <c r="S57" s="602"/>
      <c r="T57" s="603"/>
    </row>
    <row r="58" spans="1:20" ht="15.75" customHeight="1">
      <c r="A58" s="670"/>
      <c r="C58" s="175"/>
      <c r="D58" s="671"/>
      <c r="E58" s="671"/>
      <c r="F58" s="671"/>
      <c r="G58" s="274"/>
      <c r="H58" s="519"/>
      <c r="I58" s="522"/>
      <c r="J58" s="520"/>
      <c r="K58" s="672"/>
      <c r="Q58" s="519"/>
      <c r="S58" s="602"/>
      <c r="T58" s="603"/>
    </row>
    <row r="59" spans="1:20" ht="15.75" customHeight="1">
      <c r="A59" s="670"/>
      <c r="C59" s="175"/>
      <c r="D59" s="671"/>
      <c r="E59" s="671"/>
      <c r="F59" s="671"/>
      <c r="G59" s="274"/>
      <c r="H59" s="519"/>
      <c r="I59" s="522"/>
      <c r="J59" s="520"/>
      <c r="K59" s="672"/>
      <c r="Q59" s="519"/>
      <c r="S59" s="602"/>
      <c r="T59" s="603"/>
    </row>
    <row r="60" spans="1:20" ht="15.75" customHeight="1">
      <c r="A60" s="670"/>
      <c r="C60" s="175"/>
      <c r="D60" s="671"/>
      <c r="E60" s="671"/>
      <c r="F60" s="671"/>
      <c r="G60" s="274"/>
      <c r="H60" s="519"/>
      <c r="I60" s="522"/>
      <c r="J60" s="520"/>
      <c r="K60" s="672"/>
      <c r="Q60" s="519"/>
      <c r="S60" s="602"/>
      <c r="T60" s="603"/>
    </row>
    <row r="61" spans="1:20" ht="15.75" customHeight="1">
      <c r="A61" s="670"/>
      <c r="C61" s="175"/>
      <c r="D61" s="671"/>
      <c r="E61" s="671"/>
      <c r="F61" s="671"/>
      <c r="G61" s="274"/>
      <c r="H61" s="519"/>
      <c r="I61" s="522"/>
      <c r="J61" s="520"/>
      <c r="K61" s="672"/>
      <c r="Q61" s="519"/>
      <c r="S61" s="602"/>
      <c r="T61" s="603"/>
    </row>
    <row r="62" spans="1:20" ht="15.75" customHeight="1">
      <c r="A62" s="670"/>
      <c r="C62" s="175"/>
      <c r="D62" s="671"/>
      <c r="E62" s="671"/>
      <c r="F62" s="671"/>
      <c r="G62" s="274"/>
      <c r="H62" s="519"/>
      <c r="I62" s="522"/>
      <c r="J62" s="520"/>
      <c r="K62" s="672"/>
      <c r="Q62" s="519"/>
      <c r="S62" s="602"/>
      <c r="T62" s="603"/>
    </row>
    <row r="63" spans="1:20" ht="15.75" customHeight="1">
      <c r="A63" s="670"/>
      <c r="C63" s="175"/>
      <c r="D63" s="671"/>
      <c r="E63" s="671"/>
      <c r="F63" s="671"/>
      <c r="G63" s="274"/>
      <c r="H63" s="519"/>
      <c r="I63" s="522"/>
      <c r="J63" s="520"/>
      <c r="K63" s="672"/>
      <c r="Q63" s="519"/>
      <c r="S63" s="602"/>
      <c r="T63" s="603"/>
    </row>
    <row r="64" spans="1:20" ht="15.75" customHeight="1">
      <c r="A64" s="670"/>
      <c r="C64" s="175"/>
      <c r="D64" s="671"/>
      <c r="E64" s="671"/>
      <c r="F64" s="671"/>
      <c r="G64" s="274"/>
      <c r="H64" s="519"/>
      <c r="I64" s="522"/>
      <c r="J64" s="520"/>
      <c r="K64" s="672"/>
      <c r="Q64" s="519"/>
      <c r="S64" s="602"/>
      <c r="T64" s="603"/>
    </row>
    <row r="65" spans="1:20" ht="15.75" customHeight="1">
      <c r="A65" s="670"/>
      <c r="C65" s="175"/>
      <c r="D65" s="671"/>
      <c r="E65" s="671"/>
      <c r="F65" s="671"/>
      <c r="G65" s="274"/>
      <c r="H65" s="519"/>
      <c r="I65" s="522"/>
      <c r="J65" s="520"/>
      <c r="K65" s="672"/>
      <c r="Q65" s="519"/>
      <c r="S65" s="602"/>
      <c r="T65" s="603"/>
    </row>
    <row r="66" spans="1:20" ht="15.75" customHeight="1">
      <c r="A66" s="670"/>
      <c r="C66" s="175"/>
      <c r="D66" s="671"/>
      <c r="E66" s="671"/>
      <c r="F66" s="671"/>
      <c r="G66" s="274"/>
      <c r="H66" s="519"/>
      <c r="I66" s="522"/>
      <c r="J66" s="520"/>
      <c r="K66" s="672"/>
      <c r="Q66" s="519"/>
      <c r="S66" s="602"/>
      <c r="T66" s="603"/>
    </row>
    <row r="67" spans="1:20" ht="15.75" customHeight="1">
      <c r="A67" s="670"/>
      <c r="C67" s="175"/>
      <c r="D67" s="671"/>
      <c r="E67" s="671"/>
      <c r="F67" s="671"/>
      <c r="G67" s="274"/>
      <c r="H67" s="519"/>
      <c r="I67" s="522"/>
      <c r="J67" s="520"/>
      <c r="K67" s="672"/>
      <c r="Q67" s="519"/>
      <c r="S67" s="602"/>
      <c r="T67" s="603"/>
    </row>
    <row r="68" spans="1:20" ht="15.75" customHeight="1">
      <c r="A68" s="670"/>
      <c r="C68" s="175"/>
      <c r="D68" s="671"/>
      <c r="E68" s="671"/>
      <c r="F68" s="671"/>
      <c r="G68" s="274"/>
      <c r="H68" s="519"/>
      <c r="I68" s="522"/>
      <c r="J68" s="520"/>
      <c r="K68" s="672"/>
      <c r="Q68" s="519"/>
      <c r="S68" s="602"/>
      <c r="T68" s="603"/>
    </row>
    <row r="69" spans="1:20" ht="15.75" customHeight="1">
      <c r="A69" s="670"/>
      <c r="C69" s="175"/>
      <c r="D69" s="671"/>
      <c r="E69" s="671"/>
      <c r="F69" s="671"/>
      <c r="G69" s="274"/>
      <c r="H69" s="519"/>
      <c r="I69" s="522"/>
      <c r="J69" s="520"/>
      <c r="K69" s="672"/>
      <c r="Q69" s="519"/>
      <c r="S69" s="602"/>
      <c r="T69" s="603"/>
    </row>
    <row r="70" spans="1:20" ht="15.75" customHeight="1">
      <c r="A70" s="670"/>
      <c r="C70" s="175"/>
      <c r="D70" s="671"/>
      <c r="E70" s="671"/>
      <c r="F70" s="671"/>
      <c r="G70" s="274"/>
      <c r="H70" s="519"/>
      <c r="I70" s="522"/>
      <c r="J70" s="520"/>
      <c r="K70" s="672"/>
      <c r="Q70" s="519"/>
      <c r="S70" s="602"/>
      <c r="T70" s="603"/>
    </row>
    <row r="71" spans="1:20" ht="15.75" customHeight="1">
      <c r="A71" s="670"/>
      <c r="C71" s="175"/>
      <c r="D71" s="671"/>
      <c r="E71" s="671"/>
      <c r="F71" s="671"/>
      <c r="G71" s="274"/>
      <c r="H71" s="519"/>
      <c r="I71" s="522"/>
      <c r="J71" s="520"/>
      <c r="K71" s="672"/>
      <c r="Q71" s="519"/>
      <c r="S71" s="602"/>
      <c r="T71" s="603"/>
    </row>
    <row r="72" spans="1:20" ht="15.75" customHeight="1">
      <c r="A72" s="670"/>
      <c r="C72" s="175"/>
      <c r="D72" s="671"/>
      <c r="E72" s="671"/>
      <c r="F72" s="671"/>
      <c r="G72" s="274"/>
      <c r="H72" s="519"/>
      <c r="I72" s="522"/>
      <c r="J72" s="520"/>
      <c r="K72" s="672"/>
      <c r="Q72" s="519"/>
      <c r="S72" s="602"/>
      <c r="T72" s="603"/>
    </row>
    <row r="73" spans="1:20" ht="15.75" customHeight="1">
      <c r="A73" s="670"/>
      <c r="C73" s="175"/>
      <c r="D73" s="671"/>
      <c r="E73" s="671"/>
      <c r="F73" s="671"/>
      <c r="G73" s="274"/>
      <c r="H73" s="519"/>
      <c r="I73" s="522"/>
      <c r="J73" s="520"/>
      <c r="K73" s="672"/>
      <c r="Q73" s="519"/>
      <c r="S73" s="602"/>
      <c r="T73" s="603"/>
    </row>
    <row r="74" spans="1:20" ht="15.75" customHeight="1">
      <c r="A74" s="670"/>
      <c r="C74" s="175"/>
      <c r="D74" s="671"/>
      <c r="E74" s="671"/>
      <c r="F74" s="671"/>
      <c r="G74" s="274"/>
      <c r="H74" s="519"/>
      <c r="I74" s="522"/>
      <c r="J74" s="520"/>
      <c r="K74" s="672"/>
      <c r="Q74" s="519"/>
      <c r="S74" s="602"/>
      <c r="T74" s="603"/>
    </row>
    <row r="75" spans="1:20" ht="15.75" customHeight="1">
      <c r="A75" s="670"/>
      <c r="C75" s="175"/>
      <c r="D75" s="671"/>
      <c r="E75" s="671"/>
      <c r="F75" s="671"/>
      <c r="G75" s="274"/>
      <c r="H75" s="519"/>
      <c r="I75" s="522"/>
      <c r="J75" s="520"/>
      <c r="K75" s="672"/>
      <c r="Q75" s="519"/>
      <c r="S75" s="602"/>
      <c r="T75" s="603"/>
    </row>
    <row r="76" spans="1:20" ht="15.75" customHeight="1">
      <c r="A76" s="670"/>
      <c r="C76" s="175"/>
      <c r="D76" s="671"/>
      <c r="E76" s="671"/>
      <c r="F76" s="671"/>
      <c r="G76" s="274"/>
      <c r="H76" s="519"/>
      <c r="I76" s="522"/>
      <c r="J76" s="520"/>
      <c r="K76" s="672"/>
      <c r="Q76" s="519"/>
      <c r="S76" s="602"/>
      <c r="T76" s="603"/>
    </row>
    <row r="77" spans="1:20" ht="15.75" customHeight="1">
      <c r="A77" s="670"/>
      <c r="C77" s="175"/>
      <c r="D77" s="671"/>
      <c r="E77" s="671"/>
      <c r="F77" s="671"/>
      <c r="G77" s="274"/>
      <c r="H77" s="519"/>
      <c r="I77" s="522"/>
      <c r="J77" s="520"/>
      <c r="K77" s="672"/>
      <c r="Q77" s="519"/>
      <c r="S77" s="602"/>
      <c r="T77" s="603"/>
    </row>
    <row r="78" spans="1:20" ht="15.75" customHeight="1">
      <c r="A78" s="670"/>
      <c r="C78" s="175"/>
      <c r="D78" s="671"/>
      <c r="E78" s="671"/>
      <c r="F78" s="671"/>
      <c r="G78" s="274"/>
      <c r="H78" s="519"/>
      <c r="I78" s="522"/>
      <c r="J78" s="520"/>
      <c r="K78" s="672"/>
      <c r="Q78" s="519"/>
      <c r="S78" s="602"/>
      <c r="T78" s="603"/>
    </row>
    <row r="79" spans="1:20" ht="15.75" customHeight="1">
      <c r="A79" s="670"/>
      <c r="C79" s="175"/>
      <c r="D79" s="671"/>
      <c r="E79" s="671"/>
      <c r="F79" s="671"/>
      <c r="G79" s="274"/>
      <c r="H79" s="519"/>
      <c r="I79" s="522"/>
      <c r="J79" s="520"/>
      <c r="K79" s="672"/>
      <c r="Q79" s="519"/>
      <c r="S79" s="602"/>
      <c r="T79" s="603"/>
    </row>
    <row r="80" spans="1:20" ht="15.75" customHeight="1">
      <c r="A80" s="670"/>
      <c r="C80" s="175"/>
      <c r="D80" s="671"/>
      <c r="E80" s="671"/>
      <c r="F80" s="671"/>
      <c r="G80" s="274"/>
      <c r="H80" s="519"/>
      <c r="I80" s="522"/>
      <c r="J80" s="520"/>
      <c r="K80" s="672"/>
      <c r="Q80" s="519"/>
      <c r="S80" s="602"/>
      <c r="T80" s="603"/>
    </row>
    <row r="81" spans="1:20" ht="15.75" customHeight="1">
      <c r="A81" s="670"/>
      <c r="C81" s="175"/>
      <c r="D81" s="671"/>
      <c r="E81" s="671"/>
      <c r="F81" s="671"/>
      <c r="G81" s="274"/>
      <c r="H81" s="519"/>
      <c r="I81" s="522"/>
      <c r="J81" s="520"/>
      <c r="K81" s="672"/>
      <c r="Q81" s="519"/>
      <c r="S81" s="602"/>
      <c r="T81" s="603"/>
    </row>
    <row r="82" spans="1:20" ht="15.75" customHeight="1">
      <c r="A82" s="670"/>
      <c r="C82" s="175"/>
      <c r="D82" s="671"/>
      <c r="E82" s="671"/>
      <c r="F82" s="671"/>
      <c r="G82" s="274"/>
      <c r="H82" s="519"/>
      <c r="I82" s="522"/>
      <c r="J82" s="520"/>
      <c r="K82" s="672"/>
      <c r="Q82" s="519"/>
      <c r="S82" s="602"/>
      <c r="T82" s="603"/>
    </row>
    <row r="83" spans="1:20" ht="15.75" customHeight="1">
      <c r="A83" s="670"/>
      <c r="C83" s="175"/>
      <c r="D83" s="671"/>
      <c r="E83" s="671"/>
      <c r="F83" s="671"/>
      <c r="G83" s="274"/>
      <c r="H83" s="519"/>
      <c r="I83" s="522"/>
      <c r="J83" s="520"/>
      <c r="K83" s="672"/>
      <c r="Q83" s="519"/>
      <c r="S83" s="602"/>
      <c r="T83" s="603"/>
    </row>
    <row r="84" spans="1:20" ht="15.75" customHeight="1">
      <c r="A84" s="670"/>
      <c r="C84" s="175"/>
      <c r="D84" s="671"/>
      <c r="E84" s="671"/>
      <c r="F84" s="671"/>
      <c r="G84" s="274"/>
      <c r="H84" s="519"/>
      <c r="I84" s="522"/>
      <c r="J84" s="520"/>
      <c r="K84" s="672"/>
      <c r="Q84" s="519"/>
      <c r="S84" s="602"/>
      <c r="T84" s="603"/>
    </row>
    <row r="85" spans="1:20" ht="15.75" customHeight="1">
      <c r="A85" s="670"/>
      <c r="C85" s="175"/>
      <c r="D85" s="671"/>
      <c r="E85" s="671"/>
      <c r="F85" s="671"/>
      <c r="G85" s="274"/>
      <c r="H85" s="519"/>
      <c r="I85" s="522"/>
      <c r="J85" s="520"/>
      <c r="K85" s="672"/>
      <c r="Q85" s="519"/>
      <c r="S85" s="602"/>
      <c r="T85" s="603"/>
    </row>
    <row r="86" spans="1:20" ht="15.75" customHeight="1">
      <c r="A86" s="670"/>
      <c r="C86" s="175"/>
      <c r="D86" s="671"/>
      <c r="E86" s="671"/>
      <c r="F86" s="671"/>
      <c r="G86" s="274"/>
      <c r="H86" s="519"/>
      <c r="I86" s="522"/>
      <c r="J86" s="520"/>
      <c r="K86" s="672"/>
      <c r="Q86" s="519"/>
      <c r="S86" s="602"/>
      <c r="T86" s="603"/>
    </row>
    <row r="87" spans="1:20" ht="15.75" customHeight="1">
      <c r="A87" s="670"/>
      <c r="C87" s="175"/>
      <c r="D87" s="671"/>
      <c r="E87" s="671"/>
      <c r="F87" s="671"/>
      <c r="G87" s="274"/>
      <c r="H87" s="519"/>
      <c r="I87" s="522"/>
      <c r="J87" s="520"/>
      <c r="K87" s="672"/>
      <c r="Q87" s="519"/>
      <c r="S87" s="602"/>
      <c r="T87" s="603"/>
    </row>
    <row r="88" spans="1:20" ht="15.75" customHeight="1">
      <c r="A88" s="670"/>
      <c r="C88" s="175"/>
      <c r="D88" s="671"/>
      <c r="E88" s="671"/>
      <c r="F88" s="671"/>
      <c r="G88" s="274"/>
      <c r="H88" s="519"/>
      <c r="I88" s="522"/>
      <c r="J88" s="520"/>
      <c r="K88" s="672"/>
      <c r="Q88" s="519"/>
      <c r="S88" s="602"/>
      <c r="T88" s="603"/>
    </row>
    <row r="89" spans="1:20" ht="15.75" customHeight="1">
      <c r="A89" s="670"/>
      <c r="C89" s="175"/>
      <c r="D89" s="671"/>
      <c r="E89" s="671"/>
      <c r="F89" s="671"/>
      <c r="G89" s="274"/>
      <c r="H89" s="519"/>
      <c r="I89" s="522"/>
      <c r="J89" s="520"/>
      <c r="K89" s="672"/>
      <c r="Q89" s="519"/>
      <c r="S89" s="602"/>
      <c r="T89" s="603"/>
    </row>
    <row r="90" spans="1:20" ht="15.75" customHeight="1">
      <c r="A90" s="670"/>
      <c r="C90" s="175"/>
      <c r="D90" s="671"/>
      <c r="E90" s="671"/>
      <c r="F90" s="671"/>
      <c r="G90" s="274"/>
      <c r="H90" s="519"/>
      <c r="I90" s="522"/>
      <c r="J90" s="520"/>
      <c r="K90" s="672"/>
      <c r="Q90" s="519"/>
      <c r="S90" s="602"/>
      <c r="T90" s="603"/>
    </row>
    <row r="91" spans="1:20" ht="15.75" customHeight="1">
      <c r="A91" s="670"/>
      <c r="C91" s="175"/>
      <c r="D91" s="671"/>
      <c r="E91" s="671"/>
      <c r="F91" s="671"/>
      <c r="G91" s="274"/>
      <c r="H91" s="519"/>
      <c r="I91" s="522"/>
      <c r="J91" s="520"/>
      <c r="K91" s="672"/>
      <c r="Q91" s="519"/>
      <c r="S91" s="602"/>
      <c r="T91" s="603"/>
    </row>
    <row r="92" spans="1:20" ht="15.75" customHeight="1">
      <c r="A92" s="670"/>
      <c r="C92" s="175"/>
      <c r="D92" s="671"/>
      <c r="E92" s="671"/>
      <c r="F92" s="671"/>
      <c r="G92" s="274"/>
      <c r="H92" s="519"/>
      <c r="I92" s="522"/>
      <c r="J92" s="520"/>
      <c r="K92" s="672"/>
      <c r="Q92" s="519"/>
      <c r="S92" s="602"/>
      <c r="T92" s="603"/>
    </row>
    <row r="93" spans="1:20" ht="15.75" customHeight="1">
      <c r="A93" s="670"/>
      <c r="C93" s="175"/>
      <c r="D93" s="671"/>
      <c r="E93" s="671"/>
      <c r="F93" s="671"/>
      <c r="G93" s="274"/>
      <c r="H93" s="519"/>
      <c r="I93" s="522"/>
      <c r="J93" s="520"/>
      <c r="K93" s="672"/>
      <c r="Q93" s="519"/>
      <c r="S93" s="602"/>
      <c r="T93" s="603"/>
    </row>
    <row r="94" spans="1:20" ht="15.75" customHeight="1">
      <c r="A94" s="670"/>
      <c r="C94" s="175"/>
      <c r="D94" s="671"/>
      <c r="E94" s="671"/>
      <c r="F94" s="671"/>
      <c r="G94" s="274"/>
      <c r="H94" s="519"/>
      <c r="I94" s="522"/>
      <c r="J94" s="520"/>
      <c r="K94" s="672"/>
      <c r="Q94" s="519"/>
      <c r="S94" s="602"/>
      <c r="T94" s="603"/>
    </row>
    <row r="95" spans="1:20" ht="15.75" customHeight="1">
      <c r="A95" s="670"/>
      <c r="C95" s="175"/>
      <c r="D95" s="671"/>
      <c r="E95" s="671"/>
      <c r="F95" s="671"/>
      <c r="G95" s="274"/>
      <c r="H95" s="519"/>
      <c r="I95" s="522"/>
      <c r="J95" s="520"/>
      <c r="K95" s="672"/>
      <c r="Q95" s="519"/>
      <c r="S95" s="602"/>
      <c r="T95" s="603"/>
    </row>
    <row r="96" spans="1:20" ht="15.75" customHeight="1">
      <c r="A96" s="670"/>
      <c r="C96" s="175"/>
      <c r="D96" s="671"/>
      <c r="E96" s="671"/>
      <c r="F96" s="671"/>
      <c r="G96" s="274"/>
      <c r="H96" s="519"/>
      <c r="I96" s="522"/>
      <c r="J96" s="520"/>
      <c r="K96" s="672"/>
      <c r="Q96" s="519"/>
      <c r="S96" s="602"/>
      <c r="T96" s="603"/>
    </row>
    <row r="97" spans="1:20" ht="15.75" customHeight="1">
      <c r="A97" s="670"/>
      <c r="C97" s="175"/>
      <c r="D97" s="671"/>
      <c r="E97" s="671"/>
      <c r="F97" s="671"/>
      <c r="G97" s="274"/>
      <c r="H97" s="519"/>
      <c r="I97" s="522"/>
      <c r="J97" s="520"/>
      <c r="K97" s="672"/>
      <c r="Q97" s="519"/>
      <c r="S97" s="602"/>
      <c r="T97" s="603"/>
    </row>
    <row r="98" spans="1:20" ht="15.75" customHeight="1">
      <c r="A98" s="670"/>
      <c r="C98" s="175"/>
      <c r="D98" s="671"/>
      <c r="E98" s="671"/>
      <c r="F98" s="671"/>
      <c r="G98" s="274"/>
      <c r="H98" s="519"/>
      <c r="I98" s="522"/>
      <c r="J98" s="520"/>
      <c r="K98" s="672"/>
      <c r="Q98" s="519"/>
      <c r="S98" s="602"/>
      <c r="T98" s="603"/>
    </row>
    <row r="99" spans="1:20" ht="15.75" customHeight="1">
      <c r="A99" s="670"/>
      <c r="C99" s="175"/>
      <c r="D99" s="671"/>
      <c r="E99" s="671"/>
      <c r="F99" s="671"/>
      <c r="G99" s="274"/>
      <c r="H99" s="519"/>
      <c r="I99" s="522"/>
      <c r="J99" s="520"/>
      <c r="K99" s="672"/>
      <c r="Q99" s="519"/>
      <c r="S99" s="602"/>
      <c r="T99" s="603"/>
    </row>
    <row r="100" spans="1:20" ht="15.75" customHeight="1">
      <c r="A100" s="670"/>
      <c r="C100" s="175"/>
      <c r="D100" s="671"/>
      <c r="E100" s="671"/>
      <c r="F100" s="671"/>
      <c r="G100" s="274"/>
      <c r="H100" s="519"/>
      <c r="I100" s="522"/>
      <c r="J100" s="520"/>
      <c r="K100" s="672"/>
      <c r="Q100" s="519"/>
      <c r="S100" s="602"/>
      <c r="T100" s="603"/>
    </row>
    <row r="101" spans="1:20" ht="15.75" customHeight="1">
      <c r="A101" s="670"/>
      <c r="C101" s="175"/>
      <c r="D101" s="671"/>
      <c r="E101" s="671"/>
      <c r="F101" s="671"/>
      <c r="G101" s="274"/>
      <c r="H101" s="519"/>
      <c r="I101" s="522"/>
      <c r="J101" s="520"/>
      <c r="K101" s="672"/>
      <c r="Q101" s="519"/>
      <c r="S101" s="602"/>
      <c r="T101" s="603"/>
    </row>
    <row r="102" spans="1:20" ht="15.75" customHeight="1">
      <c r="A102" s="670"/>
      <c r="C102" s="175"/>
      <c r="D102" s="671"/>
      <c r="E102" s="671"/>
      <c r="F102" s="671"/>
      <c r="G102" s="274"/>
      <c r="H102" s="519"/>
      <c r="I102" s="522"/>
      <c r="J102" s="520"/>
      <c r="K102" s="672"/>
      <c r="Q102" s="519"/>
      <c r="S102" s="602"/>
      <c r="T102" s="603"/>
    </row>
    <row r="103" spans="1:20" ht="15.75" customHeight="1">
      <c r="A103" s="670"/>
      <c r="C103" s="175"/>
      <c r="D103" s="671"/>
      <c r="E103" s="671"/>
      <c r="F103" s="671"/>
      <c r="G103" s="274"/>
      <c r="H103" s="519"/>
      <c r="I103" s="522"/>
      <c r="J103" s="520"/>
      <c r="K103" s="672"/>
      <c r="Q103" s="519"/>
      <c r="S103" s="602"/>
      <c r="T103" s="603"/>
    </row>
    <row r="104" spans="1:20" ht="15.75" customHeight="1">
      <c r="A104" s="670"/>
      <c r="C104" s="175"/>
      <c r="D104" s="671"/>
      <c r="E104" s="671"/>
      <c r="F104" s="671"/>
      <c r="G104" s="274"/>
      <c r="H104" s="519"/>
      <c r="I104" s="522"/>
      <c r="J104" s="520"/>
      <c r="K104" s="672"/>
      <c r="Q104" s="519"/>
      <c r="S104" s="602"/>
      <c r="T104" s="603"/>
    </row>
    <row r="105" spans="1:20" ht="15.75" customHeight="1">
      <c r="A105" s="670"/>
      <c r="C105" s="175"/>
      <c r="D105" s="671"/>
      <c r="E105" s="671"/>
      <c r="F105" s="671"/>
      <c r="G105" s="274"/>
      <c r="H105" s="519"/>
      <c r="I105" s="522"/>
      <c r="J105" s="520"/>
      <c r="K105" s="672"/>
      <c r="Q105" s="519"/>
      <c r="S105" s="602"/>
      <c r="T105" s="603"/>
    </row>
    <row r="106" spans="1:20" ht="15.75" customHeight="1">
      <c r="A106" s="670"/>
      <c r="C106" s="175"/>
      <c r="D106" s="671"/>
      <c r="E106" s="671"/>
      <c r="F106" s="671"/>
      <c r="G106" s="274"/>
      <c r="H106" s="519"/>
      <c r="I106" s="522"/>
      <c r="J106" s="520"/>
      <c r="K106" s="672"/>
      <c r="Q106" s="519"/>
      <c r="S106" s="602"/>
      <c r="T106" s="603"/>
    </row>
    <row r="107" spans="1:20" ht="15.75" customHeight="1">
      <c r="A107" s="670"/>
      <c r="C107" s="175"/>
      <c r="D107" s="671"/>
      <c r="E107" s="671"/>
      <c r="F107" s="671"/>
      <c r="G107" s="274"/>
      <c r="H107" s="519"/>
      <c r="I107" s="522"/>
      <c r="J107" s="520"/>
      <c r="K107" s="672"/>
      <c r="Q107" s="519"/>
      <c r="S107" s="602"/>
      <c r="T107" s="603"/>
    </row>
    <row r="108" spans="1:20" ht="15.75" customHeight="1">
      <c r="A108" s="670"/>
      <c r="C108" s="175"/>
      <c r="D108" s="671"/>
      <c r="E108" s="671"/>
      <c r="F108" s="671"/>
      <c r="G108" s="274"/>
      <c r="H108" s="519"/>
      <c r="I108" s="522"/>
      <c r="J108" s="520"/>
      <c r="K108" s="672"/>
      <c r="Q108" s="519"/>
      <c r="S108" s="602"/>
      <c r="T108" s="603"/>
    </row>
    <row r="109" spans="1:20" ht="15.75" customHeight="1">
      <c r="A109" s="670"/>
      <c r="C109" s="175"/>
      <c r="D109" s="671"/>
      <c r="E109" s="671"/>
      <c r="F109" s="671"/>
      <c r="G109" s="274"/>
      <c r="H109" s="519"/>
      <c r="I109" s="522"/>
      <c r="J109" s="520"/>
      <c r="K109" s="672"/>
      <c r="Q109" s="519"/>
      <c r="S109" s="602"/>
      <c r="T109" s="603"/>
    </row>
    <row r="110" spans="1:20" ht="15.75" customHeight="1">
      <c r="A110" s="670"/>
      <c r="C110" s="175"/>
      <c r="D110" s="671"/>
      <c r="E110" s="671"/>
      <c r="F110" s="671"/>
      <c r="G110" s="274"/>
      <c r="H110" s="519"/>
      <c r="I110" s="522"/>
      <c r="J110" s="520"/>
      <c r="K110" s="672"/>
      <c r="Q110" s="519"/>
      <c r="S110" s="602"/>
      <c r="T110" s="603"/>
    </row>
    <row r="111" spans="1:20" ht="15.75" customHeight="1">
      <c r="A111" s="670"/>
      <c r="C111" s="175"/>
      <c r="D111" s="671"/>
      <c r="E111" s="671"/>
      <c r="F111" s="671"/>
      <c r="G111" s="274"/>
      <c r="H111" s="519"/>
      <c r="I111" s="522"/>
      <c r="J111" s="520"/>
      <c r="K111" s="672"/>
      <c r="Q111" s="519"/>
      <c r="S111" s="602"/>
      <c r="T111" s="603"/>
    </row>
    <row r="112" spans="1:20" ht="15.75" customHeight="1">
      <c r="A112" s="670"/>
      <c r="C112" s="175"/>
      <c r="D112" s="671"/>
      <c r="E112" s="671"/>
      <c r="F112" s="671"/>
      <c r="G112" s="274"/>
      <c r="H112" s="519"/>
      <c r="I112" s="522"/>
      <c r="J112" s="520"/>
      <c r="K112" s="672"/>
      <c r="Q112" s="519"/>
      <c r="S112" s="602"/>
      <c r="T112" s="603"/>
    </row>
    <row r="113" spans="1:20" ht="15.75" customHeight="1">
      <c r="A113" s="670"/>
      <c r="C113" s="175"/>
      <c r="D113" s="671"/>
      <c r="E113" s="671"/>
      <c r="F113" s="671"/>
      <c r="G113" s="274"/>
      <c r="H113" s="519"/>
      <c r="I113" s="522"/>
      <c r="J113" s="520"/>
      <c r="K113" s="672"/>
      <c r="Q113" s="519"/>
      <c r="S113" s="602"/>
      <c r="T113" s="603"/>
    </row>
    <row r="114" spans="1:20" ht="15.75" customHeight="1">
      <c r="A114" s="670"/>
      <c r="C114" s="175"/>
      <c r="D114" s="671"/>
      <c r="E114" s="671"/>
      <c r="F114" s="671"/>
      <c r="G114" s="274"/>
      <c r="H114" s="519"/>
      <c r="I114" s="522"/>
      <c r="J114" s="520"/>
      <c r="K114" s="672"/>
      <c r="Q114" s="519"/>
      <c r="S114" s="602"/>
      <c r="T114" s="603"/>
    </row>
    <row r="115" spans="1:20" ht="15.75" customHeight="1">
      <c r="A115" s="670"/>
      <c r="C115" s="175"/>
      <c r="D115" s="671"/>
      <c r="E115" s="671"/>
      <c r="F115" s="671"/>
      <c r="G115" s="274"/>
      <c r="H115" s="519"/>
      <c r="I115" s="522"/>
      <c r="J115" s="520"/>
      <c r="K115" s="672"/>
      <c r="Q115" s="519"/>
      <c r="S115" s="602"/>
      <c r="T115" s="603"/>
    </row>
    <row r="116" spans="1:20" ht="15.75" customHeight="1">
      <c r="A116" s="670"/>
      <c r="C116" s="175"/>
      <c r="D116" s="671"/>
      <c r="E116" s="671"/>
      <c r="F116" s="671"/>
      <c r="G116" s="274"/>
      <c r="H116" s="519"/>
      <c r="I116" s="522"/>
      <c r="J116" s="520"/>
      <c r="K116" s="672"/>
      <c r="Q116" s="519"/>
      <c r="S116" s="602"/>
      <c r="T116" s="603"/>
    </row>
    <row r="117" spans="1:20" ht="15.75" customHeight="1">
      <c r="A117" s="670"/>
      <c r="C117" s="175"/>
      <c r="D117" s="671"/>
      <c r="E117" s="671"/>
      <c r="F117" s="671"/>
      <c r="G117" s="274"/>
      <c r="H117" s="519"/>
      <c r="I117" s="522"/>
      <c r="J117" s="520"/>
      <c r="K117" s="672"/>
      <c r="Q117" s="519"/>
      <c r="S117" s="602"/>
      <c r="T117" s="603"/>
    </row>
    <row r="118" spans="1:20" ht="15.75" customHeight="1">
      <c r="A118" s="670"/>
      <c r="C118" s="175"/>
      <c r="D118" s="671"/>
      <c r="E118" s="671"/>
      <c r="F118" s="671"/>
      <c r="G118" s="274"/>
      <c r="H118" s="519"/>
      <c r="I118" s="522"/>
      <c r="J118" s="520"/>
      <c r="K118" s="672"/>
      <c r="Q118" s="519"/>
      <c r="S118" s="602"/>
      <c r="T118" s="603"/>
    </row>
    <row r="119" spans="1:20" ht="15.75" customHeight="1">
      <c r="A119" s="670"/>
      <c r="C119" s="175"/>
      <c r="D119" s="671"/>
      <c r="E119" s="671"/>
      <c r="F119" s="671"/>
      <c r="G119" s="274"/>
      <c r="H119" s="519"/>
      <c r="I119" s="522"/>
      <c r="J119" s="520"/>
      <c r="K119" s="672"/>
      <c r="Q119" s="519"/>
      <c r="S119" s="602"/>
      <c r="T119" s="603"/>
    </row>
    <row r="120" spans="1:20" ht="15.75" customHeight="1">
      <c r="A120" s="670"/>
      <c r="C120" s="175"/>
      <c r="D120" s="671"/>
      <c r="E120" s="671"/>
      <c r="F120" s="671"/>
      <c r="G120" s="274"/>
      <c r="H120" s="519"/>
      <c r="I120" s="522"/>
      <c r="J120" s="520"/>
      <c r="K120" s="672"/>
      <c r="Q120" s="519"/>
      <c r="S120" s="602"/>
      <c r="T120" s="603"/>
    </row>
    <row r="121" spans="1:20" ht="15.75" customHeight="1">
      <c r="A121" s="670"/>
      <c r="C121" s="175"/>
      <c r="D121" s="671"/>
      <c r="E121" s="671"/>
      <c r="F121" s="671"/>
      <c r="G121" s="274"/>
      <c r="H121" s="519"/>
      <c r="I121" s="522"/>
      <c r="J121" s="520"/>
      <c r="K121" s="672"/>
      <c r="Q121" s="519"/>
      <c r="S121" s="602"/>
      <c r="T121" s="603"/>
    </row>
    <row r="122" spans="1:20" ht="15.75" customHeight="1">
      <c r="A122" s="670"/>
      <c r="C122" s="175"/>
      <c r="D122" s="671"/>
      <c r="E122" s="671"/>
      <c r="F122" s="671"/>
      <c r="G122" s="274"/>
      <c r="H122" s="519"/>
      <c r="I122" s="522"/>
      <c r="J122" s="520"/>
      <c r="K122" s="672"/>
      <c r="Q122" s="519"/>
      <c r="S122" s="602"/>
      <c r="T122" s="603"/>
    </row>
    <row r="123" spans="1:20" ht="15.75" customHeight="1">
      <c r="A123" s="670"/>
      <c r="C123" s="175"/>
      <c r="D123" s="671"/>
      <c r="E123" s="671"/>
      <c r="F123" s="671"/>
      <c r="G123" s="274"/>
      <c r="H123" s="519"/>
      <c r="I123" s="522"/>
      <c r="J123" s="520"/>
      <c r="K123" s="672"/>
      <c r="Q123" s="519"/>
      <c r="S123" s="602"/>
      <c r="T123" s="603"/>
    </row>
    <row r="124" spans="1:20" ht="15.75" customHeight="1">
      <c r="A124" s="670"/>
      <c r="C124" s="175"/>
      <c r="D124" s="671"/>
      <c r="E124" s="671"/>
      <c r="F124" s="671"/>
      <c r="G124" s="274"/>
      <c r="H124" s="519"/>
      <c r="I124" s="522"/>
      <c r="J124" s="520"/>
      <c r="K124" s="672"/>
      <c r="Q124" s="519"/>
      <c r="S124" s="602"/>
      <c r="T124" s="603"/>
    </row>
    <row r="125" spans="1:20" ht="15.75" customHeight="1">
      <c r="A125" s="670"/>
      <c r="C125" s="175"/>
      <c r="D125" s="671"/>
      <c r="E125" s="671"/>
      <c r="F125" s="671"/>
      <c r="G125" s="274"/>
      <c r="H125" s="519"/>
      <c r="I125" s="522"/>
      <c r="J125" s="520"/>
      <c r="K125" s="672"/>
      <c r="Q125" s="519"/>
      <c r="S125" s="602"/>
      <c r="T125" s="603"/>
    </row>
    <row r="126" spans="1:20" ht="15.75" customHeight="1">
      <c r="A126" s="670"/>
      <c r="C126" s="175"/>
      <c r="D126" s="671"/>
      <c r="E126" s="671"/>
      <c r="F126" s="671"/>
      <c r="G126" s="274"/>
      <c r="H126" s="519"/>
      <c r="I126" s="522"/>
      <c r="J126" s="520"/>
      <c r="K126" s="672"/>
      <c r="Q126" s="519"/>
      <c r="S126" s="602"/>
      <c r="T126" s="603"/>
    </row>
    <row r="127" spans="1:20" ht="15.75" customHeight="1">
      <c r="A127" s="670"/>
      <c r="C127" s="175"/>
      <c r="D127" s="671"/>
      <c r="E127" s="671"/>
      <c r="F127" s="671"/>
      <c r="G127" s="274"/>
      <c r="H127" s="519"/>
      <c r="I127" s="522"/>
      <c r="J127" s="520"/>
      <c r="K127" s="672"/>
      <c r="Q127" s="519"/>
      <c r="S127" s="602"/>
      <c r="T127" s="603"/>
    </row>
    <row r="128" spans="1:20" ht="15.75" customHeight="1">
      <c r="A128" s="670"/>
      <c r="C128" s="175"/>
      <c r="D128" s="671"/>
      <c r="E128" s="671"/>
      <c r="F128" s="671"/>
      <c r="G128" s="274"/>
      <c r="H128" s="519"/>
      <c r="I128" s="522"/>
      <c r="J128" s="520"/>
      <c r="K128" s="672"/>
      <c r="Q128" s="519"/>
      <c r="S128" s="602"/>
      <c r="T128" s="603"/>
    </row>
    <row r="129" spans="1:20" ht="15.75" customHeight="1">
      <c r="A129" s="670"/>
      <c r="C129" s="175"/>
      <c r="D129" s="671"/>
      <c r="E129" s="671"/>
      <c r="F129" s="671"/>
      <c r="G129" s="274"/>
      <c r="H129" s="519"/>
      <c r="I129" s="522"/>
      <c r="J129" s="520"/>
      <c r="K129" s="672"/>
      <c r="Q129" s="519"/>
      <c r="S129" s="602"/>
      <c r="T129" s="603"/>
    </row>
    <row r="130" spans="1:20" ht="15.75" customHeight="1">
      <c r="A130" s="670"/>
      <c r="C130" s="175"/>
      <c r="D130" s="671"/>
      <c r="E130" s="671"/>
      <c r="F130" s="671"/>
      <c r="G130" s="274"/>
      <c r="H130" s="519"/>
      <c r="I130" s="522"/>
      <c r="J130" s="520"/>
      <c r="K130" s="672"/>
      <c r="Q130" s="519"/>
      <c r="S130" s="602"/>
      <c r="T130" s="603"/>
    </row>
    <row r="131" spans="1:20" ht="15.75" customHeight="1">
      <c r="A131" s="670"/>
      <c r="C131" s="175"/>
      <c r="D131" s="671"/>
      <c r="E131" s="671"/>
      <c r="F131" s="671"/>
      <c r="G131" s="274"/>
      <c r="H131" s="519"/>
      <c r="I131" s="522"/>
      <c r="J131" s="520"/>
      <c r="K131" s="672"/>
      <c r="Q131" s="519"/>
      <c r="S131" s="602"/>
      <c r="T131" s="603"/>
    </row>
    <row r="132" spans="1:20" ht="15.75" customHeight="1">
      <c r="A132" s="670"/>
      <c r="C132" s="175"/>
      <c r="D132" s="671"/>
      <c r="E132" s="671"/>
      <c r="F132" s="671"/>
      <c r="G132" s="274"/>
      <c r="H132" s="519"/>
      <c r="I132" s="522"/>
      <c r="J132" s="520"/>
      <c r="K132" s="672"/>
      <c r="Q132" s="519"/>
      <c r="S132" s="602"/>
      <c r="T132" s="603"/>
    </row>
    <row r="133" spans="1:20" ht="15.75" customHeight="1">
      <c r="A133" s="670"/>
      <c r="C133" s="175"/>
      <c r="D133" s="671"/>
      <c r="E133" s="671"/>
      <c r="F133" s="671"/>
      <c r="G133" s="274"/>
      <c r="H133" s="519"/>
      <c r="I133" s="522"/>
      <c r="J133" s="520"/>
      <c r="K133" s="672"/>
      <c r="Q133" s="519"/>
      <c r="S133" s="602"/>
      <c r="T133" s="603"/>
    </row>
    <row r="134" spans="1:20" ht="15.75" customHeight="1">
      <c r="A134" s="670"/>
      <c r="C134" s="175"/>
      <c r="D134" s="671"/>
      <c r="E134" s="671"/>
      <c r="F134" s="671"/>
      <c r="G134" s="274"/>
      <c r="H134" s="519"/>
      <c r="I134" s="522"/>
      <c r="J134" s="520"/>
      <c r="K134" s="672"/>
      <c r="Q134" s="519"/>
      <c r="S134" s="602"/>
      <c r="T134" s="603"/>
    </row>
    <row r="135" spans="1:20" ht="15.75" customHeight="1">
      <c r="A135" s="670"/>
      <c r="C135" s="175"/>
      <c r="D135" s="671"/>
      <c r="E135" s="671"/>
      <c r="F135" s="671"/>
      <c r="G135" s="274"/>
      <c r="H135" s="519"/>
      <c r="I135" s="522"/>
      <c r="J135" s="520"/>
      <c r="K135" s="672"/>
      <c r="Q135" s="519"/>
      <c r="S135" s="602"/>
      <c r="T135" s="603"/>
    </row>
    <row r="136" spans="1:20" ht="15.75" customHeight="1">
      <c r="A136" s="670"/>
      <c r="C136" s="175"/>
      <c r="D136" s="671"/>
      <c r="E136" s="671"/>
      <c r="F136" s="671"/>
      <c r="G136" s="274"/>
      <c r="H136" s="519"/>
      <c r="I136" s="522"/>
      <c r="J136" s="520"/>
      <c r="K136" s="672"/>
      <c r="Q136" s="519"/>
      <c r="S136" s="602"/>
      <c r="T136" s="603"/>
    </row>
    <row r="137" spans="1:20" ht="15.75" customHeight="1">
      <c r="A137" s="670"/>
      <c r="C137" s="175"/>
      <c r="D137" s="671"/>
      <c r="E137" s="671"/>
      <c r="F137" s="671"/>
      <c r="G137" s="274"/>
      <c r="H137" s="519"/>
      <c r="I137" s="522"/>
      <c r="J137" s="520"/>
      <c r="K137" s="672"/>
      <c r="Q137" s="519"/>
      <c r="S137" s="602"/>
      <c r="T137" s="603"/>
    </row>
    <row r="138" spans="1:20" ht="15.75" customHeight="1">
      <c r="A138" s="670"/>
      <c r="C138" s="175"/>
      <c r="D138" s="671"/>
      <c r="E138" s="671"/>
      <c r="F138" s="671"/>
      <c r="G138" s="274"/>
      <c r="H138" s="519"/>
      <c r="I138" s="522"/>
      <c r="J138" s="520"/>
      <c r="K138" s="672"/>
      <c r="Q138" s="519"/>
      <c r="S138" s="602"/>
      <c r="T138" s="603"/>
    </row>
    <row r="139" spans="1:20" ht="15.75" customHeight="1">
      <c r="A139" s="670"/>
      <c r="C139" s="175"/>
      <c r="D139" s="671"/>
      <c r="E139" s="671"/>
      <c r="F139" s="671"/>
      <c r="G139" s="274"/>
      <c r="H139" s="519"/>
      <c r="I139" s="522"/>
      <c r="J139" s="520"/>
      <c r="K139" s="672"/>
      <c r="Q139" s="519"/>
      <c r="S139" s="602"/>
      <c r="T139" s="603"/>
    </row>
    <row r="140" spans="1:20" ht="15.75" customHeight="1">
      <c r="A140" s="670"/>
      <c r="C140" s="175"/>
      <c r="D140" s="671"/>
      <c r="E140" s="671"/>
      <c r="F140" s="671"/>
      <c r="G140" s="274"/>
      <c r="H140" s="519"/>
      <c r="I140" s="522"/>
      <c r="J140" s="520"/>
      <c r="K140" s="672"/>
      <c r="Q140" s="519"/>
      <c r="S140" s="602"/>
      <c r="T140" s="603"/>
    </row>
    <row r="141" spans="1:20" ht="15.75" customHeight="1">
      <c r="A141" s="670"/>
      <c r="C141" s="175"/>
      <c r="D141" s="671"/>
      <c r="E141" s="671"/>
      <c r="F141" s="671"/>
      <c r="G141" s="274"/>
      <c r="H141" s="519"/>
      <c r="I141" s="522"/>
      <c r="J141" s="520"/>
      <c r="K141" s="672"/>
      <c r="Q141" s="519"/>
      <c r="S141" s="602"/>
      <c r="T141" s="603"/>
    </row>
    <row r="142" spans="1:20" ht="15.75" customHeight="1">
      <c r="A142" s="670"/>
      <c r="C142" s="175"/>
      <c r="D142" s="671"/>
      <c r="E142" s="671"/>
      <c r="F142" s="671"/>
      <c r="G142" s="274"/>
      <c r="H142" s="519"/>
      <c r="I142" s="522"/>
      <c r="J142" s="520"/>
      <c r="K142" s="672"/>
      <c r="Q142" s="519"/>
      <c r="S142" s="602"/>
      <c r="T142" s="603"/>
    </row>
    <row r="143" spans="1:20" ht="15.75" customHeight="1">
      <c r="A143" s="670"/>
      <c r="C143" s="175"/>
      <c r="D143" s="671"/>
      <c r="E143" s="671"/>
      <c r="F143" s="671"/>
      <c r="G143" s="274"/>
      <c r="H143" s="519"/>
      <c r="I143" s="522"/>
      <c r="J143" s="520"/>
      <c r="K143" s="672"/>
      <c r="Q143" s="519"/>
      <c r="S143" s="602"/>
      <c r="T143" s="603"/>
    </row>
    <row r="144" spans="1:20" ht="15.75" customHeight="1">
      <c r="A144" s="670"/>
      <c r="C144" s="175"/>
      <c r="D144" s="671"/>
      <c r="E144" s="671"/>
      <c r="F144" s="671"/>
      <c r="G144" s="274"/>
      <c r="H144" s="519"/>
      <c r="I144" s="522"/>
      <c r="J144" s="520"/>
      <c r="K144" s="672"/>
      <c r="Q144" s="519"/>
      <c r="S144" s="602"/>
      <c r="T144" s="603"/>
    </row>
    <row r="145" spans="1:20" ht="15.75" customHeight="1">
      <c r="A145" s="670"/>
      <c r="C145" s="175"/>
      <c r="D145" s="671"/>
      <c r="E145" s="671"/>
      <c r="F145" s="671"/>
      <c r="G145" s="274"/>
      <c r="H145" s="519"/>
      <c r="I145" s="522"/>
      <c r="J145" s="520"/>
      <c r="K145" s="672"/>
      <c r="Q145" s="519"/>
      <c r="S145" s="602"/>
      <c r="T145" s="603"/>
    </row>
    <row r="146" spans="1:20" ht="15.75" customHeight="1">
      <c r="A146" s="670"/>
      <c r="C146" s="175"/>
      <c r="D146" s="671"/>
      <c r="E146" s="671"/>
      <c r="F146" s="671"/>
      <c r="G146" s="274"/>
      <c r="H146" s="519"/>
      <c r="I146" s="522"/>
      <c r="J146" s="520"/>
      <c r="K146" s="672"/>
      <c r="Q146" s="519"/>
      <c r="S146" s="602"/>
      <c r="T146" s="603"/>
    </row>
    <row r="147" spans="1:20" ht="15.75" customHeight="1">
      <c r="A147" s="670"/>
      <c r="C147" s="175"/>
      <c r="D147" s="671"/>
      <c r="E147" s="671"/>
      <c r="F147" s="671"/>
      <c r="G147" s="274"/>
      <c r="H147" s="519"/>
      <c r="I147" s="522"/>
      <c r="J147" s="520"/>
      <c r="K147" s="672"/>
      <c r="Q147" s="519"/>
      <c r="S147" s="602"/>
      <c r="T147" s="603"/>
    </row>
    <row r="148" spans="1:20" ht="15.75" customHeight="1">
      <c r="A148" s="670"/>
      <c r="C148" s="175"/>
      <c r="D148" s="671"/>
      <c r="E148" s="671"/>
      <c r="F148" s="671"/>
      <c r="G148" s="274"/>
      <c r="H148" s="519"/>
      <c r="I148" s="522"/>
      <c r="J148" s="520"/>
      <c r="K148" s="672"/>
      <c r="Q148" s="519"/>
      <c r="S148" s="602"/>
      <c r="T148" s="603"/>
    </row>
    <row r="149" spans="1:20" ht="15.75" customHeight="1">
      <c r="A149" s="670"/>
      <c r="C149" s="175"/>
      <c r="D149" s="671"/>
      <c r="E149" s="671"/>
      <c r="F149" s="671"/>
      <c r="G149" s="274"/>
      <c r="H149" s="519"/>
      <c r="I149" s="522"/>
      <c r="J149" s="520"/>
      <c r="K149" s="672"/>
      <c r="Q149" s="519"/>
      <c r="S149" s="602"/>
      <c r="T149" s="603"/>
    </row>
    <row r="150" spans="1:20" ht="15.75" customHeight="1">
      <c r="A150" s="670"/>
      <c r="C150" s="175"/>
      <c r="D150" s="671"/>
      <c r="E150" s="671"/>
      <c r="F150" s="671"/>
      <c r="G150" s="274"/>
      <c r="H150" s="519"/>
      <c r="I150" s="522"/>
      <c r="J150" s="520"/>
      <c r="K150" s="672"/>
      <c r="Q150" s="519"/>
      <c r="S150" s="602"/>
      <c r="T150" s="603"/>
    </row>
    <row r="151" spans="1:20" ht="15.75" customHeight="1">
      <c r="A151" s="670"/>
      <c r="C151" s="175"/>
      <c r="D151" s="671"/>
      <c r="E151" s="671"/>
      <c r="F151" s="671"/>
      <c r="G151" s="274"/>
      <c r="H151" s="519"/>
      <c r="I151" s="522"/>
      <c r="J151" s="520"/>
      <c r="K151" s="672"/>
      <c r="Q151" s="519"/>
      <c r="S151" s="602"/>
      <c r="T151" s="603"/>
    </row>
    <row r="152" spans="1:20" ht="15.75" customHeight="1">
      <c r="A152" s="670"/>
      <c r="C152" s="175"/>
      <c r="D152" s="671"/>
      <c r="E152" s="671"/>
      <c r="F152" s="671"/>
      <c r="G152" s="274"/>
      <c r="H152" s="519"/>
      <c r="I152" s="522"/>
      <c r="J152" s="520"/>
      <c r="K152" s="672"/>
      <c r="Q152" s="519"/>
      <c r="S152" s="602"/>
      <c r="T152" s="603"/>
    </row>
    <row r="153" spans="1:20" ht="15.75" customHeight="1">
      <c r="A153" s="670"/>
      <c r="C153" s="175"/>
      <c r="D153" s="671"/>
      <c r="E153" s="671"/>
      <c r="F153" s="671"/>
      <c r="G153" s="274"/>
      <c r="H153" s="519"/>
      <c r="I153" s="522"/>
      <c r="J153" s="520"/>
      <c r="K153" s="672"/>
      <c r="Q153" s="519"/>
      <c r="S153" s="602"/>
      <c r="T153" s="603"/>
    </row>
    <row r="154" spans="1:20" ht="15.75" customHeight="1">
      <c r="A154" s="670"/>
      <c r="C154" s="175"/>
      <c r="D154" s="671"/>
      <c r="E154" s="671"/>
      <c r="F154" s="671"/>
      <c r="G154" s="274"/>
      <c r="H154" s="519"/>
      <c r="I154" s="522"/>
      <c r="J154" s="520"/>
      <c r="K154" s="672"/>
      <c r="Q154" s="519"/>
      <c r="S154" s="602"/>
      <c r="T154" s="603"/>
    </row>
    <row r="155" spans="1:20" ht="15.75" customHeight="1">
      <c r="A155" s="670"/>
      <c r="C155" s="175"/>
      <c r="D155" s="671"/>
      <c r="E155" s="671"/>
      <c r="F155" s="671"/>
      <c r="G155" s="274"/>
      <c r="H155" s="519"/>
      <c r="I155" s="522"/>
      <c r="J155" s="520"/>
      <c r="K155" s="672"/>
      <c r="Q155" s="519"/>
      <c r="S155" s="602"/>
      <c r="T155" s="603"/>
    </row>
    <row r="156" spans="1:20" ht="15.75" customHeight="1">
      <c r="A156" s="670"/>
      <c r="C156" s="175"/>
      <c r="D156" s="671"/>
      <c r="E156" s="671"/>
      <c r="F156" s="671"/>
      <c r="G156" s="274"/>
      <c r="H156" s="519"/>
      <c r="I156" s="522"/>
      <c r="J156" s="520"/>
      <c r="K156" s="672"/>
      <c r="Q156" s="519"/>
      <c r="S156" s="602"/>
      <c r="T156" s="603"/>
    </row>
    <row r="157" spans="1:20" ht="15.75" customHeight="1">
      <c r="A157" s="670"/>
      <c r="C157" s="175"/>
      <c r="D157" s="671"/>
      <c r="E157" s="671"/>
      <c r="F157" s="671"/>
      <c r="G157" s="274"/>
      <c r="H157" s="519"/>
      <c r="I157" s="522"/>
      <c r="J157" s="520"/>
      <c r="K157" s="672"/>
      <c r="Q157" s="519"/>
      <c r="S157" s="602"/>
      <c r="T157" s="603"/>
    </row>
    <row r="158" spans="1:20" ht="15.75" customHeight="1">
      <c r="A158" s="670"/>
      <c r="C158" s="175"/>
      <c r="D158" s="671"/>
      <c r="E158" s="671"/>
      <c r="F158" s="671"/>
      <c r="G158" s="274"/>
      <c r="H158" s="519"/>
      <c r="I158" s="522"/>
      <c r="J158" s="520"/>
      <c r="K158" s="672"/>
      <c r="Q158" s="519"/>
      <c r="S158" s="602"/>
      <c r="T158" s="603"/>
    </row>
    <row r="159" spans="1:20" ht="15.75" customHeight="1">
      <c r="A159" s="670"/>
      <c r="C159" s="175"/>
      <c r="D159" s="671"/>
      <c r="E159" s="671"/>
      <c r="F159" s="671"/>
      <c r="G159" s="274"/>
      <c r="H159" s="519"/>
      <c r="I159" s="522"/>
      <c r="J159" s="520"/>
      <c r="K159" s="672"/>
      <c r="Q159" s="519"/>
      <c r="S159" s="602"/>
      <c r="T159" s="603"/>
    </row>
    <row r="160" spans="1:20" ht="15.75" customHeight="1">
      <c r="A160" s="670"/>
      <c r="C160" s="175"/>
      <c r="D160" s="671"/>
      <c r="E160" s="671"/>
      <c r="F160" s="671"/>
      <c r="G160" s="274"/>
      <c r="H160" s="519"/>
      <c r="I160" s="522"/>
      <c r="J160" s="520"/>
      <c r="K160" s="672"/>
      <c r="Q160" s="519"/>
      <c r="S160" s="602"/>
      <c r="T160" s="603"/>
    </row>
    <row r="161" spans="1:20" ht="15.75" customHeight="1">
      <c r="A161" s="670"/>
      <c r="C161" s="175"/>
      <c r="D161" s="671"/>
      <c r="E161" s="671"/>
      <c r="F161" s="671"/>
      <c r="G161" s="274"/>
      <c r="H161" s="519"/>
      <c r="I161" s="522"/>
      <c r="J161" s="520"/>
      <c r="K161" s="672"/>
      <c r="Q161" s="519"/>
      <c r="S161" s="602"/>
      <c r="T161" s="603"/>
    </row>
    <row r="162" spans="1:20" ht="15.75" customHeight="1">
      <c r="A162" s="670"/>
      <c r="C162" s="175"/>
      <c r="D162" s="671"/>
      <c r="E162" s="671"/>
      <c r="F162" s="671"/>
      <c r="G162" s="274"/>
      <c r="H162" s="519"/>
      <c r="I162" s="522"/>
      <c r="J162" s="520"/>
      <c r="K162" s="672"/>
      <c r="Q162" s="519"/>
      <c r="S162" s="602"/>
      <c r="T162" s="603"/>
    </row>
    <row r="163" spans="1:20" ht="15.75" customHeight="1">
      <c r="A163" s="670"/>
      <c r="C163" s="175"/>
      <c r="D163" s="671"/>
      <c r="E163" s="671"/>
      <c r="F163" s="671"/>
      <c r="G163" s="274"/>
      <c r="H163" s="519"/>
      <c r="I163" s="522"/>
      <c r="J163" s="520"/>
      <c r="K163" s="672"/>
      <c r="Q163" s="519"/>
      <c r="S163" s="602"/>
      <c r="T163" s="603"/>
    </row>
    <row r="164" spans="1:20" ht="15.75" customHeight="1">
      <c r="A164" s="670"/>
      <c r="C164" s="175"/>
      <c r="D164" s="671"/>
      <c r="E164" s="671"/>
      <c r="F164" s="671"/>
      <c r="G164" s="274"/>
      <c r="H164" s="519"/>
      <c r="I164" s="522"/>
      <c r="J164" s="520"/>
      <c r="K164" s="672"/>
      <c r="Q164" s="519"/>
      <c r="S164" s="602"/>
      <c r="T164" s="603"/>
    </row>
    <row r="165" spans="1:20" ht="15.75" customHeight="1">
      <c r="A165" s="670"/>
      <c r="C165" s="175"/>
      <c r="D165" s="671"/>
      <c r="E165" s="671"/>
      <c r="F165" s="671"/>
      <c r="G165" s="274"/>
      <c r="H165" s="519"/>
      <c r="I165" s="522"/>
      <c r="J165" s="520"/>
      <c r="K165" s="672"/>
      <c r="Q165" s="519"/>
      <c r="S165" s="602"/>
      <c r="T165" s="603"/>
    </row>
    <row r="166" spans="1:20" ht="15.75" customHeight="1">
      <c r="A166" s="670"/>
      <c r="C166" s="175"/>
      <c r="D166" s="671"/>
      <c r="E166" s="671"/>
      <c r="F166" s="671"/>
      <c r="G166" s="274"/>
      <c r="H166" s="519"/>
      <c r="I166" s="522"/>
      <c r="J166" s="520"/>
      <c r="K166" s="672"/>
      <c r="Q166" s="519"/>
      <c r="S166" s="602"/>
      <c r="T166" s="603"/>
    </row>
    <row r="167" spans="1:20" ht="15.75" customHeight="1">
      <c r="A167" s="670"/>
      <c r="C167" s="175"/>
      <c r="D167" s="671"/>
      <c r="E167" s="671"/>
      <c r="F167" s="671"/>
      <c r="G167" s="274"/>
      <c r="H167" s="519"/>
      <c r="I167" s="522"/>
      <c r="J167" s="520"/>
      <c r="K167" s="672"/>
      <c r="Q167" s="519"/>
      <c r="S167" s="602"/>
      <c r="T167" s="603"/>
    </row>
    <row r="168" spans="1:20" ht="15.75" customHeight="1">
      <c r="A168" s="670"/>
      <c r="C168" s="175"/>
      <c r="D168" s="671"/>
      <c r="E168" s="671"/>
      <c r="F168" s="671"/>
      <c r="G168" s="274"/>
      <c r="H168" s="519"/>
      <c r="I168" s="522"/>
      <c r="J168" s="520"/>
      <c r="K168" s="672"/>
      <c r="Q168" s="519"/>
      <c r="S168" s="602"/>
      <c r="T168" s="603"/>
    </row>
    <row r="169" spans="1:20" ht="15.75" customHeight="1">
      <c r="A169" s="670"/>
      <c r="C169" s="175"/>
      <c r="D169" s="671"/>
      <c r="E169" s="671"/>
      <c r="F169" s="671"/>
      <c r="G169" s="274"/>
      <c r="H169" s="519"/>
      <c r="I169" s="522"/>
      <c r="J169" s="520"/>
      <c r="K169" s="672"/>
      <c r="Q169" s="519"/>
      <c r="S169" s="602"/>
      <c r="T169" s="603"/>
    </row>
    <row r="170" spans="1:20" ht="15.75" customHeight="1">
      <c r="A170" s="670"/>
      <c r="C170" s="175"/>
      <c r="D170" s="671"/>
      <c r="E170" s="671"/>
      <c r="F170" s="671"/>
      <c r="G170" s="274"/>
      <c r="H170" s="519"/>
      <c r="I170" s="522"/>
      <c r="J170" s="520"/>
      <c r="K170" s="672"/>
      <c r="Q170" s="519"/>
      <c r="S170" s="602"/>
      <c r="T170" s="603"/>
    </row>
    <row r="171" spans="1:20" ht="15.75" customHeight="1">
      <c r="A171" s="670"/>
      <c r="C171" s="175"/>
      <c r="D171" s="671"/>
      <c r="E171" s="671"/>
      <c r="F171" s="671"/>
      <c r="G171" s="274"/>
      <c r="H171" s="519"/>
      <c r="I171" s="522"/>
      <c r="J171" s="520"/>
      <c r="K171" s="672"/>
      <c r="Q171" s="519"/>
      <c r="S171" s="602"/>
      <c r="T171" s="603"/>
    </row>
    <row r="172" spans="1:20" ht="15.75" customHeight="1">
      <c r="A172" s="670"/>
      <c r="C172" s="175"/>
      <c r="D172" s="671"/>
      <c r="E172" s="671"/>
      <c r="F172" s="671"/>
      <c r="G172" s="274"/>
      <c r="H172" s="519"/>
      <c r="I172" s="522"/>
      <c r="J172" s="520"/>
      <c r="K172" s="672"/>
      <c r="Q172" s="519"/>
      <c r="S172" s="602"/>
      <c r="T172" s="603"/>
    </row>
    <row r="173" spans="1:20" ht="15.75" customHeight="1">
      <c r="A173" s="670"/>
      <c r="C173" s="175"/>
      <c r="D173" s="671"/>
      <c r="E173" s="671"/>
      <c r="F173" s="671"/>
      <c r="G173" s="274"/>
      <c r="H173" s="519"/>
      <c r="I173" s="522"/>
      <c r="J173" s="520"/>
      <c r="K173" s="672"/>
      <c r="Q173" s="519"/>
      <c r="S173" s="602"/>
      <c r="T173" s="603"/>
    </row>
    <row r="174" spans="1:20" ht="15.75" customHeight="1">
      <c r="A174" s="670"/>
      <c r="C174" s="175"/>
      <c r="D174" s="671"/>
      <c r="E174" s="671"/>
      <c r="F174" s="671"/>
      <c r="G174" s="274"/>
      <c r="H174" s="519"/>
      <c r="I174" s="522"/>
      <c r="J174" s="520"/>
      <c r="K174" s="672"/>
      <c r="Q174" s="519"/>
      <c r="S174" s="602"/>
      <c r="T174" s="603"/>
    </row>
    <row r="175" spans="1:20" ht="15.75" customHeight="1">
      <c r="A175" s="670"/>
      <c r="C175" s="175"/>
      <c r="D175" s="671"/>
      <c r="E175" s="671"/>
      <c r="F175" s="671"/>
      <c r="G175" s="274"/>
      <c r="H175" s="519"/>
      <c r="I175" s="522"/>
      <c r="J175" s="520"/>
      <c r="K175" s="672"/>
      <c r="Q175" s="519"/>
      <c r="S175" s="602"/>
      <c r="T175" s="603"/>
    </row>
    <row r="176" spans="1:20" ht="15.75" customHeight="1">
      <c r="A176" s="670"/>
      <c r="C176" s="175"/>
      <c r="D176" s="671"/>
      <c r="E176" s="671"/>
      <c r="F176" s="671"/>
      <c r="G176" s="274"/>
      <c r="H176" s="519"/>
      <c r="I176" s="522"/>
      <c r="J176" s="520"/>
      <c r="K176" s="672"/>
      <c r="Q176" s="519"/>
      <c r="S176" s="602"/>
      <c r="T176" s="603"/>
    </row>
    <row r="177" spans="1:20" ht="15.75" customHeight="1">
      <c r="A177" s="670"/>
      <c r="C177" s="175"/>
      <c r="D177" s="671"/>
      <c r="E177" s="671"/>
      <c r="F177" s="671"/>
      <c r="G177" s="274"/>
      <c r="H177" s="519"/>
      <c r="I177" s="522"/>
      <c r="J177" s="520"/>
      <c r="K177" s="672"/>
      <c r="Q177" s="519"/>
      <c r="S177" s="602"/>
      <c r="T177" s="603"/>
    </row>
    <row r="178" spans="1:20" ht="15.75" customHeight="1">
      <c r="A178" s="670"/>
      <c r="C178" s="175"/>
      <c r="D178" s="671"/>
      <c r="E178" s="671"/>
      <c r="F178" s="671"/>
      <c r="G178" s="274"/>
      <c r="H178" s="519"/>
      <c r="I178" s="522"/>
      <c r="J178" s="520"/>
      <c r="K178" s="672"/>
      <c r="Q178" s="519"/>
      <c r="S178" s="602"/>
      <c r="T178" s="603"/>
    </row>
    <row r="179" spans="1:20" ht="15.75" customHeight="1">
      <c r="A179" s="670"/>
      <c r="C179" s="175"/>
      <c r="D179" s="671"/>
      <c r="E179" s="671"/>
      <c r="F179" s="671"/>
      <c r="G179" s="274"/>
      <c r="H179" s="519"/>
      <c r="I179" s="522"/>
      <c r="J179" s="520"/>
      <c r="K179" s="672"/>
      <c r="Q179" s="519"/>
      <c r="S179" s="602"/>
      <c r="T179" s="603"/>
    </row>
    <row r="180" spans="1:20" ht="15.75" customHeight="1">
      <c r="A180" s="670"/>
      <c r="C180" s="175"/>
      <c r="D180" s="671"/>
      <c r="E180" s="671"/>
      <c r="F180" s="671"/>
      <c r="G180" s="274"/>
      <c r="H180" s="519"/>
      <c r="I180" s="522"/>
      <c r="J180" s="520"/>
      <c r="K180" s="672"/>
      <c r="Q180" s="519"/>
      <c r="S180" s="602"/>
      <c r="T180" s="603"/>
    </row>
    <row r="181" spans="1:20" ht="15.75" customHeight="1">
      <c r="A181" s="670"/>
      <c r="C181" s="175"/>
      <c r="D181" s="671"/>
      <c r="E181" s="671"/>
      <c r="F181" s="671"/>
      <c r="G181" s="274"/>
      <c r="H181" s="519"/>
      <c r="I181" s="522"/>
      <c r="J181" s="520"/>
      <c r="K181" s="672"/>
      <c r="Q181" s="519"/>
      <c r="S181" s="602"/>
      <c r="T181" s="603"/>
    </row>
    <row r="182" spans="1:20" ht="15.75" customHeight="1">
      <c r="A182" s="670"/>
      <c r="C182" s="175"/>
      <c r="D182" s="671"/>
      <c r="E182" s="671"/>
      <c r="F182" s="671"/>
      <c r="G182" s="274"/>
      <c r="H182" s="519"/>
      <c r="I182" s="522"/>
      <c r="J182" s="520"/>
      <c r="K182" s="672"/>
      <c r="Q182" s="519"/>
      <c r="S182" s="602"/>
      <c r="T182" s="603"/>
    </row>
    <row r="183" spans="1:20" ht="15.75" customHeight="1">
      <c r="A183" s="670"/>
      <c r="C183" s="175"/>
      <c r="D183" s="671"/>
      <c r="E183" s="671"/>
      <c r="F183" s="671"/>
      <c r="G183" s="274"/>
      <c r="H183" s="519"/>
      <c r="I183" s="522"/>
      <c r="J183" s="520"/>
      <c r="K183" s="672"/>
      <c r="Q183" s="519"/>
      <c r="S183" s="602"/>
      <c r="T183" s="603"/>
    </row>
    <row r="184" spans="1:20" ht="15.75" customHeight="1">
      <c r="A184" s="670"/>
      <c r="C184" s="175"/>
      <c r="D184" s="671"/>
      <c r="E184" s="671"/>
      <c r="F184" s="671"/>
      <c r="G184" s="274"/>
      <c r="H184" s="519"/>
      <c r="I184" s="522"/>
      <c r="J184" s="520"/>
      <c r="K184" s="672"/>
      <c r="Q184" s="519"/>
      <c r="S184" s="602"/>
      <c r="T184" s="603"/>
    </row>
    <row r="185" spans="1:20" ht="15.75" customHeight="1">
      <c r="A185" s="670"/>
      <c r="C185" s="175"/>
      <c r="D185" s="671"/>
      <c r="E185" s="671"/>
      <c r="F185" s="671"/>
      <c r="G185" s="274"/>
      <c r="H185" s="519"/>
      <c r="I185" s="522"/>
      <c r="J185" s="520"/>
      <c r="K185" s="672"/>
      <c r="Q185" s="519"/>
      <c r="S185" s="602"/>
      <c r="T185" s="603"/>
    </row>
    <row r="186" spans="1:20" ht="15.75" customHeight="1">
      <c r="A186" s="670"/>
      <c r="C186" s="175"/>
      <c r="D186" s="671"/>
      <c r="E186" s="671"/>
      <c r="F186" s="671"/>
      <c r="G186" s="274"/>
      <c r="H186" s="519"/>
      <c r="I186" s="522"/>
      <c r="J186" s="520"/>
      <c r="K186" s="672"/>
      <c r="Q186" s="519"/>
      <c r="S186" s="602"/>
      <c r="T186" s="603"/>
    </row>
    <row r="187" spans="1:20" ht="15.75" customHeight="1">
      <c r="A187" s="670"/>
      <c r="C187" s="175"/>
      <c r="D187" s="671"/>
      <c r="E187" s="671"/>
      <c r="F187" s="671"/>
      <c r="G187" s="274"/>
      <c r="H187" s="519"/>
      <c r="I187" s="522"/>
      <c r="J187" s="520"/>
      <c r="K187" s="672"/>
      <c r="Q187" s="519"/>
      <c r="S187" s="602"/>
      <c r="T187" s="603"/>
    </row>
    <row r="188" spans="1:20" ht="15.75" customHeight="1">
      <c r="A188" s="670"/>
      <c r="C188" s="175"/>
      <c r="D188" s="671"/>
      <c r="E188" s="671"/>
      <c r="F188" s="671"/>
      <c r="G188" s="274"/>
      <c r="H188" s="519"/>
      <c r="I188" s="522"/>
      <c r="J188" s="520"/>
      <c r="K188" s="672"/>
      <c r="Q188" s="519"/>
      <c r="S188" s="602"/>
      <c r="T188" s="603"/>
    </row>
    <row r="189" spans="1:20" ht="15.75" customHeight="1">
      <c r="A189" s="670"/>
      <c r="C189" s="175"/>
      <c r="D189" s="671"/>
      <c r="E189" s="671"/>
      <c r="F189" s="671"/>
      <c r="G189" s="274"/>
      <c r="H189" s="519"/>
      <c r="I189" s="522"/>
      <c r="J189" s="520"/>
      <c r="K189" s="672"/>
      <c r="Q189" s="519"/>
      <c r="S189" s="602"/>
      <c r="T189" s="603"/>
    </row>
    <row r="190" spans="1:20" ht="15.75" customHeight="1">
      <c r="A190" s="670"/>
      <c r="C190" s="175"/>
      <c r="D190" s="671"/>
      <c r="E190" s="671"/>
      <c r="F190" s="671"/>
      <c r="G190" s="274"/>
      <c r="H190" s="519"/>
      <c r="I190" s="522"/>
      <c r="J190" s="520"/>
      <c r="K190" s="672"/>
      <c r="Q190" s="519"/>
      <c r="S190" s="602"/>
      <c r="T190" s="603"/>
    </row>
    <row r="191" spans="1:20" ht="15.75" customHeight="1">
      <c r="A191" s="670"/>
      <c r="C191" s="175"/>
      <c r="D191" s="671"/>
      <c r="E191" s="671"/>
      <c r="F191" s="671"/>
      <c r="G191" s="274"/>
      <c r="H191" s="519"/>
      <c r="I191" s="522"/>
      <c r="J191" s="520"/>
      <c r="K191" s="672"/>
      <c r="Q191" s="519"/>
      <c r="S191" s="602"/>
      <c r="T191" s="603"/>
    </row>
    <row r="192" spans="1:20" ht="15.75" customHeight="1">
      <c r="A192" s="670"/>
      <c r="C192" s="175"/>
      <c r="D192" s="671"/>
      <c r="E192" s="671"/>
      <c r="F192" s="671"/>
      <c r="G192" s="274"/>
      <c r="H192" s="519"/>
      <c r="I192" s="522"/>
      <c r="J192" s="520"/>
      <c r="K192" s="672"/>
      <c r="Q192" s="519"/>
      <c r="S192" s="602"/>
      <c r="T192" s="603"/>
    </row>
    <row r="193" spans="1:20" ht="15.75" customHeight="1">
      <c r="A193" s="670"/>
      <c r="C193" s="175"/>
      <c r="D193" s="671"/>
      <c r="E193" s="671"/>
      <c r="F193" s="671"/>
      <c r="G193" s="274"/>
      <c r="H193" s="519"/>
      <c r="I193" s="522"/>
      <c r="J193" s="520"/>
      <c r="K193" s="672"/>
      <c r="Q193" s="519"/>
      <c r="S193" s="602"/>
      <c r="T193" s="603"/>
    </row>
    <row r="194" spans="1:20" ht="15.75" customHeight="1">
      <c r="A194" s="670"/>
      <c r="C194" s="175"/>
      <c r="D194" s="671"/>
      <c r="E194" s="671"/>
      <c r="F194" s="671"/>
      <c r="G194" s="274"/>
      <c r="H194" s="519"/>
      <c r="I194" s="522"/>
      <c r="J194" s="520"/>
      <c r="K194" s="672"/>
      <c r="Q194" s="519"/>
      <c r="S194" s="602"/>
      <c r="T194" s="603"/>
    </row>
    <row r="195" spans="1:20" ht="15.75" customHeight="1">
      <c r="A195" s="670"/>
      <c r="C195" s="175"/>
      <c r="D195" s="671"/>
      <c r="E195" s="671"/>
      <c r="F195" s="671"/>
      <c r="G195" s="274"/>
      <c r="H195" s="519"/>
      <c r="I195" s="522"/>
      <c r="J195" s="520"/>
      <c r="K195" s="672"/>
      <c r="Q195" s="519"/>
      <c r="S195" s="602"/>
      <c r="T195" s="603"/>
    </row>
    <row r="196" spans="1:20" ht="15.75" customHeight="1">
      <c r="A196" s="670"/>
      <c r="C196" s="175"/>
      <c r="D196" s="671"/>
      <c r="E196" s="671"/>
      <c r="F196" s="671"/>
      <c r="G196" s="274"/>
      <c r="H196" s="519"/>
      <c r="I196" s="522"/>
      <c r="J196" s="520"/>
      <c r="K196" s="672"/>
      <c r="Q196" s="519"/>
      <c r="S196" s="602"/>
      <c r="T196" s="603"/>
    </row>
    <row r="197" spans="1:20" ht="15.75" customHeight="1">
      <c r="A197" s="670"/>
      <c r="C197" s="175"/>
      <c r="D197" s="671"/>
      <c r="E197" s="671"/>
      <c r="F197" s="671"/>
      <c r="G197" s="274"/>
      <c r="H197" s="519"/>
      <c r="I197" s="522"/>
      <c r="J197" s="520"/>
      <c r="K197" s="672"/>
      <c r="Q197" s="519"/>
      <c r="S197" s="602"/>
      <c r="T197" s="603"/>
    </row>
    <row r="198" spans="1:20" ht="15.75" customHeight="1">
      <c r="A198" s="670"/>
      <c r="C198" s="175"/>
      <c r="D198" s="671"/>
      <c r="E198" s="671"/>
      <c r="F198" s="671"/>
      <c r="G198" s="274"/>
      <c r="H198" s="519"/>
      <c r="I198" s="522"/>
      <c r="J198" s="520"/>
      <c r="K198" s="672"/>
      <c r="Q198" s="519"/>
      <c r="S198" s="602"/>
      <c r="T198" s="603"/>
    </row>
    <row r="199" spans="1:20" ht="15.75" customHeight="1">
      <c r="A199" s="670"/>
      <c r="C199" s="175"/>
      <c r="D199" s="671"/>
      <c r="E199" s="671"/>
      <c r="F199" s="671"/>
      <c r="G199" s="274"/>
      <c r="H199" s="519"/>
      <c r="I199" s="522"/>
      <c r="J199" s="520"/>
      <c r="K199" s="672"/>
      <c r="Q199" s="519"/>
      <c r="S199" s="602"/>
      <c r="T199" s="603"/>
    </row>
    <row r="200" spans="1:20" ht="15.75" customHeight="1">
      <c r="A200" s="670"/>
      <c r="C200" s="175"/>
      <c r="D200" s="671"/>
      <c r="E200" s="671"/>
      <c r="F200" s="671"/>
      <c r="G200" s="274"/>
      <c r="H200" s="519"/>
      <c r="I200" s="522"/>
      <c r="J200" s="520"/>
      <c r="K200" s="672"/>
      <c r="Q200" s="519"/>
      <c r="S200" s="602"/>
      <c r="T200" s="603"/>
    </row>
    <row r="201" spans="1:20" ht="15.75" customHeight="1">
      <c r="A201" s="670"/>
      <c r="C201" s="175"/>
      <c r="D201" s="671"/>
      <c r="E201" s="671"/>
      <c r="F201" s="671"/>
      <c r="G201" s="274"/>
      <c r="H201" s="519"/>
      <c r="I201" s="522"/>
      <c r="J201" s="520"/>
      <c r="K201" s="672"/>
      <c r="Q201" s="519"/>
      <c r="S201" s="602"/>
      <c r="T201" s="603"/>
    </row>
    <row r="202" spans="1:20" ht="15.75" customHeight="1">
      <c r="A202" s="670"/>
      <c r="C202" s="175"/>
      <c r="D202" s="671"/>
      <c r="E202" s="671"/>
      <c r="F202" s="671"/>
      <c r="G202" s="274"/>
      <c r="H202" s="519"/>
      <c r="I202" s="522"/>
      <c r="J202" s="520"/>
      <c r="K202" s="672"/>
      <c r="Q202" s="519"/>
      <c r="S202" s="602"/>
      <c r="T202" s="603"/>
    </row>
    <row r="203" spans="1:20" ht="15.75" customHeight="1">
      <c r="A203" s="670"/>
      <c r="C203" s="175"/>
      <c r="D203" s="671"/>
      <c r="E203" s="671"/>
      <c r="F203" s="671"/>
      <c r="G203" s="274"/>
      <c r="H203" s="519"/>
      <c r="I203" s="522"/>
      <c r="J203" s="520"/>
      <c r="K203" s="672"/>
      <c r="Q203" s="519"/>
      <c r="S203" s="602"/>
      <c r="T203" s="603"/>
    </row>
    <row r="204" spans="1:20" ht="15.75" customHeight="1">
      <c r="A204" s="670"/>
      <c r="C204" s="175"/>
      <c r="D204" s="671"/>
      <c r="E204" s="671"/>
      <c r="F204" s="671"/>
      <c r="G204" s="274"/>
      <c r="H204" s="519"/>
      <c r="I204" s="522"/>
      <c r="J204" s="520"/>
      <c r="K204" s="672"/>
      <c r="Q204" s="519"/>
      <c r="S204" s="602"/>
      <c r="T204" s="603"/>
    </row>
    <row r="205" spans="1:20" ht="15.75" customHeight="1">
      <c r="A205" s="670"/>
      <c r="C205" s="175"/>
      <c r="D205" s="671"/>
      <c r="E205" s="671"/>
      <c r="F205" s="671"/>
      <c r="G205" s="274"/>
      <c r="H205" s="519"/>
      <c r="I205" s="522"/>
      <c r="J205" s="520"/>
      <c r="K205" s="672"/>
      <c r="Q205" s="519"/>
      <c r="S205" s="602"/>
      <c r="T205" s="603"/>
    </row>
    <row r="206" spans="1:20" ht="15.75" customHeight="1">
      <c r="A206" s="670"/>
      <c r="C206" s="175"/>
      <c r="D206" s="671"/>
      <c r="E206" s="671"/>
      <c r="F206" s="671"/>
      <c r="G206" s="274"/>
      <c r="H206" s="519"/>
      <c r="I206" s="522"/>
      <c r="J206" s="520"/>
      <c r="K206" s="672"/>
      <c r="Q206" s="519"/>
      <c r="S206" s="602"/>
      <c r="T206" s="603"/>
    </row>
    <row r="207" spans="1:20" ht="15.75" customHeight="1">
      <c r="A207" s="670"/>
      <c r="C207" s="175"/>
      <c r="D207" s="671"/>
      <c r="E207" s="671"/>
      <c r="F207" s="671"/>
      <c r="G207" s="274"/>
      <c r="H207" s="519"/>
      <c r="I207" s="522"/>
      <c r="J207" s="520"/>
      <c r="K207" s="672"/>
      <c r="Q207" s="519"/>
      <c r="S207" s="602"/>
      <c r="T207" s="603"/>
    </row>
    <row r="208" spans="1:20" ht="15.75" customHeight="1">
      <c r="A208" s="670"/>
      <c r="C208" s="175"/>
      <c r="D208" s="671"/>
      <c r="E208" s="671"/>
      <c r="F208" s="671"/>
      <c r="G208" s="274"/>
      <c r="H208" s="519"/>
      <c r="I208" s="522"/>
      <c r="J208" s="520"/>
      <c r="K208" s="672"/>
      <c r="Q208" s="519"/>
      <c r="S208" s="602"/>
      <c r="T208" s="603"/>
    </row>
    <row r="209" spans="1:20" ht="15.75" customHeight="1">
      <c r="A209" s="670"/>
      <c r="C209" s="175"/>
      <c r="D209" s="671"/>
      <c r="E209" s="671"/>
      <c r="F209" s="671"/>
      <c r="G209" s="274"/>
      <c r="H209" s="519"/>
      <c r="I209" s="522"/>
      <c r="J209" s="520"/>
      <c r="K209" s="672"/>
      <c r="Q209" s="519"/>
      <c r="S209" s="602"/>
      <c r="T209" s="603"/>
    </row>
    <row r="210" spans="1:20" ht="15.75" customHeight="1">
      <c r="A210" s="670"/>
      <c r="C210" s="175"/>
      <c r="D210" s="671"/>
      <c r="E210" s="671"/>
      <c r="F210" s="671"/>
      <c r="G210" s="274"/>
      <c r="H210" s="519"/>
      <c r="I210" s="522"/>
      <c r="J210" s="520"/>
      <c r="K210" s="672"/>
      <c r="Q210" s="519"/>
      <c r="S210" s="602"/>
      <c r="T210" s="603"/>
    </row>
    <row r="211" spans="1:20" ht="15.75" customHeight="1">
      <c r="A211" s="670"/>
      <c r="C211" s="175"/>
      <c r="D211" s="671"/>
      <c r="E211" s="671"/>
      <c r="F211" s="671"/>
      <c r="G211" s="274"/>
      <c r="H211" s="519"/>
      <c r="I211" s="522"/>
      <c r="J211" s="520"/>
      <c r="K211" s="672"/>
      <c r="Q211" s="519"/>
      <c r="S211" s="602"/>
      <c r="T211" s="603"/>
    </row>
    <row r="212" spans="1:20" ht="15.75" customHeight="1">
      <c r="A212" s="670"/>
      <c r="C212" s="175"/>
      <c r="D212" s="671"/>
      <c r="E212" s="671"/>
      <c r="F212" s="671"/>
      <c r="G212" s="274"/>
      <c r="H212" s="519"/>
      <c r="I212" s="522"/>
      <c r="J212" s="520"/>
      <c r="K212" s="672"/>
      <c r="Q212" s="519"/>
      <c r="S212" s="602"/>
      <c r="T212" s="603"/>
    </row>
    <row r="213" spans="1:20" ht="15.75" customHeight="1">
      <c r="A213" s="670"/>
      <c r="C213" s="175"/>
      <c r="D213" s="671"/>
      <c r="E213" s="671"/>
      <c r="F213" s="671"/>
      <c r="G213" s="274"/>
      <c r="H213" s="519"/>
      <c r="I213" s="522"/>
      <c r="J213" s="520"/>
      <c r="K213" s="672"/>
      <c r="Q213" s="519"/>
      <c r="S213" s="602"/>
      <c r="T213" s="603"/>
    </row>
    <row r="214" spans="1:20" ht="15.75" customHeight="1">
      <c r="A214" s="670"/>
      <c r="C214" s="175"/>
      <c r="D214" s="671"/>
      <c r="E214" s="671"/>
      <c r="F214" s="671"/>
      <c r="G214" s="274"/>
      <c r="H214" s="519"/>
      <c r="I214" s="522"/>
      <c r="J214" s="520"/>
      <c r="K214" s="672"/>
      <c r="Q214" s="519"/>
      <c r="S214" s="602"/>
      <c r="T214" s="603"/>
    </row>
    <row r="215" spans="1:20" ht="15.75" customHeight="1">
      <c r="A215" s="670"/>
      <c r="C215" s="175"/>
      <c r="D215" s="671"/>
      <c r="E215" s="671"/>
      <c r="F215" s="671"/>
      <c r="G215" s="274"/>
      <c r="H215" s="519"/>
      <c r="I215" s="522"/>
      <c r="J215" s="520"/>
      <c r="K215" s="672"/>
      <c r="Q215" s="519"/>
      <c r="S215" s="602"/>
      <c r="T215" s="603"/>
    </row>
    <row r="216" spans="1:20" ht="15.75" customHeight="1">
      <c r="A216" s="670"/>
      <c r="C216" s="175"/>
      <c r="D216" s="671"/>
      <c r="E216" s="671"/>
      <c r="F216" s="671"/>
      <c r="G216" s="274"/>
      <c r="H216" s="519"/>
      <c r="I216" s="522"/>
      <c r="J216" s="520"/>
      <c r="K216" s="672"/>
      <c r="Q216" s="519"/>
      <c r="S216" s="602"/>
      <c r="T216" s="603"/>
    </row>
    <row r="217" spans="1:20" ht="15.75" customHeight="1">
      <c r="A217" s="670"/>
      <c r="C217" s="175"/>
      <c r="D217" s="671"/>
      <c r="E217" s="671"/>
      <c r="F217" s="671"/>
      <c r="G217" s="274"/>
      <c r="H217" s="519"/>
      <c r="I217" s="522"/>
      <c r="J217" s="520"/>
      <c r="K217" s="672"/>
      <c r="Q217" s="519"/>
      <c r="S217" s="602"/>
      <c r="T217" s="603"/>
    </row>
    <row r="218" spans="1:20" ht="15.75" customHeight="1">
      <c r="A218" s="670"/>
      <c r="C218" s="175"/>
      <c r="D218" s="671"/>
      <c r="E218" s="671"/>
      <c r="F218" s="671"/>
      <c r="G218" s="274"/>
      <c r="H218" s="519"/>
      <c r="I218" s="522"/>
      <c r="J218" s="520"/>
      <c r="K218" s="672"/>
      <c r="Q218" s="519"/>
      <c r="S218" s="602"/>
      <c r="T218" s="603"/>
    </row>
    <row r="219" spans="1:20" ht="15.75" customHeight="1">
      <c r="A219" s="670"/>
      <c r="C219" s="175"/>
      <c r="D219" s="671"/>
      <c r="E219" s="671"/>
      <c r="F219" s="671"/>
      <c r="G219" s="274"/>
      <c r="H219" s="519"/>
      <c r="I219" s="522"/>
      <c r="J219" s="520"/>
      <c r="K219" s="672"/>
      <c r="Q219" s="519"/>
      <c r="S219" s="602"/>
      <c r="T219" s="603"/>
    </row>
    <row r="220" spans="1:20" ht="15.75" customHeight="1">
      <c r="A220" s="670"/>
      <c r="C220" s="175"/>
      <c r="D220" s="671"/>
      <c r="E220" s="671"/>
      <c r="F220" s="671"/>
      <c r="G220" s="274"/>
      <c r="H220" s="519"/>
      <c r="I220" s="522"/>
      <c r="J220" s="520"/>
      <c r="K220" s="672"/>
      <c r="Q220" s="519"/>
      <c r="S220" s="602"/>
      <c r="T220" s="603"/>
    </row>
    <row r="221" spans="1:20" ht="15.75" customHeight="1">
      <c r="A221" s="670"/>
      <c r="C221" s="175"/>
      <c r="D221" s="671"/>
      <c r="E221" s="671"/>
      <c r="F221" s="671"/>
      <c r="G221" s="274"/>
      <c r="H221" s="519"/>
      <c r="I221" s="522"/>
      <c r="J221" s="520"/>
      <c r="K221" s="672"/>
      <c r="Q221" s="519"/>
      <c r="S221" s="602"/>
      <c r="T221" s="603"/>
    </row>
    <row r="222" spans="1:20" ht="15.75" customHeight="1">
      <c r="A222" s="670"/>
      <c r="C222" s="175"/>
      <c r="D222" s="671"/>
      <c r="E222" s="671"/>
      <c r="F222" s="671"/>
      <c r="G222" s="274"/>
      <c r="H222" s="519"/>
      <c r="I222" s="522"/>
      <c r="J222" s="520"/>
      <c r="K222" s="672"/>
      <c r="Q222" s="519"/>
      <c r="S222" s="602"/>
      <c r="T222" s="603"/>
    </row>
    <row r="223" spans="1:20" ht="15.75" customHeight="1">
      <c r="A223" s="670"/>
      <c r="C223" s="175"/>
      <c r="D223" s="671"/>
      <c r="E223" s="671"/>
      <c r="F223" s="671"/>
      <c r="G223" s="274"/>
      <c r="H223" s="519"/>
      <c r="I223" s="522"/>
      <c r="J223" s="520"/>
      <c r="K223" s="672"/>
      <c r="Q223" s="519"/>
      <c r="S223" s="602"/>
      <c r="T223" s="603"/>
    </row>
    <row r="224" spans="1:20" ht="15.75" customHeight="1">
      <c r="A224" s="670"/>
      <c r="C224" s="175"/>
      <c r="D224" s="671"/>
      <c r="E224" s="671"/>
      <c r="F224" s="671"/>
      <c r="G224" s="274"/>
      <c r="H224" s="519"/>
      <c r="I224" s="522"/>
      <c r="J224" s="520"/>
      <c r="K224" s="672"/>
      <c r="Q224" s="519"/>
      <c r="S224" s="602"/>
      <c r="T224" s="603"/>
    </row>
    <row r="225" spans="1:20" ht="15.75" customHeight="1">
      <c r="A225" s="670"/>
      <c r="C225" s="175"/>
      <c r="D225" s="671"/>
      <c r="E225" s="671"/>
      <c r="F225" s="671"/>
      <c r="G225" s="274"/>
      <c r="H225" s="519"/>
      <c r="I225" s="522"/>
      <c r="J225" s="520"/>
      <c r="K225" s="672"/>
      <c r="Q225" s="519"/>
      <c r="S225" s="602"/>
      <c r="T225" s="603"/>
    </row>
    <row r="226" spans="1:20" ht="15.75" customHeight="1">
      <c r="A226" s="670"/>
      <c r="C226" s="175"/>
      <c r="D226" s="671"/>
      <c r="E226" s="671"/>
      <c r="F226" s="671"/>
      <c r="G226" s="274"/>
      <c r="H226" s="519"/>
      <c r="I226" s="522"/>
      <c r="J226" s="520"/>
      <c r="K226" s="672"/>
      <c r="Q226" s="519"/>
      <c r="S226" s="602"/>
      <c r="T226" s="603"/>
    </row>
    <row r="227" spans="1:20" ht="15.75" customHeight="1">
      <c r="A227" s="670"/>
      <c r="C227" s="175"/>
      <c r="D227" s="671"/>
      <c r="E227" s="671"/>
      <c r="F227" s="671"/>
      <c r="G227" s="274"/>
      <c r="H227" s="519"/>
      <c r="I227" s="522"/>
      <c r="J227" s="520"/>
      <c r="K227" s="672"/>
      <c r="Q227" s="519"/>
      <c r="S227" s="602"/>
      <c r="T227" s="603"/>
    </row>
    <row r="228" spans="1:20" ht="15.75" customHeight="1">
      <c r="A228" s="670"/>
      <c r="C228" s="175"/>
      <c r="D228" s="671"/>
      <c r="E228" s="671"/>
      <c r="F228" s="671"/>
      <c r="G228" s="274"/>
      <c r="H228" s="519"/>
      <c r="I228" s="522"/>
      <c r="J228" s="520"/>
      <c r="K228" s="672"/>
      <c r="Q228" s="519"/>
      <c r="S228" s="602"/>
      <c r="T228" s="603"/>
    </row>
    <row r="229" spans="1:20" ht="15.75" customHeight="1">
      <c r="A229" s="670"/>
      <c r="C229" s="175"/>
      <c r="D229" s="671"/>
      <c r="E229" s="671"/>
      <c r="F229" s="671"/>
      <c r="G229" s="274"/>
      <c r="H229" s="519"/>
      <c r="I229" s="522"/>
      <c r="J229" s="520"/>
      <c r="K229" s="672"/>
      <c r="Q229" s="519"/>
      <c r="S229" s="602"/>
      <c r="T229" s="603"/>
    </row>
    <row r="230" spans="1:20" ht="15.75" customHeight="1">
      <c r="A230" s="670"/>
      <c r="C230" s="175"/>
      <c r="D230" s="671"/>
      <c r="E230" s="671"/>
      <c r="F230" s="671"/>
      <c r="G230" s="274"/>
      <c r="H230" s="519"/>
      <c r="I230" s="522"/>
      <c r="J230" s="520"/>
      <c r="K230" s="672"/>
      <c r="Q230" s="519"/>
      <c r="S230" s="602"/>
      <c r="T230" s="603"/>
    </row>
    <row r="231" spans="1:20" ht="15.75" customHeight="1">
      <c r="A231" s="670"/>
      <c r="C231" s="175"/>
      <c r="D231" s="671"/>
      <c r="E231" s="671"/>
      <c r="F231" s="671"/>
      <c r="G231" s="274"/>
      <c r="H231" s="519"/>
      <c r="I231" s="522"/>
      <c r="J231" s="520"/>
      <c r="K231" s="672"/>
      <c r="Q231" s="519"/>
      <c r="S231" s="602"/>
      <c r="T231" s="603"/>
    </row>
    <row r="232" spans="1:20" ht="15.75" customHeight="1">
      <c r="A232" s="670"/>
      <c r="C232" s="175"/>
      <c r="D232" s="671"/>
      <c r="E232" s="671"/>
      <c r="F232" s="671"/>
      <c r="G232" s="274"/>
      <c r="H232" s="519"/>
      <c r="I232" s="522"/>
      <c r="J232" s="520"/>
      <c r="K232" s="672"/>
      <c r="Q232" s="519"/>
      <c r="S232" s="602"/>
      <c r="T232" s="603"/>
    </row>
    <row r="233" spans="1:20" ht="15.75" customHeight="1">
      <c r="A233" s="670"/>
      <c r="C233" s="175"/>
      <c r="D233" s="671"/>
      <c r="E233" s="671"/>
      <c r="F233" s="671"/>
      <c r="G233" s="274"/>
      <c r="H233" s="519"/>
      <c r="I233" s="522"/>
      <c r="J233" s="520"/>
      <c r="K233" s="672"/>
      <c r="Q233" s="519"/>
      <c r="S233" s="602"/>
      <c r="T233" s="603"/>
    </row>
    <row r="234" spans="1:20" ht="15.75" customHeight="1">
      <c r="A234" s="670"/>
    </row>
    <row r="235" spans="1:20" ht="15.75" customHeight="1">
      <c r="A235" s="670"/>
    </row>
    <row r="236" spans="1:20" ht="15.75" customHeight="1">
      <c r="A236" s="670"/>
    </row>
    <row r="237" spans="1:20" ht="15.75" customHeight="1">
      <c r="A237" s="670"/>
    </row>
    <row r="238" spans="1:20" ht="15.75" customHeight="1">
      <c r="A238" s="670"/>
    </row>
    <row r="239" spans="1:20" ht="15.75" customHeight="1">
      <c r="A239" s="670"/>
    </row>
    <row r="240" spans="1:20" ht="15.75" customHeight="1">
      <c r="A240" s="670"/>
    </row>
    <row r="241" spans="1:1" ht="15.75" customHeight="1">
      <c r="A241" s="670"/>
    </row>
    <row r="242" spans="1:1" ht="15.75" customHeight="1">
      <c r="A242" s="670"/>
    </row>
    <row r="243" spans="1:1" ht="15.75" customHeight="1">
      <c r="A243" s="670"/>
    </row>
    <row r="244" spans="1:1" ht="15.75" customHeight="1">
      <c r="A244" s="670"/>
    </row>
    <row r="245" spans="1:1" ht="15.75" customHeight="1">
      <c r="A245" s="670"/>
    </row>
    <row r="246" spans="1:1" ht="15.75" customHeight="1">
      <c r="A246" s="670"/>
    </row>
    <row r="247" spans="1:1" ht="15.75" customHeight="1">
      <c r="A247" s="670"/>
    </row>
    <row r="248" spans="1:1" ht="15.75" customHeight="1">
      <c r="A248" s="670"/>
    </row>
    <row r="249" spans="1:1" ht="15.75" customHeight="1">
      <c r="A249" s="670"/>
    </row>
    <row r="250" spans="1:1" ht="15.75" customHeight="1">
      <c r="A250" s="670"/>
    </row>
    <row r="251" spans="1:1" ht="15.75" customHeight="1">
      <c r="A251" s="670"/>
    </row>
    <row r="252" spans="1:1" ht="15.75" customHeight="1">
      <c r="A252" s="670"/>
    </row>
    <row r="253" spans="1:1" ht="15.75" customHeight="1">
      <c r="A253" s="670"/>
    </row>
    <row r="254" spans="1:1" ht="15.75" customHeight="1">
      <c r="A254" s="670"/>
    </row>
    <row r="255" spans="1:1" ht="15.75" customHeight="1">
      <c r="A255" s="670"/>
    </row>
    <row r="256" spans="1:1" ht="15.75" customHeight="1">
      <c r="A256" s="670"/>
    </row>
    <row r="257" spans="1:1" ht="15.75" customHeight="1">
      <c r="A257" s="670"/>
    </row>
    <row r="258" spans="1:1" ht="15.75" customHeight="1">
      <c r="A258" s="670"/>
    </row>
    <row r="259" spans="1:1" ht="15.75" customHeight="1">
      <c r="A259" s="670"/>
    </row>
    <row r="260" spans="1:1" ht="15.75" customHeight="1">
      <c r="A260" s="670"/>
    </row>
    <row r="261" spans="1:1" ht="15.75" customHeight="1">
      <c r="A261" s="670"/>
    </row>
    <row r="262" spans="1:1" ht="15.75" customHeight="1">
      <c r="A262" s="670"/>
    </row>
    <row r="263" spans="1:1" ht="15.75" customHeight="1">
      <c r="A263" s="670"/>
    </row>
    <row r="264" spans="1:1" ht="15.75" customHeight="1">
      <c r="A264" s="670"/>
    </row>
    <row r="265" spans="1:1" ht="15.75" customHeight="1">
      <c r="A265" s="670"/>
    </row>
    <row r="266" spans="1:1" ht="15.75" customHeight="1">
      <c r="A266" s="670"/>
    </row>
    <row r="267" spans="1:1" ht="15.75" customHeight="1">
      <c r="A267" s="670"/>
    </row>
    <row r="268" spans="1:1" ht="15.75" customHeight="1">
      <c r="A268" s="670"/>
    </row>
    <row r="269" spans="1:1" ht="15.75" customHeight="1">
      <c r="A269" s="670"/>
    </row>
    <row r="270" spans="1:1" ht="15.75" customHeight="1">
      <c r="A270" s="670"/>
    </row>
    <row r="271" spans="1:1" ht="15.75" customHeight="1">
      <c r="A271" s="670"/>
    </row>
    <row r="272" spans="1:1" ht="15.75" customHeight="1">
      <c r="A272" s="670"/>
    </row>
    <row r="273" spans="1:1" ht="15.75" customHeight="1">
      <c r="A273" s="670"/>
    </row>
    <row r="274" spans="1:1" ht="15.75" customHeight="1">
      <c r="A274" s="670"/>
    </row>
    <row r="275" spans="1:1" ht="15.75" customHeight="1">
      <c r="A275" s="670"/>
    </row>
    <row r="276" spans="1:1" ht="15.75" customHeight="1">
      <c r="A276" s="670"/>
    </row>
    <row r="277" spans="1:1" ht="15.75" customHeight="1">
      <c r="A277" s="670"/>
    </row>
    <row r="278" spans="1:1" ht="15.75" customHeight="1">
      <c r="A278" s="670"/>
    </row>
    <row r="279" spans="1:1" ht="15.75" customHeight="1">
      <c r="A279" s="670"/>
    </row>
    <row r="280" spans="1:1" ht="15.75" customHeight="1">
      <c r="A280" s="670"/>
    </row>
    <row r="281" spans="1:1" ht="15.75" customHeight="1">
      <c r="A281" s="670"/>
    </row>
    <row r="282" spans="1:1" ht="15.75" customHeight="1">
      <c r="A282" s="670"/>
    </row>
    <row r="283" spans="1:1" ht="15.75" customHeight="1">
      <c r="A283" s="670"/>
    </row>
    <row r="284" spans="1:1" ht="15.75" customHeight="1">
      <c r="A284" s="670"/>
    </row>
    <row r="285" spans="1:1" ht="15.75" customHeight="1">
      <c r="A285" s="670"/>
    </row>
    <row r="286" spans="1:1" ht="15.75" customHeight="1">
      <c r="A286" s="670"/>
    </row>
    <row r="287" spans="1:1" ht="15.75" customHeight="1">
      <c r="A287" s="670"/>
    </row>
    <row r="288" spans="1:1" ht="15.75" customHeight="1">
      <c r="A288" s="670"/>
    </row>
    <row r="289" spans="1:1" ht="15.75" customHeight="1">
      <c r="A289" s="670"/>
    </row>
    <row r="290" spans="1:1" ht="15.75" customHeight="1">
      <c r="A290" s="670"/>
    </row>
    <row r="291" spans="1:1" ht="15.75" customHeight="1">
      <c r="A291" s="670"/>
    </row>
    <row r="292" spans="1:1" ht="15.75" customHeight="1">
      <c r="A292" s="670"/>
    </row>
    <row r="293" spans="1:1" ht="15.75" customHeight="1">
      <c r="A293" s="670"/>
    </row>
    <row r="294" spans="1:1" ht="15.75" customHeight="1">
      <c r="A294" s="670"/>
    </row>
    <row r="295" spans="1:1" ht="15.75" customHeight="1">
      <c r="A295" s="670"/>
    </row>
    <row r="296" spans="1:1" ht="15.75" customHeight="1">
      <c r="A296" s="670"/>
    </row>
    <row r="297" spans="1:1" ht="15.75" customHeight="1">
      <c r="A297" s="670"/>
    </row>
    <row r="298" spans="1:1" ht="15.75" customHeight="1">
      <c r="A298" s="670"/>
    </row>
    <row r="299" spans="1:1" ht="15.75" customHeight="1">
      <c r="A299" s="670"/>
    </row>
    <row r="300" spans="1:1" ht="15.75" customHeight="1">
      <c r="A300" s="670"/>
    </row>
    <row r="301" spans="1:1" ht="15.75" customHeight="1">
      <c r="A301" s="670"/>
    </row>
    <row r="302" spans="1:1" ht="15.75" customHeight="1">
      <c r="A302" s="670"/>
    </row>
    <row r="303" spans="1:1" ht="15.75" customHeight="1">
      <c r="A303" s="670"/>
    </row>
    <row r="304" spans="1:1" ht="15.75" customHeight="1">
      <c r="A304" s="670"/>
    </row>
    <row r="305" spans="1:1" ht="15.75" customHeight="1">
      <c r="A305" s="670"/>
    </row>
    <row r="306" spans="1:1" ht="15.75" customHeight="1">
      <c r="A306" s="670"/>
    </row>
    <row r="307" spans="1:1" ht="15.75" customHeight="1">
      <c r="A307" s="670"/>
    </row>
    <row r="308" spans="1:1" ht="15.75" customHeight="1">
      <c r="A308" s="670"/>
    </row>
    <row r="309" spans="1:1" ht="15.75" customHeight="1">
      <c r="A309" s="670"/>
    </row>
    <row r="310" spans="1:1" ht="15.75" customHeight="1">
      <c r="A310" s="670"/>
    </row>
    <row r="311" spans="1:1" ht="15.75" customHeight="1">
      <c r="A311" s="670"/>
    </row>
    <row r="312" spans="1:1" ht="15.75" customHeight="1">
      <c r="A312" s="670"/>
    </row>
    <row r="313" spans="1:1" ht="15.75" customHeight="1">
      <c r="A313" s="670"/>
    </row>
    <row r="314" spans="1:1" ht="15.75" customHeight="1">
      <c r="A314" s="670"/>
    </row>
    <row r="315" spans="1:1" ht="15.75" customHeight="1">
      <c r="A315" s="670"/>
    </row>
    <row r="316" spans="1:1" ht="15.75" customHeight="1">
      <c r="A316" s="670"/>
    </row>
    <row r="317" spans="1:1" ht="15.75" customHeight="1">
      <c r="A317" s="670"/>
    </row>
    <row r="318" spans="1:1" ht="15.75" customHeight="1">
      <c r="A318" s="670"/>
    </row>
    <row r="319" spans="1:1" ht="15.75" customHeight="1">
      <c r="A319" s="670"/>
    </row>
    <row r="320" spans="1:1" ht="15.75" customHeight="1">
      <c r="A320" s="670"/>
    </row>
    <row r="321" spans="1:1" ht="15.75" customHeight="1">
      <c r="A321" s="670"/>
    </row>
    <row r="322" spans="1:1" ht="15.75" customHeight="1">
      <c r="A322" s="670"/>
    </row>
    <row r="323" spans="1:1" ht="15.75" customHeight="1">
      <c r="A323" s="670"/>
    </row>
    <row r="324" spans="1:1" ht="15.75" customHeight="1">
      <c r="A324" s="670"/>
    </row>
    <row r="325" spans="1:1" ht="15.75" customHeight="1">
      <c r="A325" s="670"/>
    </row>
    <row r="326" spans="1:1" ht="15.75" customHeight="1">
      <c r="A326" s="670"/>
    </row>
    <row r="327" spans="1:1" ht="15.75" customHeight="1">
      <c r="A327" s="670"/>
    </row>
    <row r="328" spans="1:1" ht="15.75" customHeight="1">
      <c r="A328" s="670"/>
    </row>
    <row r="329" spans="1:1" ht="15.75" customHeight="1">
      <c r="A329" s="670"/>
    </row>
    <row r="330" spans="1:1" ht="15.75" customHeight="1">
      <c r="A330" s="670"/>
    </row>
    <row r="331" spans="1:1" ht="15.75" customHeight="1">
      <c r="A331" s="670"/>
    </row>
    <row r="332" spans="1:1" ht="15.75" customHeight="1">
      <c r="A332" s="670"/>
    </row>
    <row r="333" spans="1:1" ht="15.75" customHeight="1">
      <c r="A333" s="670"/>
    </row>
    <row r="334" spans="1:1" ht="15.75" customHeight="1">
      <c r="A334" s="670"/>
    </row>
    <row r="335" spans="1:1" ht="15.75" customHeight="1">
      <c r="A335" s="670"/>
    </row>
    <row r="336" spans="1:1" ht="15.75" customHeight="1">
      <c r="A336" s="670"/>
    </row>
    <row r="337" spans="1:1" ht="15.75" customHeight="1">
      <c r="A337" s="670"/>
    </row>
    <row r="338" spans="1:1" ht="15.75" customHeight="1">
      <c r="A338" s="670"/>
    </row>
    <row r="339" spans="1:1" ht="15.75" customHeight="1">
      <c r="A339" s="670"/>
    </row>
    <row r="340" spans="1:1" ht="15.75" customHeight="1">
      <c r="A340" s="670"/>
    </row>
    <row r="341" spans="1:1" ht="15.75" customHeight="1">
      <c r="A341" s="670"/>
    </row>
    <row r="342" spans="1:1" ht="15.75" customHeight="1">
      <c r="A342" s="670"/>
    </row>
    <row r="343" spans="1:1" ht="15.75" customHeight="1">
      <c r="A343" s="670"/>
    </row>
    <row r="344" spans="1:1" ht="15.75" customHeight="1">
      <c r="A344" s="670"/>
    </row>
    <row r="345" spans="1:1" ht="15.75" customHeight="1">
      <c r="A345" s="670"/>
    </row>
    <row r="346" spans="1:1" ht="15.75" customHeight="1">
      <c r="A346" s="670"/>
    </row>
    <row r="347" spans="1:1" ht="15.75" customHeight="1">
      <c r="A347" s="670"/>
    </row>
    <row r="348" spans="1:1" ht="15.75" customHeight="1">
      <c r="A348" s="670"/>
    </row>
    <row r="349" spans="1:1" ht="15.75" customHeight="1">
      <c r="A349" s="670"/>
    </row>
    <row r="350" spans="1:1" ht="15.75" customHeight="1">
      <c r="A350" s="670"/>
    </row>
    <row r="351" spans="1:1" ht="15.75" customHeight="1">
      <c r="A351" s="670"/>
    </row>
    <row r="352" spans="1:1" ht="15.75" customHeight="1">
      <c r="A352" s="670"/>
    </row>
    <row r="353" spans="1:1" ht="15.75" customHeight="1">
      <c r="A353" s="670"/>
    </row>
    <row r="354" spans="1:1" ht="15.75" customHeight="1">
      <c r="A354" s="670"/>
    </row>
    <row r="355" spans="1:1" ht="15.75" customHeight="1">
      <c r="A355" s="670"/>
    </row>
    <row r="356" spans="1:1" ht="15.75" customHeight="1">
      <c r="A356" s="670"/>
    </row>
    <row r="357" spans="1:1" ht="15.75" customHeight="1">
      <c r="A357" s="670"/>
    </row>
    <row r="358" spans="1:1" ht="15.75" customHeight="1">
      <c r="A358" s="670"/>
    </row>
    <row r="359" spans="1:1" ht="15.75" customHeight="1">
      <c r="A359" s="670"/>
    </row>
    <row r="360" spans="1:1" ht="15.75" customHeight="1">
      <c r="A360" s="670"/>
    </row>
    <row r="361" spans="1:1" ht="15.75" customHeight="1">
      <c r="A361" s="670"/>
    </row>
    <row r="362" spans="1:1" ht="15.75" customHeight="1">
      <c r="A362" s="670"/>
    </row>
    <row r="363" spans="1:1" ht="15.75" customHeight="1">
      <c r="A363" s="670"/>
    </row>
    <row r="364" spans="1:1" ht="15.75" customHeight="1">
      <c r="A364" s="670"/>
    </row>
    <row r="365" spans="1:1" ht="15.75" customHeight="1">
      <c r="A365" s="670"/>
    </row>
    <row r="366" spans="1:1" ht="15.75" customHeight="1">
      <c r="A366" s="670"/>
    </row>
    <row r="367" spans="1:1" ht="15.75" customHeight="1">
      <c r="A367" s="670"/>
    </row>
    <row r="368" spans="1:1" ht="15.75" customHeight="1">
      <c r="A368" s="670"/>
    </row>
    <row r="369" spans="1:1" ht="15.75" customHeight="1">
      <c r="A369" s="670"/>
    </row>
    <row r="370" spans="1:1" ht="15.75" customHeight="1">
      <c r="A370" s="670"/>
    </row>
    <row r="371" spans="1:1" ht="15.75" customHeight="1">
      <c r="A371" s="670"/>
    </row>
    <row r="372" spans="1:1" ht="15.75" customHeight="1">
      <c r="A372" s="670"/>
    </row>
    <row r="373" spans="1:1" ht="15.75" customHeight="1">
      <c r="A373" s="670"/>
    </row>
    <row r="374" spans="1:1" ht="15.75" customHeight="1">
      <c r="A374" s="670"/>
    </row>
    <row r="375" spans="1:1" ht="15.75" customHeight="1">
      <c r="A375" s="670"/>
    </row>
    <row r="376" spans="1:1" ht="15.75" customHeight="1">
      <c r="A376" s="670"/>
    </row>
    <row r="377" spans="1:1" ht="15.75" customHeight="1">
      <c r="A377" s="670"/>
    </row>
    <row r="378" spans="1:1" ht="15.75" customHeight="1">
      <c r="A378" s="670"/>
    </row>
    <row r="379" spans="1:1" ht="15.75" customHeight="1">
      <c r="A379" s="670"/>
    </row>
    <row r="380" spans="1:1" ht="15.75" customHeight="1">
      <c r="A380" s="670"/>
    </row>
    <row r="381" spans="1:1" ht="15.75" customHeight="1">
      <c r="A381" s="670"/>
    </row>
    <row r="382" spans="1:1" ht="15.75" customHeight="1">
      <c r="A382" s="670"/>
    </row>
    <row r="383" spans="1:1" ht="15.75" customHeight="1">
      <c r="A383" s="670"/>
    </row>
    <row r="384" spans="1:1" ht="15.75" customHeight="1">
      <c r="A384" s="670"/>
    </row>
    <row r="385" spans="1:1" ht="15.75" customHeight="1">
      <c r="A385" s="670"/>
    </row>
    <row r="386" spans="1:1" ht="15.75" customHeight="1">
      <c r="A386" s="670"/>
    </row>
    <row r="387" spans="1:1" ht="15.75" customHeight="1">
      <c r="A387" s="670"/>
    </row>
    <row r="388" spans="1:1" ht="15.75" customHeight="1">
      <c r="A388" s="670"/>
    </row>
    <row r="389" spans="1:1" ht="15.75" customHeight="1">
      <c r="A389" s="670"/>
    </row>
    <row r="390" spans="1:1" ht="15.75" customHeight="1">
      <c r="A390" s="670"/>
    </row>
    <row r="391" spans="1:1" ht="15.75" customHeight="1">
      <c r="A391" s="670"/>
    </row>
    <row r="392" spans="1:1" ht="15.75" customHeight="1">
      <c r="A392" s="670"/>
    </row>
    <row r="393" spans="1:1" ht="15.75" customHeight="1">
      <c r="A393" s="670"/>
    </row>
    <row r="394" spans="1:1" ht="15.75" customHeight="1">
      <c r="A394" s="670"/>
    </row>
    <row r="395" spans="1:1" ht="15.75" customHeight="1">
      <c r="A395" s="670"/>
    </row>
    <row r="396" spans="1:1" ht="15.75" customHeight="1">
      <c r="A396" s="670"/>
    </row>
    <row r="397" spans="1:1" ht="15.75" customHeight="1">
      <c r="A397" s="670"/>
    </row>
    <row r="398" spans="1:1" ht="15.75" customHeight="1">
      <c r="A398" s="670"/>
    </row>
    <row r="399" spans="1:1" ht="15.75" customHeight="1">
      <c r="A399" s="670"/>
    </row>
    <row r="400" spans="1:1" ht="15.75" customHeight="1">
      <c r="A400" s="670"/>
    </row>
    <row r="401" spans="1:1" ht="15.75" customHeight="1">
      <c r="A401" s="670"/>
    </row>
    <row r="402" spans="1:1" ht="15.75" customHeight="1">
      <c r="A402" s="670"/>
    </row>
    <row r="403" spans="1:1" ht="15.75" customHeight="1">
      <c r="A403" s="670"/>
    </row>
    <row r="404" spans="1:1" ht="15.75" customHeight="1">
      <c r="A404" s="670"/>
    </row>
    <row r="405" spans="1:1" ht="15.75" customHeight="1">
      <c r="A405" s="670"/>
    </row>
    <row r="406" spans="1:1" ht="15.75" customHeight="1">
      <c r="A406" s="670"/>
    </row>
    <row r="407" spans="1:1" ht="15.75" customHeight="1">
      <c r="A407" s="670"/>
    </row>
    <row r="408" spans="1:1" ht="15.75" customHeight="1">
      <c r="A408" s="670"/>
    </row>
    <row r="409" spans="1:1" ht="15.75" customHeight="1">
      <c r="A409" s="670"/>
    </row>
    <row r="410" spans="1:1" ht="15.75" customHeight="1">
      <c r="A410" s="670"/>
    </row>
    <row r="411" spans="1:1" ht="15.75" customHeight="1">
      <c r="A411" s="670"/>
    </row>
    <row r="412" spans="1:1" ht="15.75" customHeight="1">
      <c r="A412" s="670"/>
    </row>
    <row r="413" spans="1:1" ht="15.75" customHeight="1">
      <c r="A413" s="670"/>
    </row>
    <row r="414" spans="1:1" ht="15.75" customHeight="1">
      <c r="A414" s="670"/>
    </row>
    <row r="415" spans="1:1" ht="15.75" customHeight="1">
      <c r="A415" s="670"/>
    </row>
    <row r="416" spans="1:1" ht="15.75" customHeight="1">
      <c r="A416" s="670"/>
    </row>
    <row r="417" spans="1:1" ht="15.75" customHeight="1">
      <c r="A417" s="670"/>
    </row>
    <row r="418" spans="1:1" ht="15.75" customHeight="1">
      <c r="A418" s="670"/>
    </row>
    <row r="419" spans="1:1" ht="15.75" customHeight="1">
      <c r="A419" s="670"/>
    </row>
    <row r="420" spans="1:1" ht="15.75" customHeight="1">
      <c r="A420" s="670"/>
    </row>
    <row r="421" spans="1:1" ht="15.75" customHeight="1">
      <c r="A421" s="670"/>
    </row>
    <row r="422" spans="1:1" ht="15.75" customHeight="1">
      <c r="A422" s="670"/>
    </row>
    <row r="423" spans="1:1" ht="15.75" customHeight="1">
      <c r="A423" s="670"/>
    </row>
    <row r="424" spans="1:1" ht="15.75" customHeight="1">
      <c r="A424" s="670"/>
    </row>
    <row r="425" spans="1:1" ht="15.75" customHeight="1">
      <c r="A425" s="670"/>
    </row>
    <row r="426" spans="1:1" ht="15.75" customHeight="1">
      <c r="A426" s="670"/>
    </row>
    <row r="427" spans="1:1" ht="15.75" customHeight="1">
      <c r="A427" s="670"/>
    </row>
    <row r="428" spans="1:1" ht="15.75" customHeight="1">
      <c r="A428" s="670"/>
    </row>
    <row r="429" spans="1:1" ht="15.75" customHeight="1">
      <c r="A429" s="670"/>
    </row>
    <row r="430" spans="1:1" ht="15.75" customHeight="1">
      <c r="A430" s="670"/>
    </row>
    <row r="431" spans="1:1" ht="15.75" customHeight="1">
      <c r="A431" s="670"/>
    </row>
    <row r="432" spans="1:1" ht="15.75" customHeight="1">
      <c r="A432" s="670"/>
    </row>
    <row r="433" spans="1:1" ht="15.75" customHeight="1">
      <c r="A433" s="670"/>
    </row>
    <row r="434" spans="1:1" ht="15.75" customHeight="1">
      <c r="A434" s="670"/>
    </row>
    <row r="435" spans="1:1" ht="15.75" customHeight="1">
      <c r="A435" s="670"/>
    </row>
    <row r="436" spans="1:1" ht="15.75" customHeight="1">
      <c r="A436" s="670"/>
    </row>
    <row r="437" spans="1:1" ht="15.75" customHeight="1">
      <c r="A437" s="670"/>
    </row>
    <row r="438" spans="1:1" ht="15.75" customHeight="1">
      <c r="A438" s="670"/>
    </row>
    <row r="439" spans="1:1" ht="15.75" customHeight="1">
      <c r="A439" s="670"/>
    </row>
    <row r="440" spans="1:1" ht="15.75" customHeight="1">
      <c r="A440" s="670"/>
    </row>
    <row r="441" spans="1:1" ht="15.75" customHeight="1">
      <c r="A441" s="670"/>
    </row>
    <row r="442" spans="1:1" ht="15.75" customHeight="1">
      <c r="A442" s="670"/>
    </row>
    <row r="443" spans="1:1" ht="15.75" customHeight="1">
      <c r="A443" s="670"/>
    </row>
    <row r="444" spans="1:1" ht="15.75" customHeight="1">
      <c r="A444" s="670"/>
    </row>
    <row r="445" spans="1:1" ht="15.75" customHeight="1">
      <c r="A445" s="670"/>
    </row>
    <row r="446" spans="1:1" ht="15.75" customHeight="1">
      <c r="A446" s="670"/>
    </row>
    <row r="447" spans="1:1" ht="15.75" customHeight="1">
      <c r="A447" s="670"/>
    </row>
    <row r="448" spans="1:1" ht="15.75" customHeight="1">
      <c r="A448" s="670"/>
    </row>
    <row r="449" spans="1:1" ht="15.75" customHeight="1">
      <c r="A449" s="670"/>
    </row>
    <row r="450" spans="1:1" ht="15.75" customHeight="1">
      <c r="A450" s="670"/>
    </row>
    <row r="451" spans="1:1" ht="15.75" customHeight="1">
      <c r="A451" s="670"/>
    </row>
    <row r="452" spans="1:1" ht="15.75" customHeight="1">
      <c r="A452" s="670"/>
    </row>
    <row r="453" spans="1:1" ht="15.75" customHeight="1">
      <c r="A453" s="670"/>
    </row>
    <row r="454" spans="1:1" ht="15.75" customHeight="1">
      <c r="A454" s="670"/>
    </row>
    <row r="455" spans="1:1" ht="15.75" customHeight="1">
      <c r="A455" s="670"/>
    </row>
    <row r="456" spans="1:1" ht="15.75" customHeight="1">
      <c r="A456" s="670"/>
    </row>
    <row r="457" spans="1:1" ht="15.75" customHeight="1">
      <c r="A457" s="670"/>
    </row>
    <row r="458" spans="1:1" ht="15.75" customHeight="1">
      <c r="A458" s="670"/>
    </row>
    <row r="459" spans="1:1" ht="15.75" customHeight="1">
      <c r="A459" s="670"/>
    </row>
    <row r="460" spans="1:1" ht="15.75" customHeight="1">
      <c r="A460" s="670"/>
    </row>
    <row r="461" spans="1:1" ht="15.75" customHeight="1">
      <c r="A461" s="670"/>
    </row>
    <row r="462" spans="1:1" ht="15.75" customHeight="1">
      <c r="A462" s="670"/>
    </row>
    <row r="463" spans="1:1" ht="15.75" customHeight="1">
      <c r="A463" s="670"/>
    </row>
    <row r="464" spans="1:1" ht="15.75" customHeight="1">
      <c r="A464" s="670"/>
    </row>
    <row r="465" spans="1:1" ht="15.75" customHeight="1">
      <c r="A465" s="670"/>
    </row>
    <row r="466" spans="1:1" ht="15.75" customHeight="1">
      <c r="A466" s="670"/>
    </row>
    <row r="467" spans="1:1" ht="15.75" customHeight="1">
      <c r="A467" s="670"/>
    </row>
    <row r="468" spans="1:1" ht="15.75" customHeight="1">
      <c r="A468" s="670"/>
    </row>
    <row r="469" spans="1:1" ht="15.75" customHeight="1">
      <c r="A469" s="670"/>
    </row>
    <row r="470" spans="1:1" ht="15.75" customHeight="1">
      <c r="A470" s="670"/>
    </row>
    <row r="471" spans="1:1" ht="15.75" customHeight="1">
      <c r="A471" s="670"/>
    </row>
    <row r="472" spans="1:1" ht="15.75" customHeight="1">
      <c r="A472" s="670"/>
    </row>
    <row r="473" spans="1:1" ht="15.75" customHeight="1">
      <c r="A473" s="670"/>
    </row>
    <row r="474" spans="1:1" ht="15.75" customHeight="1">
      <c r="A474" s="670"/>
    </row>
    <row r="475" spans="1:1" ht="15.75" customHeight="1">
      <c r="A475" s="670"/>
    </row>
    <row r="476" spans="1:1" ht="15.75" customHeight="1">
      <c r="A476" s="670"/>
    </row>
    <row r="477" spans="1:1" ht="15.75" customHeight="1">
      <c r="A477" s="670"/>
    </row>
    <row r="478" spans="1:1" ht="15.75" customHeight="1">
      <c r="A478" s="670"/>
    </row>
    <row r="479" spans="1:1" ht="15.75" customHeight="1">
      <c r="A479" s="670"/>
    </row>
    <row r="480" spans="1:1" ht="15.75" customHeight="1">
      <c r="A480" s="670"/>
    </row>
    <row r="481" spans="1:1" ht="15.75" customHeight="1">
      <c r="A481" s="670"/>
    </row>
    <row r="482" spans="1:1" ht="15.75" customHeight="1">
      <c r="A482" s="670"/>
    </row>
    <row r="483" spans="1:1" ht="15.75" customHeight="1">
      <c r="A483" s="670"/>
    </row>
    <row r="484" spans="1:1" ht="15.75" customHeight="1">
      <c r="A484" s="670"/>
    </row>
    <row r="485" spans="1:1" ht="15.75" customHeight="1">
      <c r="A485" s="670"/>
    </row>
    <row r="486" spans="1:1" ht="15.75" customHeight="1">
      <c r="A486" s="670"/>
    </row>
    <row r="487" spans="1:1" ht="15.75" customHeight="1">
      <c r="A487" s="670"/>
    </row>
    <row r="488" spans="1:1" ht="15.75" customHeight="1">
      <c r="A488" s="670"/>
    </row>
    <row r="489" spans="1:1" ht="15.75" customHeight="1">
      <c r="A489" s="670"/>
    </row>
    <row r="490" spans="1:1" ht="15.75" customHeight="1">
      <c r="A490" s="670"/>
    </row>
    <row r="491" spans="1:1" ht="15.75" customHeight="1">
      <c r="A491" s="670"/>
    </row>
    <row r="492" spans="1:1" ht="15.75" customHeight="1">
      <c r="A492" s="670"/>
    </row>
    <row r="493" spans="1:1" ht="15.75" customHeight="1">
      <c r="A493" s="670"/>
    </row>
    <row r="494" spans="1:1" ht="15.75" customHeight="1">
      <c r="A494" s="670"/>
    </row>
    <row r="495" spans="1:1" ht="15.75" customHeight="1">
      <c r="A495" s="670"/>
    </row>
    <row r="496" spans="1:1" ht="15.75" customHeight="1">
      <c r="A496" s="670"/>
    </row>
    <row r="497" spans="1:1" ht="15.75" customHeight="1">
      <c r="A497" s="670"/>
    </row>
    <row r="498" spans="1:1" ht="15.75" customHeight="1">
      <c r="A498" s="670"/>
    </row>
    <row r="499" spans="1:1" ht="15.75" customHeight="1">
      <c r="A499" s="670"/>
    </row>
    <row r="500" spans="1:1" ht="15.75" customHeight="1">
      <c r="A500" s="670"/>
    </row>
    <row r="501" spans="1:1" ht="15.75" customHeight="1">
      <c r="A501" s="670"/>
    </row>
    <row r="502" spans="1:1" ht="15.75" customHeight="1">
      <c r="A502" s="670"/>
    </row>
    <row r="503" spans="1:1" ht="15.75" customHeight="1">
      <c r="A503" s="670"/>
    </row>
    <row r="504" spans="1:1" ht="15.75" customHeight="1">
      <c r="A504" s="670"/>
    </row>
    <row r="505" spans="1:1" ht="15.75" customHeight="1">
      <c r="A505" s="670"/>
    </row>
    <row r="506" spans="1:1" ht="15.75" customHeight="1">
      <c r="A506" s="670"/>
    </row>
    <row r="507" spans="1:1" ht="15.75" customHeight="1">
      <c r="A507" s="670"/>
    </row>
    <row r="508" spans="1:1" ht="15.75" customHeight="1">
      <c r="A508" s="670"/>
    </row>
    <row r="509" spans="1:1" ht="15.75" customHeight="1">
      <c r="A509" s="670"/>
    </row>
    <row r="510" spans="1:1" ht="15.75" customHeight="1">
      <c r="A510" s="670"/>
    </row>
    <row r="511" spans="1:1" ht="15.75" customHeight="1">
      <c r="A511" s="670"/>
    </row>
    <row r="512" spans="1:1" ht="15.75" customHeight="1">
      <c r="A512" s="670"/>
    </row>
    <row r="513" spans="1:1" ht="15.75" customHeight="1">
      <c r="A513" s="670"/>
    </row>
    <row r="514" spans="1:1" ht="15.75" customHeight="1">
      <c r="A514" s="670"/>
    </row>
    <row r="515" spans="1:1" ht="15.75" customHeight="1">
      <c r="A515" s="670"/>
    </row>
    <row r="516" spans="1:1" ht="15.75" customHeight="1">
      <c r="A516" s="670"/>
    </row>
    <row r="517" spans="1:1" ht="15.75" customHeight="1">
      <c r="A517" s="670"/>
    </row>
    <row r="518" spans="1:1" ht="15.75" customHeight="1">
      <c r="A518" s="670"/>
    </row>
    <row r="519" spans="1:1" ht="15.75" customHeight="1">
      <c r="A519" s="670"/>
    </row>
    <row r="520" spans="1:1" ht="15.75" customHeight="1">
      <c r="A520" s="670"/>
    </row>
    <row r="521" spans="1:1" ht="15.75" customHeight="1">
      <c r="A521" s="670"/>
    </row>
    <row r="522" spans="1:1" ht="15.75" customHeight="1">
      <c r="A522" s="670"/>
    </row>
    <row r="523" spans="1:1" ht="15.75" customHeight="1">
      <c r="A523" s="670"/>
    </row>
    <row r="524" spans="1:1" ht="15.75" customHeight="1">
      <c r="A524" s="670"/>
    </row>
    <row r="525" spans="1:1" ht="15.75" customHeight="1">
      <c r="A525" s="670"/>
    </row>
    <row r="526" spans="1:1" ht="15.75" customHeight="1">
      <c r="A526" s="670"/>
    </row>
    <row r="527" spans="1:1" ht="15.75" customHeight="1">
      <c r="A527" s="670"/>
    </row>
    <row r="528" spans="1:1" ht="15.75" customHeight="1">
      <c r="A528" s="670"/>
    </row>
    <row r="529" spans="1:1" ht="15.75" customHeight="1">
      <c r="A529" s="670"/>
    </row>
    <row r="530" spans="1:1" ht="15.75" customHeight="1">
      <c r="A530" s="670"/>
    </row>
    <row r="531" spans="1:1" ht="15.75" customHeight="1">
      <c r="A531" s="670"/>
    </row>
    <row r="532" spans="1:1" ht="15.75" customHeight="1">
      <c r="A532" s="670"/>
    </row>
    <row r="533" spans="1:1" ht="15.75" customHeight="1">
      <c r="A533" s="670"/>
    </row>
    <row r="534" spans="1:1" ht="15.75" customHeight="1">
      <c r="A534" s="670"/>
    </row>
    <row r="535" spans="1:1" ht="15.75" customHeight="1">
      <c r="A535" s="670"/>
    </row>
    <row r="536" spans="1:1" ht="15.75" customHeight="1">
      <c r="A536" s="670"/>
    </row>
    <row r="537" spans="1:1" ht="15.75" customHeight="1">
      <c r="A537" s="670"/>
    </row>
    <row r="538" spans="1:1" ht="15.75" customHeight="1">
      <c r="A538" s="670"/>
    </row>
    <row r="539" spans="1:1" ht="15.75" customHeight="1">
      <c r="A539" s="670"/>
    </row>
    <row r="540" spans="1:1" ht="15.75" customHeight="1">
      <c r="A540" s="670"/>
    </row>
    <row r="541" spans="1:1" ht="15.75" customHeight="1">
      <c r="A541" s="670"/>
    </row>
    <row r="542" spans="1:1" ht="15.75" customHeight="1">
      <c r="A542" s="670"/>
    </row>
    <row r="543" spans="1:1" ht="15.75" customHeight="1">
      <c r="A543" s="670"/>
    </row>
    <row r="544" spans="1:1" ht="15.75" customHeight="1">
      <c r="A544" s="670"/>
    </row>
    <row r="545" spans="1:1" ht="15.75" customHeight="1">
      <c r="A545" s="670"/>
    </row>
    <row r="546" spans="1:1" ht="15.75" customHeight="1">
      <c r="A546" s="670"/>
    </row>
    <row r="547" spans="1:1" ht="15.75" customHeight="1">
      <c r="A547" s="670"/>
    </row>
    <row r="548" spans="1:1" ht="15.75" customHeight="1">
      <c r="A548" s="670"/>
    </row>
    <row r="549" spans="1:1" ht="15.75" customHeight="1">
      <c r="A549" s="670"/>
    </row>
    <row r="550" spans="1:1" ht="15.75" customHeight="1">
      <c r="A550" s="670"/>
    </row>
    <row r="551" spans="1:1" ht="15.75" customHeight="1">
      <c r="A551" s="670"/>
    </row>
    <row r="552" spans="1:1" ht="15.75" customHeight="1">
      <c r="A552" s="670"/>
    </row>
    <row r="553" spans="1:1" ht="15.75" customHeight="1">
      <c r="A553" s="670"/>
    </row>
    <row r="554" spans="1:1" ht="15.75" customHeight="1">
      <c r="A554" s="670"/>
    </row>
    <row r="555" spans="1:1" ht="15.75" customHeight="1">
      <c r="A555" s="670"/>
    </row>
    <row r="556" spans="1:1" ht="15.75" customHeight="1">
      <c r="A556" s="670"/>
    </row>
    <row r="557" spans="1:1" ht="15.75" customHeight="1">
      <c r="A557" s="670"/>
    </row>
    <row r="558" spans="1:1" ht="15.75" customHeight="1">
      <c r="A558" s="670"/>
    </row>
    <row r="559" spans="1:1" ht="15.75" customHeight="1">
      <c r="A559" s="670"/>
    </row>
    <row r="560" spans="1:1" ht="15.75" customHeight="1">
      <c r="A560" s="670"/>
    </row>
    <row r="561" spans="1:1" ht="15.75" customHeight="1">
      <c r="A561" s="670"/>
    </row>
    <row r="562" spans="1:1" ht="15.75" customHeight="1">
      <c r="A562" s="670"/>
    </row>
    <row r="563" spans="1:1" ht="15.75" customHeight="1">
      <c r="A563" s="670"/>
    </row>
    <row r="564" spans="1:1" ht="15.75" customHeight="1">
      <c r="A564" s="670"/>
    </row>
    <row r="565" spans="1:1" ht="15.75" customHeight="1">
      <c r="A565" s="670"/>
    </row>
    <row r="566" spans="1:1" ht="15.75" customHeight="1">
      <c r="A566" s="670"/>
    </row>
    <row r="567" spans="1:1" ht="15.75" customHeight="1">
      <c r="A567" s="670"/>
    </row>
    <row r="568" spans="1:1" ht="15.75" customHeight="1">
      <c r="A568" s="670"/>
    </row>
    <row r="569" spans="1:1" ht="15.75" customHeight="1">
      <c r="A569" s="670"/>
    </row>
    <row r="570" spans="1:1" ht="15.75" customHeight="1">
      <c r="A570" s="670"/>
    </row>
    <row r="571" spans="1:1" ht="15.75" customHeight="1">
      <c r="A571" s="670"/>
    </row>
    <row r="572" spans="1:1" ht="15.75" customHeight="1">
      <c r="A572" s="670"/>
    </row>
    <row r="573" spans="1:1" ht="15.75" customHeight="1">
      <c r="A573" s="670"/>
    </row>
    <row r="574" spans="1:1" ht="15.75" customHeight="1">
      <c r="A574" s="670"/>
    </row>
    <row r="575" spans="1:1" ht="15.75" customHeight="1">
      <c r="A575" s="670"/>
    </row>
    <row r="576" spans="1:1" ht="15.75" customHeight="1">
      <c r="A576" s="670"/>
    </row>
    <row r="577" spans="1:1" ht="15.75" customHeight="1">
      <c r="A577" s="670"/>
    </row>
    <row r="578" spans="1:1" ht="15.75" customHeight="1">
      <c r="A578" s="670"/>
    </row>
    <row r="579" spans="1:1" ht="15.75" customHeight="1">
      <c r="A579" s="670"/>
    </row>
    <row r="580" spans="1:1" ht="15.75" customHeight="1">
      <c r="A580" s="670"/>
    </row>
    <row r="581" spans="1:1" ht="15.75" customHeight="1">
      <c r="A581" s="670"/>
    </row>
    <row r="582" spans="1:1" ht="15.75" customHeight="1">
      <c r="A582" s="670"/>
    </row>
    <row r="583" spans="1:1" ht="15.75" customHeight="1">
      <c r="A583" s="670"/>
    </row>
    <row r="584" spans="1:1" ht="15.75" customHeight="1">
      <c r="A584" s="670"/>
    </row>
    <row r="585" spans="1:1" ht="15.75" customHeight="1">
      <c r="A585" s="670"/>
    </row>
    <row r="586" spans="1:1" ht="15.75" customHeight="1">
      <c r="A586" s="670"/>
    </row>
    <row r="587" spans="1:1" ht="15.75" customHeight="1">
      <c r="A587" s="670"/>
    </row>
    <row r="588" spans="1:1" ht="15.75" customHeight="1">
      <c r="A588" s="670"/>
    </row>
    <row r="589" spans="1:1" ht="15.75" customHeight="1">
      <c r="A589" s="670"/>
    </row>
    <row r="590" spans="1:1" ht="15.75" customHeight="1">
      <c r="A590" s="670"/>
    </row>
    <row r="591" spans="1:1" ht="15.75" customHeight="1">
      <c r="A591" s="670"/>
    </row>
    <row r="592" spans="1:1" ht="15.75" customHeight="1">
      <c r="A592" s="670"/>
    </row>
    <row r="593" spans="1:1" ht="15.75" customHeight="1">
      <c r="A593" s="670"/>
    </row>
    <row r="594" spans="1:1" ht="15.75" customHeight="1">
      <c r="A594" s="670"/>
    </row>
    <row r="595" spans="1:1" ht="15.75" customHeight="1">
      <c r="A595" s="670"/>
    </row>
    <row r="596" spans="1:1" ht="15.75" customHeight="1">
      <c r="A596" s="670"/>
    </row>
    <row r="597" spans="1:1" ht="15.75" customHeight="1">
      <c r="A597" s="670"/>
    </row>
    <row r="598" spans="1:1" ht="15.75" customHeight="1">
      <c r="A598" s="670"/>
    </row>
    <row r="599" spans="1:1" ht="15.75" customHeight="1">
      <c r="A599" s="670"/>
    </row>
    <row r="600" spans="1:1" ht="15.75" customHeight="1">
      <c r="A600" s="670"/>
    </row>
    <row r="601" spans="1:1" ht="15.75" customHeight="1">
      <c r="A601" s="670"/>
    </row>
    <row r="602" spans="1:1" ht="15.75" customHeight="1">
      <c r="A602" s="670"/>
    </row>
    <row r="603" spans="1:1" ht="15.75" customHeight="1">
      <c r="A603" s="670"/>
    </row>
    <row r="604" spans="1:1" ht="15.75" customHeight="1">
      <c r="A604" s="670"/>
    </row>
    <row r="605" spans="1:1" ht="15.75" customHeight="1">
      <c r="A605" s="670"/>
    </row>
    <row r="606" spans="1:1" ht="15.75" customHeight="1">
      <c r="A606" s="670"/>
    </row>
    <row r="607" spans="1:1" ht="15.75" customHeight="1">
      <c r="A607" s="670"/>
    </row>
    <row r="608" spans="1:1" ht="15.75" customHeight="1">
      <c r="A608" s="670"/>
    </row>
    <row r="609" spans="1:1" ht="15.75" customHeight="1">
      <c r="A609" s="670"/>
    </row>
    <row r="610" spans="1:1" ht="15.75" customHeight="1">
      <c r="A610" s="670"/>
    </row>
    <row r="611" spans="1:1" ht="15.75" customHeight="1">
      <c r="A611" s="670"/>
    </row>
    <row r="612" spans="1:1" ht="15.75" customHeight="1">
      <c r="A612" s="670"/>
    </row>
    <row r="613" spans="1:1" ht="15.75" customHeight="1">
      <c r="A613" s="670"/>
    </row>
    <row r="614" spans="1:1" ht="15.75" customHeight="1">
      <c r="A614" s="670"/>
    </row>
    <row r="615" spans="1:1" ht="15.75" customHeight="1">
      <c r="A615" s="670"/>
    </row>
    <row r="616" spans="1:1" ht="15.75" customHeight="1">
      <c r="A616" s="670"/>
    </row>
    <row r="617" spans="1:1" ht="15.75" customHeight="1">
      <c r="A617" s="670"/>
    </row>
    <row r="618" spans="1:1" ht="15.75" customHeight="1">
      <c r="A618" s="670"/>
    </row>
    <row r="619" spans="1:1" ht="15.75" customHeight="1">
      <c r="A619" s="670"/>
    </row>
    <row r="620" spans="1:1" ht="15.75" customHeight="1">
      <c r="A620" s="670"/>
    </row>
    <row r="621" spans="1:1" ht="15.75" customHeight="1">
      <c r="A621" s="670"/>
    </row>
    <row r="622" spans="1:1" ht="15.75" customHeight="1">
      <c r="A622" s="670"/>
    </row>
    <row r="623" spans="1:1" ht="15.75" customHeight="1">
      <c r="A623" s="670"/>
    </row>
    <row r="624" spans="1:1" ht="15.75" customHeight="1">
      <c r="A624" s="670"/>
    </row>
    <row r="625" spans="1:1" ht="15.75" customHeight="1">
      <c r="A625" s="670"/>
    </row>
    <row r="626" spans="1:1" ht="15.75" customHeight="1">
      <c r="A626" s="670"/>
    </row>
    <row r="627" spans="1:1" ht="15.75" customHeight="1">
      <c r="A627" s="670"/>
    </row>
    <row r="628" spans="1:1" ht="15.75" customHeight="1">
      <c r="A628" s="670"/>
    </row>
    <row r="629" spans="1:1" ht="15.75" customHeight="1">
      <c r="A629" s="670"/>
    </row>
    <row r="630" spans="1:1" ht="15.75" customHeight="1">
      <c r="A630" s="670"/>
    </row>
    <row r="631" spans="1:1" ht="15.75" customHeight="1">
      <c r="A631" s="670"/>
    </row>
    <row r="632" spans="1:1" ht="15.75" customHeight="1">
      <c r="A632" s="670"/>
    </row>
    <row r="633" spans="1:1" ht="15.75" customHeight="1">
      <c r="A633" s="670"/>
    </row>
    <row r="634" spans="1:1" ht="15.75" customHeight="1">
      <c r="A634" s="670"/>
    </row>
    <row r="635" spans="1:1" ht="15.75" customHeight="1">
      <c r="A635" s="670"/>
    </row>
    <row r="636" spans="1:1" ht="15.75" customHeight="1">
      <c r="A636" s="670"/>
    </row>
    <row r="637" spans="1:1" ht="15.75" customHeight="1">
      <c r="A637" s="670"/>
    </row>
    <row r="638" spans="1:1" ht="15.75" customHeight="1">
      <c r="A638" s="670"/>
    </row>
    <row r="639" spans="1:1" ht="15.75" customHeight="1">
      <c r="A639" s="670"/>
    </row>
    <row r="640" spans="1:1" ht="15.75" customHeight="1">
      <c r="A640" s="670"/>
    </row>
    <row r="641" spans="1:1" ht="15.75" customHeight="1">
      <c r="A641" s="670"/>
    </row>
    <row r="642" spans="1:1" ht="15.75" customHeight="1">
      <c r="A642" s="670"/>
    </row>
    <row r="643" spans="1:1" ht="15.75" customHeight="1">
      <c r="A643" s="670"/>
    </row>
    <row r="644" spans="1:1" ht="15.75" customHeight="1">
      <c r="A644" s="670"/>
    </row>
    <row r="645" spans="1:1" ht="15.75" customHeight="1">
      <c r="A645" s="670"/>
    </row>
    <row r="646" spans="1:1" ht="15.75" customHeight="1">
      <c r="A646" s="670"/>
    </row>
    <row r="647" spans="1:1" ht="15.75" customHeight="1">
      <c r="A647" s="670"/>
    </row>
    <row r="648" spans="1:1" ht="15.75" customHeight="1">
      <c r="A648" s="670"/>
    </row>
    <row r="649" spans="1:1" ht="15.75" customHeight="1">
      <c r="A649" s="670"/>
    </row>
    <row r="650" spans="1:1" ht="15.75" customHeight="1">
      <c r="A650" s="670"/>
    </row>
    <row r="651" spans="1:1" ht="15.75" customHeight="1">
      <c r="A651" s="670"/>
    </row>
    <row r="652" spans="1:1" ht="15.75" customHeight="1">
      <c r="A652" s="670"/>
    </row>
    <row r="653" spans="1:1" ht="15.75" customHeight="1">
      <c r="A653" s="670"/>
    </row>
    <row r="654" spans="1:1" ht="15.75" customHeight="1">
      <c r="A654" s="670"/>
    </row>
    <row r="655" spans="1:1" ht="15.75" customHeight="1">
      <c r="A655" s="670"/>
    </row>
    <row r="656" spans="1:1" ht="15.75" customHeight="1">
      <c r="A656" s="670"/>
    </row>
    <row r="657" spans="1:1" ht="15.75" customHeight="1">
      <c r="A657" s="670"/>
    </row>
    <row r="658" spans="1:1" ht="15.75" customHeight="1">
      <c r="A658" s="670"/>
    </row>
    <row r="659" spans="1:1" ht="15.75" customHeight="1">
      <c r="A659" s="670"/>
    </row>
    <row r="660" spans="1:1" ht="15.75" customHeight="1">
      <c r="A660" s="670"/>
    </row>
    <row r="661" spans="1:1" ht="15.75" customHeight="1">
      <c r="A661" s="670"/>
    </row>
    <row r="662" spans="1:1" ht="15.75" customHeight="1">
      <c r="A662" s="670"/>
    </row>
    <row r="663" spans="1:1" ht="15.75" customHeight="1">
      <c r="A663" s="670"/>
    </row>
    <row r="664" spans="1:1" ht="15.75" customHeight="1">
      <c r="A664" s="670"/>
    </row>
    <row r="665" spans="1:1" ht="15.75" customHeight="1">
      <c r="A665" s="670"/>
    </row>
    <row r="666" spans="1:1" ht="15.75" customHeight="1">
      <c r="A666" s="670"/>
    </row>
    <row r="667" spans="1:1" ht="15.75" customHeight="1">
      <c r="A667" s="670"/>
    </row>
    <row r="668" spans="1:1" ht="15.75" customHeight="1">
      <c r="A668" s="670"/>
    </row>
    <row r="669" spans="1:1" ht="15.75" customHeight="1">
      <c r="A669" s="670"/>
    </row>
    <row r="670" spans="1:1" ht="15.75" customHeight="1">
      <c r="A670" s="670"/>
    </row>
    <row r="671" spans="1:1" ht="15.75" customHeight="1">
      <c r="A671" s="670"/>
    </row>
    <row r="672" spans="1:1" ht="15.75" customHeight="1">
      <c r="A672" s="670"/>
    </row>
    <row r="673" spans="1:1" ht="15.75" customHeight="1">
      <c r="A673" s="670"/>
    </row>
    <row r="674" spans="1:1" ht="15.75" customHeight="1">
      <c r="A674" s="670"/>
    </row>
    <row r="675" spans="1:1" ht="15.75" customHeight="1">
      <c r="A675" s="670"/>
    </row>
    <row r="676" spans="1:1" ht="15.75" customHeight="1">
      <c r="A676" s="670"/>
    </row>
    <row r="677" spans="1:1" ht="15.75" customHeight="1">
      <c r="A677" s="670"/>
    </row>
    <row r="678" spans="1:1" ht="15.75" customHeight="1">
      <c r="A678" s="670"/>
    </row>
    <row r="679" spans="1:1" ht="15.75" customHeight="1">
      <c r="A679" s="670"/>
    </row>
    <row r="680" spans="1:1" ht="15.75" customHeight="1">
      <c r="A680" s="670"/>
    </row>
    <row r="681" spans="1:1" ht="15.75" customHeight="1">
      <c r="A681" s="670"/>
    </row>
    <row r="682" spans="1:1" ht="15.75" customHeight="1">
      <c r="A682" s="670"/>
    </row>
    <row r="683" spans="1:1" ht="15.75" customHeight="1">
      <c r="A683" s="670"/>
    </row>
    <row r="684" spans="1:1" ht="15.75" customHeight="1">
      <c r="A684" s="670"/>
    </row>
    <row r="685" spans="1:1" ht="15.75" customHeight="1">
      <c r="A685" s="670"/>
    </row>
    <row r="686" spans="1:1" ht="15.75" customHeight="1">
      <c r="A686" s="670"/>
    </row>
    <row r="687" spans="1:1" ht="15.75" customHeight="1">
      <c r="A687" s="670"/>
    </row>
    <row r="688" spans="1:1" ht="15.75" customHeight="1">
      <c r="A688" s="670"/>
    </row>
    <row r="689" spans="1:1" ht="15.75" customHeight="1">
      <c r="A689" s="670"/>
    </row>
    <row r="690" spans="1:1" ht="15.75" customHeight="1">
      <c r="A690" s="670"/>
    </row>
    <row r="691" spans="1:1" ht="15.75" customHeight="1">
      <c r="A691" s="670"/>
    </row>
    <row r="692" spans="1:1" ht="15.75" customHeight="1">
      <c r="A692" s="670"/>
    </row>
    <row r="693" spans="1:1" ht="15.75" customHeight="1">
      <c r="A693" s="670"/>
    </row>
    <row r="694" spans="1:1" ht="15.75" customHeight="1">
      <c r="A694" s="670"/>
    </row>
    <row r="695" spans="1:1" ht="15.75" customHeight="1">
      <c r="A695" s="670"/>
    </row>
    <row r="696" spans="1:1" ht="15.75" customHeight="1">
      <c r="A696" s="670"/>
    </row>
    <row r="697" spans="1:1" ht="15.75" customHeight="1">
      <c r="A697" s="670"/>
    </row>
    <row r="698" spans="1:1" ht="15.75" customHeight="1">
      <c r="A698" s="670"/>
    </row>
    <row r="699" spans="1:1" ht="15.75" customHeight="1">
      <c r="A699" s="670"/>
    </row>
    <row r="700" spans="1:1" ht="15.75" customHeight="1">
      <c r="A700" s="670"/>
    </row>
    <row r="701" spans="1:1" ht="15.75" customHeight="1">
      <c r="A701" s="670"/>
    </row>
    <row r="702" spans="1:1" ht="15.75" customHeight="1">
      <c r="A702" s="670"/>
    </row>
    <row r="703" spans="1:1" ht="15.75" customHeight="1">
      <c r="A703" s="670"/>
    </row>
    <row r="704" spans="1:1" ht="15.75" customHeight="1">
      <c r="A704" s="670"/>
    </row>
    <row r="705" spans="1:1" ht="15.75" customHeight="1">
      <c r="A705" s="670"/>
    </row>
    <row r="706" spans="1:1" ht="15.75" customHeight="1">
      <c r="A706" s="670"/>
    </row>
    <row r="707" spans="1:1" ht="15.75" customHeight="1">
      <c r="A707" s="670"/>
    </row>
    <row r="708" spans="1:1" ht="15.75" customHeight="1">
      <c r="A708" s="670"/>
    </row>
    <row r="709" spans="1:1" ht="15.75" customHeight="1">
      <c r="A709" s="670"/>
    </row>
    <row r="710" spans="1:1" ht="15.75" customHeight="1">
      <c r="A710" s="670"/>
    </row>
    <row r="711" spans="1:1" ht="15.75" customHeight="1">
      <c r="A711" s="670"/>
    </row>
    <row r="712" spans="1:1" ht="15.75" customHeight="1">
      <c r="A712" s="670"/>
    </row>
    <row r="713" spans="1:1" ht="15.75" customHeight="1">
      <c r="A713" s="670"/>
    </row>
    <row r="714" spans="1:1" ht="15.75" customHeight="1">
      <c r="A714" s="670"/>
    </row>
    <row r="715" spans="1:1" ht="15.75" customHeight="1">
      <c r="A715" s="670"/>
    </row>
    <row r="716" spans="1:1" ht="15.75" customHeight="1">
      <c r="A716" s="670"/>
    </row>
    <row r="717" spans="1:1" ht="15.75" customHeight="1">
      <c r="A717" s="670"/>
    </row>
    <row r="718" spans="1:1" ht="15.75" customHeight="1">
      <c r="A718" s="670"/>
    </row>
    <row r="719" spans="1:1" ht="15.75" customHeight="1">
      <c r="A719" s="670"/>
    </row>
    <row r="720" spans="1:1" ht="15.75" customHeight="1">
      <c r="A720" s="670"/>
    </row>
    <row r="721" spans="1:1" ht="15.75" customHeight="1">
      <c r="A721" s="670"/>
    </row>
    <row r="722" spans="1:1" ht="15.75" customHeight="1">
      <c r="A722" s="670"/>
    </row>
    <row r="723" spans="1:1" ht="15.75" customHeight="1">
      <c r="A723" s="670"/>
    </row>
    <row r="724" spans="1:1" ht="15.75" customHeight="1">
      <c r="A724" s="670"/>
    </row>
    <row r="725" spans="1:1" ht="15.75" customHeight="1">
      <c r="A725" s="670"/>
    </row>
    <row r="726" spans="1:1" ht="15.75" customHeight="1">
      <c r="A726" s="670"/>
    </row>
    <row r="727" spans="1:1" ht="15.75" customHeight="1">
      <c r="A727" s="670"/>
    </row>
    <row r="728" spans="1:1" ht="15.75" customHeight="1">
      <c r="A728" s="670"/>
    </row>
    <row r="729" spans="1:1" ht="15.75" customHeight="1">
      <c r="A729" s="670"/>
    </row>
    <row r="730" spans="1:1" ht="15.75" customHeight="1">
      <c r="A730" s="670"/>
    </row>
    <row r="731" spans="1:1" ht="15.75" customHeight="1">
      <c r="A731" s="670"/>
    </row>
    <row r="732" spans="1:1" ht="15.75" customHeight="1">
      <c r="A732" s="670"/>
    </row>
    <row r="733" spans="1:1" ht="15.75" customHeight="1">
      <c r="A733" s="670"/>
    </row>
    <row r="734" spans="1:1" ht="15.75" customHeight="1">
      <c r="A734" s="670"/>
    </row>
    <row r="735" spans="1:1" ht="15.75" customHeight="1">
      <c r="A735" s="670"/>
    </row>
    <row r="736" spans="1:1" ht="15.75" customHeight="1">
      <c r="A736" s="670"/>
    </row>
    <row r="737" spans="1:1" ht="15.75" customHeight="1">
      <c r="A737" s="670"/>
    </row>
    <row r="738" spans="1:1" ht="15.75" customHeight="1">
      <c r="A738" s="670"/>
    </row>
    <row r="739" spans="1:1" ht="15.75" customHeight="1">
      <c r="A739" s="670"/>
    </row>
    <row r="740" spans="1:1" ht="15.75" customHeight="1">
      <c r="A740" s="670"/>
    </row>
    <row r="741" spans="1:1" ht="15.75" customHeight="1">
      <c r="A741" s="670"/>
    </row>
    <row r="742" spans="1:1" ht="15.75" customHeight="1">
      <c r="A742" s="670"/>
    </row>
    <row r="743" spans="1:1" ht="15.75" customHeight="1">
      <c r="A743" s="670"/>
    </row>
    <row r="744" spans="1:1" ht="15.75" customHeight="1">
      <c r="A744" s="670"/>
    </row>
    <row r="745" spans="1:1" ht="15.75" customHeight="1">
      <c r="A745" s="670"/>
    </row>
    <row r="746" spans="1:1" ht="15.75" customHeight="1">
      <c r="A746" s="670"/>
    </row>
    <row r="747" spans="1:1" ht="15.75" customHeight="1">
      <c r="A747" s="670"/>
    </row>
    <row r="748" spans="1:1" ht="15.75" customHeight="1">
      <c r="A748" s="670"/>
    </row>
    <row r="749" spans="1:1" ht="15.75" customHeight="1">
      <c r="A749" s="670"/>
    </row>
    <row r="750" spans="1:1" ht="15.75" customHeight="1">
      <c r="A750" s="670"/>
    </row>
    <row r="751" spans="1:1" ht="15.75" customHeight="1">
      <c r="A751" s="670"/>
    </row>
    <row r="752" spans="1:1" ht="15.75" customHeight="1">
      <c r="A752" s="670"/>
    </row>
    <row r="753" spans="1:1" ht="15.75" customHeight="1">
      <c r="A753" s="670"/>
    </row>
    <row r="754" spans="1:1" ht="15.75" customHeight="1">
      <c r="A754" s="670"/>
    </row>
    <row r="755" spans="1:1" ht="15.75" customHeight="1">
      <c r="A755" s="670"/>
    </row>
    <row r="756" spans="1:1" ht="15.75" customHeight="1">
      <c r="A756" s="670"/>
    </row>
    <row r="757" spans="1:1" ht="15.75" customHeight="1">
      <c r="A757" s="670"/>
    </row>
    <row r="758" spans="1:1" ht="15.75" customHeight="1">
      <c r="A758" s="670"/>
    </row>
    <row r="759" spans="1:1" ht="15.75" customHeight="1">
      <c r="A759" s="670"/>
    </row>
    <row r="760" spans="1:1" ht="15.75" customHeight="1">
      <c r="A760" s="670"/>
    </row>
    <row r="761" spans="1:1" ht="15.75" customHeight="1">
      <c r="A761" s="670"/>
    </row>
    <row r="762" spans="1:1" ht="15.75" customHeight="1">
      <c r="A762" s="670"/>
    </row>
    <row r="763" spans="1:1" ht="15.75" customHeight="1">
      <c r="A763" s="670"/>
    </row>
    <row r="764" spans="1:1" ht="15.75" customHeight="1">
      <c r="A764" s="670"/>
    </row>
    <row r="765" spans="1:1" ht="15.75" customHeight="1">
      <c r="A765" s="670"/>
    </row>
    <row r="766" spans="1:1" ht="15.75" customHeight="1">
      <c r="A766" s="670"/>
    </row>
    <row r="767" spans="1:1" ht="15.75" customHeight="1">
      <c r="A767" s="670"/>
    </row>
    <row r="768" spans="1:1" ht="15.75" customHeight="1">
      <c r="A768" s="670"/>
    </row>
    <row r="769" spans="1:1" ht="15.75" customHeight="1">
      <c r="A769" s="670"/>
    </row>
    <row r="770" spans="1:1" ht="15.75" customHeight="1">
      <c r="A770" s="670"/>
    </row>
    <row r="771" spans="1:1" ht="15.75" customHeight="1">
      <c r="A771" s="670"/>
    </row>
    <row r="772" spans="1:1" ht="15.75" customHeight="1">
      <c r="A772" s="670"/>
    </row>
    <row r="773" spans="1:1" ht="15.75" customHeight="1">
      <c r="A773" s="670"/>
    </row>
    <row r="774" spans="1:1" ht="15.75" customHeight="1">
      <c r="A774" s="670"/>
    </row>
    <row r="775" spans="1:1" ht="15.75" customHeight="1">
      <c r="A775" s="670"/>
    </row>
    <row r="776" spans="1:1" ht="15.75" customHeight="1">
      <c r="A776" s="670"/>
    </row>
    <row r="777" spans="1:1" ht="15.75" customHeight="1">
      <c r="A777" s="670"/>
    </row>
    <row r="778" spans="1:1" ht="15.75" customHeight="1">
      <c r="A778" s="670"/>
    </row>
    <row r="779" spans="1:1" ht="15.75" customHeight="1">
      <c r="A779" s="670"/>
    </row>
    <row r="780" spans="1:1" ht="15.75" customHeight="1">
      <c r="A780" s="670"/>
    </row>
    <row r="781" spans="1:1" ht="15.75" customHeight="1">
      <c r="A781" s="670"/>
    </row>
    <row r="782" spans="1:1" ht="15.75" customHeight="1">
      <c r="A782" s="670"/>
    </row>
    <row r="783" spans="1:1" ht="15.75" customHeight="1">
      <c r="A783" s="670"/>
    </row>
    <row r="784" spans="1:1" ht="15.75" customHeight="1">
      <c r="A784" s="670"/>
    </row>
    <row r="785" spans="1:1" ht="15.75" customHeight="1">
      <c r="A785" s="670"/>
    </row>
    <row r="786" spans="1:1" ht="15.75" customHeight="1">
      <c r="A786" s="670"/>
    </row>
    <row r="787" spans="1:1" ht="15.75" customHeight="1">
      <c r="A787" s="670"/>
    </row>
    <row r="788" spans="1:1" ht="15.75" customHeight="1">
      <c r="A788" s="670"/>
    </row>
    <row r="789" spans="1:1" ht="15.75" customHeight="1">
      <c r="A789" s="670"/>
    </row>
    <row r="790" spans="1:1" ht="15.75" customHeight="1">
      <c r="A790" s="670"/>
    </row>
    <row r="791" spans="1:1" ht="15.75" customHeight="1">
      <c r="A791" s="670"/>
    </row>
    <row r="792" spans="1:1" ht="15.75" customHeight="1">
      <c r="A792" s="670"/>
    </row>
    <row r="793" spans="1:1" ht="15.75" customHeight="1">
      <c r="A793" s="670"/>
    </row>
    <row r="794" spans="1:1" ht="15.75" customHeight="1">
      <c r="A794" s="670"/>
    </row>
    <row r="795" spans="1:1" ht="15.75" customHeight="1">
      <c r="A795" s="670"/>
    </row>
    <row r="796" spans="1:1" ht="15.75" customHeight="1">
      <c r="A796" s="670"/>
    </row>
    <row r="797" spans="1:1" ht="15.75" customHeight="1">
      <c r="A797" s="670"/>
    </row>
    <row r="798" spans="1:1" ht="15.75" customHeight="1">
      <c r="A798" s="670"/>
    </row>
    <row r="799" spans="1:1" ht="15.75" customHeight="1">
      <c r="A799" s="670"/>
    </row>
    <row r="800" spans="1:1" ht="15.75" customHeight="1">
      <c r="A800" s="670"/>
    </row>
    <row r="801" spans="1:1" ht="15.75" customHeight="1">
      <c r="A801" s="670"/>
    </row>
    <row r="802" spans="1:1" ht="15.75" customHeight="1">
      <c r="A802" s="670"/>
    </row>
    <row r="803" spans="1:1" ht="15.75" customHeight="1">
      <c r="A803" s="670"/>
    </row>
    <row r="804" spans="1:1" ht="15.75" customHeight="1">
      <c r="A804" s="670"/>
    </row>
    <row r="805" spans="1:1" ht="15.75" customHeight="1">
      <c r="A805" s="670"/>
    </row>
    <row r="806" spans="1:1" ht="15.75" customHeight="1">
      <c r="A806" s="670"/>
    </row>
    <row r="807" spans="1:1" ht="15.75" customHeight="1">
      <c r="A807" s="670"/>
    </row>
    <row r="808" spans="1:1" ht="15.75" customHeight="1">
      <c r="A808" s="670"/>
    </row>
    <row r="809" spans="1:1" ht="15.75" customHeight="1">
      <c r="A809" s="670"/>
    </row>
    <row r="810" spans="1:1" ht="15.75" customHeight="1">
      <c r="A810" s="670"/>
    </row>
    <row r="811" spans="1:1" ht="15.75" customHeight="1">
      <c r="A811" s="670"/>
    </row>
    <row r="812" spans="1:1" ht="15.75" customHeight="1">
      <c r="A812" s="670"/>
    </row>
    <row r="813" spans="1:1" ht="15.75" customHeight="1">
      <c r="A813" s="670"/>
    </row>
    <row r="814" spans="1:1" ht="15.75" customHeight="1">
      <c r="A814" s="670"/>
    </row>
    <row r="815" spans="1:1" ht="15.75" customHeight="1">
      <c r="A815" s="670"/>
    </row>
    <row r="816" spans="1:1" ht="15.75" customHeight="1">
      <c r="A816" s="670"/>
    </row>
    <row r="817" spans="1:1" ht="15.75" customHeight="1">
      <c r="A817" s="670"/>
    </row>
    <row r="818" spans="1:1" ht="15.75" customHeight="1">
      <c r="A818" s="670"/>
    </row>
    <row r="819" spans="1:1" ht="15.75" customHeight="1">
      <c r="A819" s="670"/>
    </row>
    <row r="820" spans="1:1" ht="15.75" customHeight="1">
      <c r="A820" s="670"/>
    </row>
    <row r="821" spans="1:1" ht="15.75" customHeight="1">
      <c r="A821" s="670"/>
    </row>
    <row r="822" spans="1:1" ht="15.75" customHeight="1">
      <c r="A822" s="670"/>
    </row>
    <row r="823" spans="1:1" ht="15.75" customHeight="1">
      <c r="A823" s="670"/>
    </row>
    <row r="824" spans="1:1" ht="15.75" customHeight="1">
      <c r="A824" s="670"/>
    </row>
    <row r="825" spans="1:1" ht="15.75" customHeight="1">
      <c r="A825" s="670"/>
    </row>
    <row r="826" spans="1:1" ht="15.75" customHeight="1">
      <c r="A826" s="670"/>
    </row>
    <row r="827" spans="1:1" ht="15.75" customHeight="1">
      <c r="A827" s="670"/>
    </row>
    <row r="828" spans="1:1" ht="15.75" customHeight="1">
      <c r="A828" s="670"/>
    </row>
    <row r="829" spans="1:1" ht="15.75" customHeight="1">
      <c r="A829" s="670"/>
    </row>
    <row r="830" spans="1:1" ht="15.75" customHeight="1">
      <c r="A830" s="670"/>
    </row>
    <row r="831" spans="1:1" ht="15.75" customHeight="1">
      <c r="A831" s="670"/>
    </row>
    <row r="832" spans="1:1" ht="15.75" customHeight="1">
      <c r="A832" s="670"/>
    </row>
    <row r="833" spans="1:1" ht="15.75" customHeight="1">
      <c r="A833" s="670"/>
    </row>
    <row r="834" spans="1:1" ht="15.75" customHeight="1">
      <c r="A834" s="670"/>
    </row>
    <row r="835" spans="1:1" ht="15.75" customHeight="1">
      <c r="A835" s="670"/>
    </row>
    <row r="836" spans="1:1" ht="15.75" customHeight="1">
      <c r="A836" s="670"/>
    </row>
    <row r="837" spans="1:1" ht="15.75" customHeight="1">
      <c r="A837" s="670"/>
    </row>
    <row r="838" spans="1:1" ht="15.75" customHeight="1">
      <c r="A838" s="670"/>
    </row>
    <row r="839" spans="1:1" ht="15.75" customHeight="1">
      <c r="A839" s="670"/>
    </row>
    <row r="840" spans="1:1" ht="15.75" customHeight="1">
      <c r="A840" s="670"/>
    </row>
    <row r="841" spans="1:1" ht="15.75" customHeight="1">
      <c r="A841" s="670"/>
    </row>
    <row r="842" spans="1:1" ht="15.75" customHeight="1">
      <c r="A842" s="670"/>
    </row>
    <row r="843" spans="1:1" ht="15.75" customHeight="1">
      <c r="A843" s="670"/>
    </row>
    <row r="844" spans="1:1" ht="15.75" customHeight="1">
      <c r="A844" s="670"/>
    </row>
    <row r="845" spans="1:1" ht="15.75" customHeight="1">
      <c r="A845" s="670"/>
    </row>
    <row r="846" spans="1:1" ht="15.75" customHeight="1">
      <c r="A846" s="670"/>
    </row>
    <row r="847" spans="1:1" ht="15.75" customHeight="1">
      <c r="A847" s="670"/>
    </row>
    <row r="848" spans="1:1" ht="15.75" customHeight="1">
      <c r="A848" s="670"/>
    </row>
    <row r="849" spans="1:1" ht="15.75" customHeight="1">
      <c r="A849" s="670"/>
    </row>
    <row r="850" spans="1:1" ht="15.75" customHeight="1">
      <c r="A850" s="670"/>
    </row>
    <row r="851" spans="1:1" ht="15.75" customHeight="1">
      <c r="A851" s="670"/>
    </row>
    <row r="852" spans="1:1" ht="15.75" customHeight="1">
      <c r="A852" s="670"/>
    </row>
    <row r="853" spans="1:1" ht="15.75" customHeight="1">
      <c r="A853" s="670"/>
    </row>
    <row r="854" spans="1:1" ht="15.75" customHeight="1">
      <c r="A854" s="670"/>
    </row>
    <row r="855" spans="1:1" ht="15.75" customHeight="1">
      <c r="A855" s="670"/>
    </row>
    <row r="856" spans="1:1" ht="15.75" customHeight="1">
      <c r="A856" s="670"/>
    </row>
    <row r="857" spans="1:1" ht="15.75" customHeight="1">
      <c r="A857" s="670"/>
    </row>
    <row r="858" spans="1:1" ht="15.75" customHeight="1">
      <c r="A858" s="670"/>
    </row>
    <row r="859" spans="1:1" ht="15.75" customHeight="1">
      <c r="A859" s="670"/>
    </row>
    <row r="860" spans="1:1" ht="15.75" customHeight="1">
      <c r="A860" s="670"/>
    </row>
    <row r="861" spans="1:1" ht="15.75" customHeight="1">
      <c r="A861" s="670"/>
    </row>
    <row r="862" spans="1:1" ht="15.75" customHeight="1">
      <c r="A862" s="670"/>
    </row>
    <row r="863" spans="1:1" ht="15.75" customHeight="1">
      <c r="A863" s="670"/>
    </row>
    <row r="864" spans="1:1" ht="15.75" customHeight="1">
      <c r="A864" s="670"/>
    </row>
    <row r="865" spans="1:1" ht="15.75" customHeight="1">
      <c r="A865" s="670"/>
    </row>
    <row r="866" spans="1:1" ht="15.75" customHeight="1">
      <c r="A866" s="670"/>
    </row>
    <row r="867" spans="1:1" ht="15.75" customHeight="1">
      <c r="A867" s="670"/>
    </row>
    <row r="868" spans="1:1" ht="15.75" customHeight="1">
      <c r="A868" s="670"/>
    </row>
    <row r="869" spans="1:1" ht="15.75" customHeight="1">
      <c r="A869" s="670"/>
    </row>
    <row r="870" spans="1:1" ht="15.75" customHeight="1">
      <c r="A870" s="670"/>
    </row>
    <row r="871" spans="1:1" ht="15.75" customHeight="1">
      <c r="A871" s="670"/>
    </row>
    <row r="872" spans="1:1" ht="15.75" customHeight="1">
      <c r="A872" s="670"/>
    </row>
    <row r="873" spans="1:1" ht="15.75" customHeight="1">
      <c r="A873" s="670"/>
    </row>
    <row r="874" spans="1:1" ht="15.75" customHeight="1">
      <c r="A874" s="670"/>
    </row>
    <row r="875" spans="1:1" ht="15.75" customHeight="1">
      <c r="A875" s="670"/>
    </row>
    <row r="876" spans="1:1" ht="15.75" customHeight="1">
      <c r="A876" s="670"/>
    </row>
    <row r="877" spans="1:1" ht="15.75" customHeight="1">
      <c r="A877" s="670"/>
    </row>
    <row r="878" spans="1:1" ht="15.75" customHeight="1">
      <c r="A878" s="670"/>
    </row>
    <row r="879" spans="1:1" ht="15.75" customHeight="1">
      <c r="A879" s="670"/>
    </row>
    <row r="880" spans="1:1" ht="15.75" customHeight="1">
      <c r="A880" s="670"/>
    </row>
    <row r="881" spans="1:1" ht="15.75" customHeight="1">
      <c r="A881" s="670"/>
    </row>
    <row r="882" spans="1:1" ht="15.75" customHeight="1">
      <c r="A882" s="670"/>
    </row>
    <row r="883" spans="1:1" ht="15.75" customHeight="1">
      <c r="A883" s="670"/>
    </row>
    <row r="884" spans="1:1" ht="15.75" customHeight="1">
      <c r="A884" s="670"/>
    </row>
    <row r="885" spans="1:1" ht="15.75" customHeight="1">
      <c r="A885" s="670"/>
    </row>
    <row r="886" spans="1:1" ht="15.75" customHeight="1">
      <c r="A886" s="670"/>
    </row>
    <row r="887" spans="1:1" ht="15.75" customHeight="1">
      <c r="A887" s="670"/>
    </row>
    <row r="888" spans="1:1" ht="15.75" customHeight="1">
      <c r="A888" s="670"/>
    </row>
    <row r="889" spans="1:1" ht="15.75" customHeight="1">
      <c r="A889" s="670"/>
    </row>
    <row r="890" spans="1:1" ht="15.75" customHeight="1">
      <c r="A890" s="670"/>
    </row>
    <row r="891" spans="1:1" ht="15.75" customHeight="1">
      <c r="A891" s="670"/>
    </row>
    <row r="892" spans="1:1" ht="15.75" customHeight="1">
      <c r="A892" s="670"/>
    </row>
    <row r="893" spans="1:1" ht="15.75" customHeight="1">
      <c r="A893" s="670"/>
    </row>
    <row r="894" spans="1:1" ht="15.75" customHeight="1">
      <c r="A894" s="670"/>
    </row>
    <row r="895" spans="1:1" ht="15.75" customHeight="1">
      <c r="A895" s="670"/>
    </row>
    <row r="896" spans="1:1" ht="15.75" customHeight="1">
      <c r="A896" s="670"/>
    </row>
    <row r="897" spans="1:1" ht="15.75" customHeight="1">
      <c r="A897" s="670"/>
    </row>
    <row r="898" spans="1:1" ht="15.75" customHeight="1">
      <c r="A898" s="670"/>
    </row>
    <row r="899" spans="1:1" ht="15.75" customHeight="1">
      <c r="A899" s="670"/>
    </row>
    <row r="900" spans="1:1" ht="15.75" customHeight="1">
      <c r="A900" s="670"/>
    </row>
    <row r="901" spans="1:1" ht="15.75" customHeight="1">
      <c r="A901" s="670"/>
    </row>
    <row r="902" spans="1:1" ht="15.75" customHeight="1">
      <c r="A902" s="670"/>
    </row>
    <row r="903" spans="1:1" ht="15.75" customHeight="1">
      <c r="A903" s="670"/>
    </row>
    <row r="904" spans="1:1" ht="15.75" customHeight="1">
      <c r="A904" s="670"/>
    </row>
    <row r="905" spans="1:1" ht="15.75" customHeight="1">
      <c r="A905" s="670"/>
    </row>
    <row r="906" spans="1:1" ht="15.75" customHeight="1">
      <c r="A906" s="670"/>
    </row>
    <row r="907" spans="1:1" ht="15.75" customHeight="1">
      <c r="A907" s="670"/>
    </row>
    <row r="908" spans="1:1" ht="15.75" customHeight="1">
      <c r="A908" s="670"/>
    </row>
    <row r="909" spans="1:1" ht="15.75" customHeight="1">
      <c r="A909" s="670"/>
    </row>
    <row r="910" spans="1:1" ht="15.75" customHeight="1">
      <c r="A910" s="670"/>
    </row>
    <row r="911" spans="1:1" ht="15.75" customHeight="1">
      <c r="A911" s="670"/>
    </row>
    <row r="912" spans="1:1" ht="15.75" customHeight="1">
      <c r="A912" s="670"/>
    </row>
    <row r="913" spans="1:1" ht="15.75" customHeight="1">
      <c r="A913" s="670"/>
    </row>
    <row r="914" spans="1:1" ht="15.75" customHeight="1">
      <c r="A914" s="670"/>
    </row>
    <row r="915" spans="1:1" ht="15.75" customHeight="1">
      <c r="A915" s="670"/>
    </row>
    <row r="916" spans="1:1" ht="15.75" customHeight="1">
      <c r="A916" s="670"/>
    </row>
    <row r="917" spans="1:1" ht="15.75" customHeight="1">
      <c r="A917" s="670"/>
    </row>
    <row r="918" spans="1:1" ht="15.75" customHeight="1">
      <c r="A918" s="670"/>
    </row>
    <row r="919" spans="1:1" ht="15.75" customHeight="1">
      <c r="A919" s="670"/>
    </row>
    <row r="920" spans="1:1" ht="15.75" customHeight="1">
      <c r="A920" s="670"/>
    </row>
    <row r="921" spans="1:1" ht="15.75" customHeight="1">
      <c r="A921" s="670"/>
    </row>
    <row r="922" spans="1:1" ht="15.75" customHeight="1">
      <c r="A922" s="670"/>
    </row>
    <row r="923" spans="1:1" ht="15.75" customHeight="1">
      <c r="A923" s="670"/>
    </row>
    <row r="924" spans="1:1" ht="15.75" customHeight="1">
      <c r="A924" s="670"/>
    </row>
    <row r="925" spans="1:1" ht="15.75" customHeight="1">
      <c r="A925" s="670"/>
    </row>
    <row r="926" spans="1:1" ht="15.75" customHeight="1">
      <c r="A926" s="670"/>
    </row>
    <row r="927" spans="1:1" ht="15.75" customHeight="1">
      <c r="A927" s="670"/>
    </row>
    <row r="928" spans="1:1" ht="15.75" customHeight="1">
      <c r="A928" s="670"/>
    </row>
    <row r="929" spans="1:1" ht="15.75" customHeight="1">
      <c r="A929" s="670"/>
    </row>
    <row r="930" spans="1:1" ht="15.75" customHeight="1">
      <c r="A930" s="670"/>
    </row>
    <row r="931" spans="1:1" ht="15.75" customHeight="1">
      <c r="A931" s="670"/>
    </row>
    <row r="932" spans="1:1" ht="15.75" customHeight="1">
      <c r="A932" s="670"/>
    </row>
    <row r="933" spans="1:1" ht="15.75" customHeight="1">
      <c r="A933" s="670"/>
    </row>
    <row r="934" spans="1:1" ht="15.75" customHeight="1">
      <c r="A934" s="670"/>
    </row>
    <row r="935" spans="1:1" ht="15.75" customHeight="1">
      <c r="A935" s="670"/>
    </row>
    <row r="936" spans="1:1" ht="15.75" customHeight="1">
      <c r="A936" s="670"/>
    </row>
    <row r="937" spans="1:1" ht="15.75" customHeight="1">
      <c r="A937" s="670"/>
    </row>
    <row r="938" spans="1:1" ht="15.75" customHeight="1">
      <c r="A938" s="670"/>
    </row>
    <row r="939" spans="1:1" ht="15.75" customHeight="1">
      <c r="A939" s="670"/>
    </row>
    <row r="940" spans="1:1" ht="15.75" customHeight="1">
      <c r="A940" s="670"/>
    </row>
    <row r="941" spans="1:1" ht="15.75" customHeight="1">
      <c r="A941" s="670"/>
    </row>
    <row r="942" spans="1:1" ht="15.75" customHeight="1">
      <c r="A942" s="670"/>
    </row>
    <row r="943" spans="1:1" ht="15.75" customHeight="1">
      <c r="A943" s="670"/>
    </row>
    <row r="944" spans="1:1" ht="15.75" customHeight="1">
      <c r="A944" s="670"/>
    </row>
    <row r="945" spans="1:1" ht="15.75" customHeight="1">
      <c r="A945" s="670"/>
    </row>
    <row r="946" spans="1:1" ht="15.75" customHeight="1">
      <c r="A946" s="670"/>
    </row>
    <row r="947" spans="1:1" ht="15.75" customHeight="1">
      <c r="A947" s="670"/>
    </row>
    <row r="948" spans="1:1" ht="15.75" customHeight="1">
      <c r="A948" s="670"/>
    </row>
    <row r="949" spans="1:1" ht="15.75" customHeight="1">
      <c r="A949" s="670"/>
    </row>
    <row r="950" spans="1:1" ht="15.75" customHeight="1">
      <c r="A950" s="670"/>
    </row>
    <row r="951" spans="1:1" ht="15.75" customHeight="1">
      <c r="A951" s="670"/>
    </row>
    <row r="952" spans="1:1" ht="15.75" customHeight="1">
      <c r="A952" s="670"/>
    </row>
    <row r="953" spans="1:1" ht="15.75" customHeight="1">
      <c r="A953" s="670"/>
    </row>
    <row r="954" spans="1:1" ht="15.75" customHeight="1">
      <c r="A954" s="670"/>
    </row>
    <row r="955" spans="1:1" ht="15.75" customHeight="1">
      <c r="A955" s="670"/>
    </row>
    <row r="956" spans="1:1" ht="15.75" customHeight="1">
      <c r="A956" s="670"/>
    </row>
    <row r="957" spans="1:1" ht="15.75" customHeight="1">
      <c r="A957" s="670"/>
    </row>
    <row r="958" spans="1:1" ht="15.75" customHeight="1">
      <c r="A958" s="670"/>
    </row>
    <row r="959" spans="1:1" ht="15.75" customHeight="1">
      <c r="A959" s="670"/>
    </row>
    <row r="960" spans="1:1" ht="15.75" customHeight="1">
      <c r="A960" s="670"/>
    </row>
    <row r="961" spans="1:1" ht="15.75" customHeight="1">
      <c r="A961" s="670"/>
    </row>
    <row r="962" spans="1:1" ht="15.75" customHeight="1">
      <c r="A962" s="670"/>
    </row>
    <row r="963" spans="1:1" ht="15.75" customHeight="1">
      <c r="A963" s="670"/>
    </row>
    <row r="964" spans="1:1" ht="15.75" customHeight="1">
      <c r="A964" s="670"/>
    </row>
    <row r="965" spans="1:1" ht="15.75" customHeight="1">
      <c r="A965" s="670"/>
    </row>
    <row r="966" spans="1:1" ht="15.75" customHeight="1">
      <c r="A966" s="670"/>
    </row>
    <row r="967" spans="1:1" ht="15.75" customHeight="1">
      <c r="A967" s="670"/>
    </row>
    <row r="968" spans="1:1" ht="15.75" customHeight="1">
      <c r="A968" s="670"/>
    </row>
    <row r="969" spans="1:1" ht="15.75" customHeight="1">
      <c r="A969" s="670"/>
    </row>
    <row r="970" spans="1:1" ht="15.75" customHeight="1">
      <c r="A970" s="670"/>
    </row>
    <row r="971" spans="1:1" ht="15.75" customHeight="1">
      <c r="A971" s="670"/>
    </row>
    <row r="972" spans="1:1" ht="15.75" customHeight="1">
      <c r="A972" s="670"/>
    </row>
    <row r="973" spans="1:1" ht="15.75" customHeight="1">
      <c r="A973" s="670"/>
    </row>
    <row r="974" spans="1:1" ht="15.75" customHeight="1">
      <c r="A974" s="670"/>
    </row>
    <row r="975" spans="1:1" ht="15.75" customHeight="1">
      <c r="A975" s="670"/>
    </row>
    <row r="976" spans="1:1" ht="15.75" customHeight="1">
      <c r="A976" s="670"/>
    </row>
    <row r="977" spans="1:1" ht="15.75" customHeight="1">
      <c r="A977" s="670"/>
    </row>
    <row r="978" spans="1:1" ht="15.75" customHeight="1">
      <c r="A978" s="670"/>
    </row>
    <row r="979" spans="1:1" ht="15.75" customHeight="1">
      <c r="A979" s="670"/>
    </row>
    <row r="980" spans="1:1" ht="15.75" customHeight="1">
      <c r="A980" s="670"/>
    </row>
    <row r="981" spans="1:1" ht="15.75" customHeight="1">
      <c r="A981" s="670"/>
    </row>
    <row r="982" spans="1:1" ht="15.75" customHeight="1">
      <c r="A982" s="670"/>
    </row>
    <row r="983" spans="1:1" ht="15.75" customHeight="1">
      <c r="A983" s="670"/>
    </row>
    <row r="984" spans="1:1" ht="15.75" customHeight="1">
      <c r="A984" s="670"/>
    </row>
    <row r="985" spans="1:1" ht="15.75" customHeight="1">
      <c r="A985" s="670"/>
    </row>
    <row r="986" spans="1:1" ht="15.75" customHeight="1">
      <c r="A986" s="670"/>
    </row>
    <row r="987" spans="1:1" ht="15.75" customHeight="1">
      <c r="A987" s="670"/>
    </row>
    <row r="988" spans="1:1" ht="15.75" customHeight="1">
      <c r="A988" s="670"/>
    </row>
    <row r="989" spans="1:1" ht="15.75" customHeight="1">
      <c r="A989" s="670"/>
    </row>
    <row r="990" spans="1:1" ht="15.75" customHeight="1">
      <c r="A990" s="670"/>
    </row>
    <row r="991" spans="1:1" ht="15.75" customHeight="1">
      <c r="A991" s="670"/>
    </row>
    <row r="992" spans="1:1" ht="15.75" customHeight="1">
      <c r="A992" s="670"/>
    </row>
    <row r="993" spans="1:1" ht="15.75" customHeight="1">
      <c r="A993" s="670"/>
    </row>
    <row r="994" spans="1:1" ht="15.75" customHeight="1">
      <c r="A994" s="670"/>
    </row>
    <row r="995" spans="1:1" ht="15.75" customHeight="1">
      <c r="A995" s="670"/>
    </row>
    <row r="996" spans="1:1" ht="15.75" customHeight="1">
      <c r="A996" s="670"/>
    </row>
    <row r="997" spans="1:1" ht="15.75" customHeight="1">
      <c r="A997" s="670"/>
    </row>
    <row r="998" spans="1:1" ht="15.75" customHeight="1">
      <c r="A998" s="670"/>
    </row>
    <row r="999" spans="1:1" ht="15.75" customHeight="1">
      <c r="A999" s="670"/>
    </row>
    <row r="1000" spans="1:1" ht="15.75" customHeight="1">
      <c r="A1000" s="670"/>
    </row>
  </sheetData>
  <autoFilter ref="A5:Q31" xr:uid="{00000000-0009-0000-0000-000004000000}"/>
  <mergeCells count="5">
    <mergeCell ref="A1:G2"/>
    <mergeCell ref="A4:C4"/>
    <mergeCell ref="E4:F4"/>
    <mergeCell ref="J4:K4"/>
    <mergeCell ref="L4:N4"/>
  </mergeCells>
  <conditionalFormatting sqref="E6:E17 E19:E31">
    <cfRule type="expression" dxfId="23" priority="1">
      <formula>COUNTIF(E:E,E6)&gt;1</formula>
    </cfRule>
  </conditionalFormatting>
  <dataValidations count="10">
    <dataValidation type="list" allowBlank="1" showErrorMessage="1" sqref="P6:P31" xr:uid="{00000000-0002-0000-0400-000000000000}">
      <formula1>de</formula1>
    </dataValidation>
    <dataValidation type="list" allowBlank="1" showErrorMessage="1" sqref="C6:C31" xr:uid="{00000000-0002-0000-0400-000001000000}">
      <formula1>periodestamp</formula1>
    </dataValidation>
    <dataValidation type="list" allowBlank="1" showDropDown="1" showErrorMessage="1" sqref="D6:D31" xr:uid="{00000000-0002-0000-0400-000002000000}">
      <formula1>statuskelris</formula1>
    </dataValidation>
    <dataValidation type="list" allowBlank="1" showErrorMessage="1" sqref="G6:G31" xr:uid="{00000000-0002-0000-0400-000003000000}">
      <formula1>kelris</formula1>
    </dataValidation>
    <dataValidation type="list" allowBlank="1" showErrorMessage="1" sqref="J6:J31" xr:uid="{00000000-0002-0000-0400-000004000000}">
      <formula1>vol</formula1>
    </dataValidation>
    <dataValidation type="list" allowBlank="1" showErrorMessage="1" sqref="O6:O31" xr:uid="{00000000-0002-0000-0400-000005000000}">
      <formula1>ki</formula1>
    </dataValidation>
    <dataValidation type="list" allowBlank="1" showErrorMessage="1" sqref="K6:K31" xr:uid="{00000000-0002-0000-0400-000007000000}">
      <formula1>satuan</formula1>
    </dataValidation>
    <dataValidation type="list" allowBlank="1" showErrorMessage="1" sqref="E6:E17 E19:E31" xr:uid="{00000000-0002-0000-0400-000008000000}">
      <formula1>nmperiset</formula1>
    </dataValidation>
    <dataValidation type="list" allowBlank="1" showErrorMessage="1" sqref="S6:S31" xr:uid="{00000000-0002-0000-0400-000009000000}">
      <formula1>stsupload</formula1>
    </dataValidation>
    <dataValidation type="list" allowBlank="1" showErrorMessage="1" sqref="I6:I31" xr:uid="{00000000-0002-0000-0400-00000A000000}">
      <formula1>jdn</formula1>
    </dataValidation>
  </dataValidations>
  <hyperlinks>
    <hyperlink ref="Q6" r:id="rId1" xr:uid="{00000000-0004-0000-0400-000000000000}"/>
    <hyperlink ref="R6" r:id="rId2" xr:uid="{00000000-0004-0000-0400-000001000000}"/>
    <hyperlink ref="Q7" r:id="rId3" xr:uid="{00000000-0004-0000-0400-000002000000}"/>
    <hyperlink ref="R7" r:id="rId4" xr:uid="{00000000-0004-0000-0400-000003000000}"/>
    <hyperlink ref="R8" r:id="rId5" xr:uid="{00000000-0004-0000-0400-000004000000}"/>
    <hyperlink ref="R9" r:id="rId6" xr:uid="{00000000-0004-0000-0400-000005000000}"/>
    <hyperlink ref="Q10" r:id="rId7" xr:uid="{00000000-0004-0000-0400-000006000000}"/>
    <hyperlink ref="R10" r:id="rId8" xr:uid="{00000000-0004-0000-0400-000007000000}"/>
    <hyperlink ref="Q11" r:id="rId9" xr:uid="{00000000-0004-0000-0400-000008000000}"/>
    <hyperlink ref="R11" r:id="rId10" xr:uid="{00000000-0004-0000-0400-000009000000}"/>
    <hyperlink ref="R12" r:id="rId11" xr:uid="{00000000-0004-0000-0400-00000A000000}"/>
    <hyperlink ref="Q13" r:id="rId12" xr:uid="{00000000-0004-0000-0400-00000B000000}"/>
    <hyperlink ref="R13" r:id="rId13" xr:uid="{00000000-0004-0000-0400-00000C000000}"/>
    <hyperlink ref="Q14" r:id="rId14" xr:uid="{00000000-0004-0000-0400-00000D000000}"/>
    <hyperlink ref="R14" r:id="rId15" xr:uid="{00000000-0004-0000-0400-00000E000000}"/>
    <hyperlink ref="R15" r:id="rId16" xr:uid="{00000000-0004-0000-0400-00000F000000}"/>
    <hyperlink ref="R16" r:id="rId17" xr:uid="{00000000-0004-0000-0400-000010000000}"/>
    <hyperlink ref="R17" r:id="rId18" xr:uid="{00000000-0004-0000-0400-000011000000}"/>
    <hyperlink ref="R18" r:id="rId19" xr:uid="{00000000-0004-0000-0400-000012000000}"/>
    <hyperlink ref="R19" r:id="rId20" xr:uid="{00000000-0004-0000-0400-000013000000}"/>
    <hyperlink ref="R20" r:id="rId21" xr:uid="{00000000-0004-0000-0400-000014000000}"/>
    <hyperlink ref="R21" r:id="rId22" xr:uid="{00000000-0004-0000-0400-000015000000}"/>
    <hyperlink ref="R22" r:id="rId23" xr:uid="{00000000-0004-0000-0400-000016000000}"/>
    <hyperlink ref="R23" r:id="rId24" xr:uid="{00000000-0004-0000-0400-000017000000}"/>
    <hyperlink ref="R24" r:id="rId25" xr:uid="{00000000-0004-0000-0400-000018000000}"/>
    <hyperlink ref="R25" r:id="rId26" xr:uid="{00000000-0004-0000-0400-000019000000}"/>
    <hyperlink ref="R26" r:id="rId27" xr:uid="{00000000-0004-0000-0400-00001A000000}"/>
    <hyperlink ref="R27" r:id="rId28" xr:uid="{00000000-0004-0000-0400-00001B000000}"/>
    <hyperlink ref="R28" r:id="rId29" xr:uid="{00000000-0004-0000-0400-00001C000000}"/>
    <hyperlink ref="R29" r:id="rId30" xr:uid="{00000000-0004-0000-0400-00001D000000}"/>
    <hyperlink ref="R30" r:id="rId31" xr:uid="{00000000-0004-0000-0400-00001E000000}"/>
    <hyperlink ref="R31" r:id="rId32" xr:uid="{00000000-0004-0000-0400-00001F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400-000006000000}">
          <x14:formula1>
            <xm:f>Master!$E$50:$E$52</xm:f>
          </x14:formula1>
          <xm:sqref>H6:H31</xm:sqref>
        </x14:dataValidation>
        <x14:dataValidation type="list" allowBlank="1" showErrorMessage="1" xr:uid="{00000000-0002-0000-0400-00000B000000}">
          <x14:formula1>
            <xm:f>PI!$E$6:$E$231</xm:f>
          </x14:formula1>
          <xm:sqref>L6:N31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000"/>
  <sheetViews>
    <sheetView workbookViewId="0">
      <pane xSplit="6" ySplit="3" topLeftCell="G6" activePane="bottomRight" state="frozen"/>
      <selection pane="topRight" activeCell="G1" sqref="G1"/>
      <selection pane="bottomLeft" activeCell="A4" sqref="A4"/>
      <selection pane="bottomRight" activeCell="A7" sqref="A7"/>
    </sheetView>
  </sheetViews>
  <sheetFormatPr defaultColWidth="11.23046875" defaultRowHeight="15" customHeight="1"/>
  <cols>
    <col min="1" max="1" width="3" customWidth="1"/>
    <col min="2" max="2" width="11.69140625" customWidth="1"/>
    <col min="3" max="3" width="10.3046875" customWidth="1"/>
    <col min="4" max="4" width="2.69140625" customWidth="1"/>
    <col min="5" max="5" width="39.3046875" customWidth="1"/>
    <col min="6" max="6" width="26.69140625" customWidth="1"/>
    <col min="7" max="16" width="17.765625" customWidth="1"/>
    <col min="17" max="17" width="16.07421875" customWidth="1"/>
    <col min="18" max="18" width="10.53515625" customWidth="1"/>
    <col min="19" max="19" width="8.23046875" customWidth="1"/>
    <col min="20" max="20" width="16.765625" customWidth="1"/>
    <col min="21" max="21" width="13.4609375" customWidth="1"/>
    <col min="22" max="22" width="12.4609375" customWidth="1"/>
    <col min="23" max="23" width="14" customWidth="1"/>
    <col min="24" max="24" width="11.69140625" customWidth="1"/>
    <col min="25" max="25" width="10.84375" customWidth="1"/>
    <col min="26" max="26" width="45.53515625" customWidth="1"/>
    <col min="27" max="27" width="6.23046875" customWidth="1"/>
    <col min="28" max="31" width="6.23046875" hidden="1" customWidth="1"/>
    <col min="32" max="50" width="6.23046875" customWidth="1"/>
  </cols>
  <sheetData>
    <row r="1" spans="1:50" ht="41">
      <c r="A1" s="1209" t="s">
        <v>2130</v>
      </c>
      <c r="B1" s="1176"/>
      <c r="C1" s="1176"/>
      <c r="D1" s="1176"/>
      <c r="E1" s="1176"/>
      <c r="F1" s="1176"/>
      <c r="G1" s="673"/>
      <c r="H1" s="673"/>
      <c r="I1" s="673"/>
      <c r="J1" s="673"/>
      <c r="K1" s="673"/>
      <c r="L1" s="673"/>
      <c r="M1" s="673"/>
      <c r="N1" s="673"/>
      <c r="O1" s="673"/>
      <c r="P1" s="673"/>
      <c r="Q1" s="673"/>
      <c r="R1" s="673"/>
      <c r="S1" s="673"/>
      <c r="T1" s="673"/>
      <c r="U1" s="673"/>
      <c r="V1" s="673"/>
      <c r="W1" s="673"/>
      <c r="X1" s="673"/>
      <c r="Y1" s="673"/>
      <c r="Z1" s="673"/>
      <c r="AA1" s="57"/>
      <c r="AB1" s="674"/>
      <c r="AC1" s="674"/>
      <c r="AD1" s="674"/>
      <c r="AE1" s="674"/>
      <c r="AF1" s="57"/>
      <c r="AG1" s="57"/>
      <c r="AH1" s="57"/>
      <c r="AI1" s="57"/>
      <c r="AJ1" s="57"/>
      <c r="AK1" s="57"/>
      <c r="AL1" s="57"/>
      <c r="AM1" s="57"/>
      <c r="AN1" s="57"/>
      <c r="AO1" s="57"/>
      <c r="AP1" s="57"/>
      <c r="AQ1" s="57"/>
      <c r="AR1" s="57"/>
      <c r="AS1" s="57"/>
      <c r="AT1" s="57"/>
      <c r="AU1" s="57"/>
      <c r="AV1" s="57"/>
      <c r="AW1" s="57"/>
      <c r="AX1" s="57"/>
    </row>
    <row r="2" spans="1:50" ht="15.75" customHeight="1">
      <c r="A2" s="1210" t="s">
        <v>1</v>
      </c>
      <c r="B2" s="1179"/>
      <c r="C2" s="1179"/>
      <c r="D2" s="1180"/>
      <c r="E2" s="1211" t="s">
        <v>2096</v>
      </c>
      <c r="F2" s="1202"/>
      <c r="G2" s="1206" t="s">
        <v>2157</v>
      </c>
      <c r="H2" s="1186"/>
      <c r="I2" s="1186"/>
      <c r="J2" s="1186"/>
      <c r="K2" s="1186"/>
      <c r="L2" s="1186"/>
      <c r="M2" s="1186"/>
      <c r="N2" s="1187"/>
      <c r="O2" s="675"/>
      <c r="P2" s="675"/>
      <c r="Q2" s="57"/>
      <c r="R2" s="57"/>
      <c r="S2" s="57"/>
      <c r="T2" s="1206" t="s">
        <v>2158</v>
      </c>
      <c r="U2" s="1187"/>
      <c r="V2" s="1206" t="s">
        <v>2159</v>
      </c>
      <c r="W2" s="1187"/>
      <c r="X2" s="1207" t="s">
        <v>1830</v>
      </c>
      <c r="Y2" s="1208"/>
      <c r="Z2" s="3"/>
      <c r="AA2" s="57"/>
      <c r="AB2" s="674"/>
      <c r="AC2" s="674"/>
      <c r="AD2" s="674"/>
      <c r="AE2" s="674"/>
      <c r="AF2" s="57"/>
      <c r="AG2" s="57"/>
      <c r="AH2" s="57"/>
      <c r="AI2" s="57"/>
      <c r="AJ2" s="57"/>
      <c r="AK2" s="57"/>
      <c r="AL2" s="57"/>
      <c r="AM2" s="57"/>
      <c r="AN2" s="57"/>
      <c r="AO2" s="57"/>
      <c r="AP2" s="57"/>
      <c r="AQ2" s="57"/>
      <c r="AR2" s="57"/>
      <c r="AS2" s="57"/>
      <c r="AT2" s="57"/>
      <c r="AU2" s="57"/>
      <c r="AV2" s="57"/>
      <c r="AW2" s="57"/>
      <c r="AX2" s="57"/>
    </row>
    <row r="3" spans="1:50" ht="15.75" customHeight="1">
      <c r="A3" s="676" t="s">
        <v>5</v>
      </c>
      <c r="B3" s="677" t="s">
        <v>6</v>
      </c>
      <c r="C3" s="677" t="s">
        <v>7</v>
      </c>
      <c r="D3" s="677"/>
      <c r="E3" s="678" t="s">
        <v>9</v>
      </c>
      <c r="F3" s="679" t="s">
        <v>10</v>
      </c>
      <c r="G3" s="679">
        <v>1</v>
      </c>
      <c r="H3" s="679">
        <v>2</v>
      </c>
      <c r="I3" s="679">
        <v>3</v>
      </c>
      <c r="J3" s="679">
        <v>4</v>
      </c>
      <c r="K3" s="679">
        <v>5</v>
      </c>
      <c r="L3" s="679">
        <v>6</v>
      </c>
      <c r="M3" s="679">
        <v>7</v>
      </c>
      <c r="N3" s="679">
        <v>8</v>
      </c>
      <c r="O3" s="679">
        <v>9</v>
      </c>
      <c r="P3" s="679">
        <v>10</v>
      </c>
      <c r="Q3" s="679" t="s">
        <v>21</v>
      </c>
      <c r="R3" s="679" t="s">
        <v>23</v>
      </c>
      <c r="S3" s="679" t="s">
        <v>22</v>
      </c>
      <c r="T3" s="680" t="s">
        <v>5</v>
      </c>
      <c r="U3" s="680" t="s">
        <v>2160</v>
      </c>
      <c r="V3" s="680" t="s">
        <v>5</v>
      </c>
      <c r="W3" s="680" t="s">
        <v>2160</v>
      </c>
      <c r="X3" s="681" t="s">
        <v>1841</v>
      </c>
      <c r="Y3" s="682" t="s">
        <v>1842</v>
      </c>
      <c r="Z3" s="683" t="s">
        <v>30</v>
      </c>
      <c r="AA3" s="57"/>
      <c r="AB3" s="674"/>
      <c r="AC3" s="674"/>
      <c r="AD3" s="674"/>
      <c r="AE3" s="674"/>
      <c r="AF3" s="57"/>
      <c r="AG3" s="57"/>
      <c r="AH3" s="57"/>
      <c r="AI3" s="57"/>
      <c r="AJ3" s="57"/>
      <c r="AK3" s="57"/>
      <c r="AL3" s="57"/>
      <c r="AM3" s="57"/>
      <c r="AN3" s="57"/>
      <c r="AO3" s="57"/>
      <c r="AP3" s="57"/>
      <c r="AQ3" s="57"/>
      <c r="AR3" s="57"/>
      <c r="AS3" s="57"/>
      <c r="AT3" s="57"/>
      <c r="AU3" s="57"/>
      <c r="AV3" s="57"/>
      <c r="AW3" s="57"/>
      <c r="AX3" s="57"/>
    </row>
    <row r="4" spans="1:50" ht="27.5">
      <c r="A4" s="684">
        <v>1</v>
      </c>
      <c r="B4" s="241">
        <f t="shared" ref="B4:B9" ca="1" si="0">IF(E4&lt;&gt;"",IF(B4="",NOW(),B4),"")</f>
        <v>45742.432849999997</v>
      </c>
      <c r="C4" s="685"/>
      <c r="D4" s="686"/>
      <c r="E4" s="34" t="s">
        <v>2161</v>
      </c>
      <c r="F4" s="687" t="s">
        <v>58</v>
      </c>
      <c r="G4" s="250" t="s">
        <v>159</v>
      </c>
      <c r="H4" s="250" t="s">
        <v>111</v>
      </c>
      <c r="I4" s="250" t="s">
        <v>92</v>
      </c>
      <c r="J4" s="250" t="s">
        <v>59</v>
      </c>
      <c r="K4" s="250" t="s">
        <v>102</v>
      </c>
      <c r="L4" s="250" t="s">
        <v>169</v>
      </c>
      <c r="M4" s="250"/>
      <c r="N4" s="250"/>
      <c r="O4" s="250"/>
      <c r="P4" s="250"/>
      <c r="Q4" s="250" t="s">
        <v>2162</v>
      </c>
      <c r="R4" s="252" t="s">
        <v>2163</v>
      </c>
      <c r="S4" s="252" t="s">
        <v>2164</v>
      </c>
      <c r="T4" s="252" t="s">
        <v>2165</v>
      </c>
      <c r="U4" s="360">
        <v>45637</v>
      </c>
      <c r="V4" s="688" t="s">
        <v>2166</v>
      </c>
      <c r="W4" s="360">
        <v>45637</v>
      </c>
      <c r="X4" s="24" t="s">
        <v>2167</v>
      </c>
      <c r="Y4" s="250" t="s">
        <v>1811</v>
      </c>
      <c r="Z4" s="689" t="s">
        <v>2168</v>
      </c>
      <c r="AA4" s="690"/>
      <c r="AB4" s="226" t="str">
        <f ca="1">IFERROR(__xludf.DUMMYFUNCTION("IMPORTRANGE(""https://docs.google.com/spreadsheets/d/1uREY05dC3v6oTR1bLI-b3VlRJk1GrRaib0uwUj-1r_A/edit"", ""KI!B3:E800"")"),"#REF!")</f>
        <v>#REF!</v>
      </c>
      <c r="AC4" s="691"/>
      <c r="AD4" s="691"/>
      <c r="AE4" s="674"/>
      <c r="AF4" s="690"/>
      <c r="AG4" s="690"/>
      <c r="AH4" s="690"/>
      <c r="AI4" s="690"/>
      <c r="AJ4" s="690"/>
      <c r="AK4" s="690"/>
      <c r="AL4" s="690"/>
      <c r="AM4" s="690"/>
      <c r="AN4" s="690"/>
      <c r="AO4" s="690"/>
      <c r="AP4" s="690"/>
      <c r="AQ4" s="690"/>
      <c r="AR4" s="690"/>
      <c r="AS4" s="690"/>
      <c r="AT4" s="690"/>
      <c r="AU4" s="690"/>
      <c r="AV4" s="690"/>
      <c r="AW4" s="690"/>
      <c r="AX4" s="690"/>
    </row>
    <row r="5" spans="1:50" ht="132">
      <c r="A5" s="684">
        <v>2</v>
      </c>
      <c r="B5" s="241">
        <f t="shared" ca="1" si="0"/>
        <v>45739.709970000004</v>
      </c>
      <c r="C5" s="685"/>
      <c r="D5" s="686"/>
      <c r="E5" s="239" t="s">
        <v>2169</v>
      </c>
      <c r="F5" s="692" t="s">
        <v>49</v>
      </c>
      <c r="G5" s="250"/>
      <c r="H5" s="250"/>
      <c r="I5" s="250"/>
      <c r="J5" s="250"/>
      <c r="K5" s="250"/>
      <c r="L5" s="260"/>
      <c r="M5" s="250"/>
      <c r="N5" s="250"/>
      <c r="O5" s="250"/>
      <c r="P5" s="250"/>
      <c r="Q5" s="250"/>
      <c r="R5" s="252"/>
      <c r="S5" s="252" t="s">
        <v>2170</v>
      </c>
      <c r="T5" s="693" t="s">
        <v>2171</v>
      </c>
      <c r="U5" s="360">
        <v>44658</v>
      </c>
      <c r="V5" s="252" t="s">
        <v>2172</v>
      </c>
      <c r="W5" s="360"/>
      <c r="X5" s="24" t="s">
        <v>2167</v>
      </c>
      <c r="Y5" s="694" t="s">
        <v>1811</v>
      </c>
      <c r="Z5" s="695" t="s">
        <v>2173</v>
      </c>
      <c r="AA5" s="690"/>
      <c r="AB5" s="21" t="s">
        <v>2174</v>
      </c>
      <c r="AC5" s="696" t="s">
        <v>2163</v>
      </c>
      <c r="AD5" s="34" t="s">
        <v>2175</v>
      </c>
      <c r="AE5" s="690" t="s">
        <v>1683</v>
      </c>
      <c r="AF5" s="690"/>
      <c r="AG5" s="690"/>
      <c r="AH5" s="690"/>
      <c r="AI5" s="690"/>
      <c r="AJ5" s="690"/>
      <c r="AK5" s="690"/>
      <c r="AL5" s="690"/>
      <c r="AM5" s="690"/>
      <c r="AN5" s="690"/>
      <c r="AO5" s="690"/>
      <c r="AP5" s="690"/>
      <c r="AQ5" s="690"/>
      <c r="AR5" s="690"/>
      <c r="AS5" s="690"/>
      <c r="AT5" s="690"/>
      <c r="AU5" s="690"/>
      <c r="AV5" s="690"/>
      <c r="AW5" s="690"/>
      <c r="AX5" s="690"/>
    </row>
    <row r="6" spans="1:50" ht="144">
      <c r="A6" s="684">
        <v>3</v>
      </c>
      <c r="B6" s="241">
        <f t="shared" ca="1" si="0"/>
        <v>45805.672359999997</v>
      </c>
      <c r="C6" s="686" t="s">
        <v>251</v>
      </c>
      <c r="D6" s="686"/>
      <c r="E6" s="34" t="s">
        <v>2176</v>
      </c>
      <c r="F6" s="697" t="s">
        <v>201</v>
      </c>
      <c r="G6" s="250" t="s">
        <v>356</v>
      </c>
      <c r="H6" s="250" t="s">
        <v>375</v>
      </c>
      <c r="I6" s="250" t="s">
        <v>237</v>
      </c>
      <c r="J6" s="250" t="s">
        <v>360</v>
      </c>
      <c r="K6" s="250" t="s">
        <v>359</v>
      </c>
      <c r="L6" s="250" t="s">
        <v>374</v>
      </c>
      <c r="M6" s="250" t="s">
        <v>644</v>
      </c>
      <c r="N6" s="250"/>
      <c r="O6" s="250"/>
      <c r="P6" s="250"/>
      <c r="Q6" s="250"/>
      <c r="R6" s="252" t="s">
        <v>2163</v>
      </c>
      <c r="S6" s="252" t="s">
        <v>2164</v>
      </c>
      <c r="T6" s="252" t="s">
        <v>2177</v>
      </c>
      <c r="U6" s="360">
        <v>45786</v>
      </c>
      <c r="V6" s="252"/>
      <c r="W6" s="360"/>
      <c r="X6" s="24" t="s">
        <v>2167</v>
      </c>
      <c r="Y6" s="694" t="s">
        <v>1811</v>
      </c>
      <c r="Z6" s="694" t="s">
        <v>2178</v>
      </c>
      <c r="AA6" s="690"/>
      <c r="AB6" s="239" t="s">
        <v>2179</v>
      </c>
      <c r="AC6" s="696" t="s">
        <v>2180</v>
      </c>
      <c r="AD6" s="34" t="s">
        <v>2181</v>
      </c>
      <c r="AE6" s="674"/>
      <c r="AF6" s="690"/>
      <c r="AG6" s="690"/>
      <c r="AH6" s="690"/>
      <c r="AI6" s="690"/>
      <c r="AJ6" s="690"/>
      <c r="AK6" s="690"/>
      <c r="AL6" s="690"/>
      <c r="AM6" s="690"/>
      <c r="AN6" s="690"/>
      <c r="AO6" s="690"/>
      <c r="AP6" s="690"/>
      <c r="AQ6" s="690"/>
      <c r="AR6" s="690"/>
      <c r="AS6" s="690"/>
      <c r="AT6" s="690"/>
      <c r="AU6" s="690"/>
      <c r="AV6" s="690"/>
      <c r="AW6" s="690"/>
      <c r="AX6" s="690"/>
    </row>
    <row r="7" spans="1:50" ht="108">
      <c r="A7" s="684">
        <v>4</v>
      </c>
      <c r="B7" s="241">
        <f t="shared" ca="1" si="0"/>
        <v>45807.403310000002</v>
      </c>
      <c r="C7" s="685"/>
      <c r="D7" s="686" t="s">
        <v>119</v>
      </c>
      <c r="E7" s="34" t="s">
        <v>2176</v>
      </c>
      <c r="F7" s="692" t="s">
        <v>58</v>
      </c>
      <c r="G7" s="250" t="s">
        <v>192</v>
      </c>
      <c r="H7" s="250"/>
      <c r="I7" s="250"/>
      <c r="J7" s="250"/>
      <c r="K7" s="250"/>
      <c r="L7" s="250"/>
      <c r="M7" s="250"/>
      <c r="N7" s="250"/>
      <c r="O7" s="250"/>
      <c r="P7" s="250"/>
      <c r="Q7" s="250"/>
      <c r="R7" s="252" t="s">
        <v>2163</v>
      </c>
      <c r="S7" s="252" t="s">
        <v>2164</v>
      </c>
      <c r="T7" s="252" t="s">
        <v>2177</v>
      </c>
      <c r="U7" s="360">
        <v>45786</v>
      </c>
      <c r="V7" s="252"/>
      <c r="W7" s="360"/>
      <c r="X7" s="24" t="s">
        <v>2167</v>
      </c>
      <c r="Y7" s="694" t="s">
        <v>1811</v>
      </c>
      <c r="Z7" s="694" t="s">
        <v>2178</v>
      </c>
      <c r="AA7" s="690"/>
      <c r="AB7" s="239" t="s">
        <v>2182</v>
      </c>
      <c r="AC7" s="696" t="s">
        <v>2180</v>
      </c>
      <c r="AD7" s="34" t="s">
        <v>2183</v>
      </c>
      <c r="AE7" s="674"/>
      <c r="AF7" s="690"/>
      <c r="AG7" s="690"/>
      <c r="AH7" s="690"/>
      <c r="AI7" s="690"/>
      <c r="AJ7" s="690"/>
      <c r="AK7" s="690"/>
      <c r="AL7" s="690"/>
      <c r="AM7" s="690"/>
      <c r="AN7" s="690"/>
      <c r="AO7" s="690"/>
      <c r="AP7" s="690"/>
      <c r="AQ7" s="690"/>
      <c r="AR7" s="690"/>
      <c r="AS7" s="690"/>
      <c r="AT7" s="690"/>
      <c r="AU7" s="690"/>
      <c r="AV7" s="690"/>
      <c r="AW7" s="690"/>
      <c r="AX7" s="690"/>
    </row>
    <row r="8" spans="1:50" ht="60">
      <c r="A8" s="684">
        <v>5</v>
      </c>
      <c r="B8" s="241">
        <f t="shared" ca="1" si="0"/>
        <v>45811.352619999998</v>
      </c>
      <c r="C8" s="686" t="s">
        <v>271</v>
      </c>
      <c r="D8" s="686"/>
      <c r="E8" s="239" t="s">
        <v>1813</v>
      </c>
      <c r="F8" s="697" t="s">
        <v>49</v>
      </c>
      <c r="G8" s="250" t="s">
        <v>291</v>
      </c>
      <c r="H8" s="250"/>
      <c r="I8" s="250"/>
      <c r="J8" s="250"/>
      <c r="K8" s="250"/>
      <c r="L8" s="250"/>
      <c r="M8" s="250"/>
      <c r="N8" s="250"/>
      <c r="O8" s="250"/>
      <c r="P8" s="250"/>
      <c r="Q8" s="250" t="s">
        <v>2184</v>
      </c>
      <c r="R8" s="252" t="s">
        <v>2180</v>
      </c>
      <c r="S8" s="252" t="s">
        <v>2164</v>
      </c>
      <c r="T8" s="252" t="s">
        <v>1815</v>
      </c>
      <c r="U8" s="372" t="s">
        <v>2185</v>
      </c>
      <c r="V8" s="252"/>
      <c r="W8" s="360"/>
      <c r="X8" s="24" t="s">
        <v>2167</v>
      </c>
      <c r="Y8" s="694" t="s">
        <v>1811</v>
      </c>
      <c r="Z8" s="698"/>
      <c r="AA8" s="690"/>
      <c r="AB8" s="239" t="s">
        <v>2186</v>
      </c>
      <c r="AC8" s="696" t="s">
        <v>2180</v>
      </c>
      <c r="AD8" s="699" t="s">
        <v>2187</v>
      </c>
      <c r="AE8" s="674"/>
      <c r="AF8" s="690"/>
      <c r="AG8" s="690"/>
      <c r="AH8" s="690"/>
      <c r="AI8" s="690"/>
      <c r="AJ8" s="690"/>
      <c r="AK8" s="690"/>
      <c r="AL8" s="690"/>
      <c r="AM8" s="690"/>
      <c r="AN8" s="690"/>
      <c r="AO8" s="690"/>
      <c r="AP8" s="690"/>
      <c r="AQ8" s="690"/>
      <c r="AR8" s="690"/>
      <c r="AS8" s="690"/>
      <c r="AT8" s="690"/>
      <c r="AU8" s="690"/>
      <c r="AV8" s="690"/>
      <c r="AW8" s="690"/>
      <c r="AX8" s="690"/>
    </row>
    <row r="9" spans="1:50" ht="240">
      <c r="A9" s="684">
        <v>6</v>
      </c>
      <c r="B9" s="241">
        <f t="shared" ca="1" si="0"/>
        <v>45811.358310000003</v>
      </c>
      <c r="C9" s="686" t="s">
        <v>271</v>
      </c>
      <c r="D9" s="686"/>
      <c r="E9" s="239" t="s">
        <v>2188</v>
      </c>
      <c r="F9" s="697" t="s">
        <v>58</v>
      </c>
      <c r="G9" s="252" t="s">
        <v>59</v>
      </c>
      <c r="H9" s="252" t="s">
        <v>192</v>
      </c>
      <c r="I9" s="252" t="s">
        <v>102</v>
      </c>
      <c r="J9" s="252" t="s">
        <v>275</v>
      </c>
      <c r="K9" s="252" t="s">
        <v>273</v>
      </c>
      <c r="L9" s="252" t="s">
        <v>137</v>
      </c>
      <c r="M9" s="252"/>
      <c r="N9" s="252"/>
      <c r="O9" s="252"/>
      <c r="P9" s="252"/>
      <c r="Q9" s="252" t="s">
        <v>2189</v>
      </c>
      <c r="R9" s="252" t="s">
        <v>2180</v>
      </c>
      <c r="S9" s="252" t="s">
        <v>2164</v>
      </c>
      <c r="T9" s="252" t="s">
        <v>2190</v>
      </c>
      <c r="U9" s="372" t="s">
        <v>2185</v>
      </c>
      <c r="V9" s="700" t="s">
        <v>2191</v>
      </c>
      <c r="W9" s="360">
        <v>45804</v>
      </c>
      <c r="X9" s="24" t="s">
        <v>2167</v>
      </c>
      <c r="Y9" s="694" t="s">
        <v>1811</v>
      </c>
      <c r="Z9" s="698"/>
      <c r="AA9" s="690"/>
      <c r="AB9" s="239" t="s">
        <v>2192</v>
      </c>
      <c r="AC9" s="696" t="s">
        <v>2163</v>
      </c>
      <c r="AD9" s="34" t="s">
        <v>2193</v>
      </c>
      <c r="AE9" s="674"/>
      <c r="AF9" s="690"/>
      <c r="AG9" s="690"/>
      <c r="AH9" s="690"/>
      <c r="AI9" s="690"/>
      <c r="AJ9" s="690"/>
      <c r="AK9" s="690"/>
      <c r="AL9" s="690"/>
      <c r="AM9" s="690"/>
      <c r="AN9" s="690"/>
      <c r="AO9" s="690"/>
      <c r="AP9" s="690"/>
      <c r="AQ9" s="690"/>
      <c r="AR9" s="690"/>
      <c r="AS9" s="690"/>
      <c r="AT9" s="690"/>
      <c r="AU9" s="690"/>
      <c r="AV9" s="690"/>
      <c r="AW9" s="690"/>
      <c r="AX9" s="690"/>
    </row>
    <row r="10" spans="1:50" ht="84">
      <c r="A10" s="684">
        <v>7</v>
      </c>
      <c r="B10" s="241">
        <v>45882</v>
      </c>
      <c r="C10" s="686" t="s">
        <v>480</v>
      </c>
      <c r="D10" s="686"/>
      <c r="E10" s="239" t="s">
        <v>2194</v>
      </c>
      <c r="F10" s="697" t="s">
        <v>201</v>
      </c>
      <c r="G10" s="252" t="s">
        <v>415</v>
      </c>
      <c r="H10" s="252"/>
      <c r="I10" s="252"/>
      <c r="J10" s="252"/>
      <c r="K10" s="252"/>
      <c r="L10" s="252"/>
      <c r="M10" s="252"/>
      <c r="N10" s="252"/>
      <c r="O10" s="252"/>
      <c r="P10" s="252"/>
      <c r="Q10" s="252" t="s">
        <v>2195</v>
      </c>
      <c r="R10" s="252" t="s">
        <v>2180</v>
      </c>
      <c r="S10" s="252" t="s">
        <v>2196</v>
      </c>
      <c r="T10" s="252" t="s">
        <v>2197</v>
      </c>
      <c r="U10" s="496">
        <v>43132</v>
      </c>
      <c r="V10" s="252" t="s">
        <v>2198</v>
      </c>
      <c r="W10" s="496">
        <v>45680</v>
      </c>
      <c r="X10" s="24" t="s">
        <v>2167</v>
      </c>
      <c r="Y10" s="694" t="s">
        <v>1811</v>
      </c>
      <c r="Z10" s="698"/>
      <c r="AA10" s="690"/>
      <c r="AB10" s="44" t="s">
        <v>2199</v>
      </c>
      <c r="AC10" s="253" t="s">
        <v>2163</v>
      </c>
      <c r="AD10" s="21" t="s">
        <v>2200</v>
      </c>
      <c r="AE10" s="674"/>
      <c r="AF10" s="690"/>
      <c r="AG10" s="690"/>
      <c r="AH10" s="690"/>
      <c r="AI10" s="690"/>
      <c r="AJ10" s="690"/>
      <c r="AK10" s="690"/>
      <c r="AL10" s="690"/>
      <c r="AM10" s="690"/>
      <c r="AN10" s="690"/>
      <c r="AO10" s="690"/>
      <c r="AP10" s="690"/>
      <c r="AQ10" s="690"/>
      <c r="AR10" s="690"/>
      <c r="AS10" s="690"/>
      <c r="AT10" s="690"/>
      <c r="AU10" s="690"/>
      <c r="AV10" s="690"/>
      <c r="AW10" s="690"/>
      <c r="AX10" s="690"/>
    </row>
    <row r="11" spans="1:50" ht="275.5">
      <c r="A11" s="684">
        <v>8</v>
      </c>
      <c r="B11" s="241">
        <f t="shared" ref="B11:B22" ca="1" si="1">IF(E11&lt;&gt;"",IF(B11="",NOW(),B11),"")</f>
        <v>45894.381269999998</v>
      </c>
      <c r="C11" s="686"/>
      <c r="D11" s="686"/>
      <c r="E11" s="99" t="s">
        <v>2201</v>
      </c>
      <c r="F11" s="692" t="s">
        <v>32</v>
      </c>
      <c r="G11" s="252" t="s">
        <v>260</v>
      </c>
      <c r="H11" s="252"/>
      <c r="I11" s="252"/>
      <c r="J11" s="252"/>
      <c r="K11" s="252"/>
      <c r="L11" s="252"/>
      <c r="M11" s="252"/>
      <c r="N11" s="252"/>
      <c r="O11" s="252"/>
      <c r="P11" s="252"/>
      <c r="Q11" s="250" t="s">
        <v>2202</v>
      </c>
      <c r="R11" s="252" t="s">
        <v>2203</v>
      </c>
      <c r="S11" s="252" t="s">
        <v>2164</v>
      </c>
      <c r="T11" s="252"/>
      <c r="U11" s="360"/>
      <c r="V11" s="252"/>
      <c r="W11" s="360"/>
      <c r="X11" s="24" t="s">
        <v>2167</v>
      </c>
      <c r="Y11" s="701"/>
      <c r="Z11" s="698"/>
      <c r="AA11" s="690"/>
      <c r="AB11" s="702" t="s">
        <v>2204</v>
      </c>
      <c r="AC11" s="253" t="s">
        <v>2163</v>
      </c>
      <c r="AD11" s="703" t="s">
        <v>2205</v>
      </c>
      <c r="AE11" s="674"/>
      <c r="AF11" s="690"/>
      <c r="AG11" s="690"/>
      <c r="AH11" s="690"/>
      <c r="AI11" s="690"/>
      <c r="AJ11" s="690"/>
      <c r="AK11" s="690"/>
      <c r="AL11" s="690"/>
      <c r="AM11" s="690"/>
      <c r="AN11" s="690"/>
      <c r="AO11" s="690"/>
      <c r="AP11" s="690"/>
      <c r="AQ11" s="690"/>
      <c r="AR11" s="690"/>
      <c r="AS11" s="690"/>
      <c r="AT11" s="690"/>
      <c r="AU11" s="690"/>
      <c r="AV11" s="690"/>
      <c r="AW11" s="690"/>
      <c r="AX11" s="690"/>
    </row>
    <row r="12" spans="1:50" ht="144">
      <c r="A12" s="684">
        <v>9</v>
      </c>
      <c r="B12" s="241">
        <f t="shared" ca="1" si="1"/>
        <v>45894.443480000002</v>
      </c>
      <c r="C12" s="704"/>
      <c r="D12" s="686"/>
      <c r="E12" s="705" t="s">
        <v>2206</v>
      </c>
      <c r="F12" s="692" t="s">
        <v>58</v>
      </c>
      <c r="G12" s="252" t="s">
        <v>59</v>
      </c>
      <c r="H12" s="252"/>
      <c r="I12" s="252"/>
      <c r="J12" s="252"/>
      <c r="K12" s="252"/>
      <c r="L12" s="252"/>
      <c r="M12" s="252"/>
      <c r="N12" s="252"/>
      <c r="O12" s="252"/>
      <c r="P12" s="252"/>
      <c r="Q12" s="250" t="s">
        <v>2207</v>
      </c>
      <c r="R12" s="252" t="s">
        <v>2180</v>
      </c>
      <c r="S12" s="252" t="s">
        <v>2164</v>
      </c>
      <c r="T12" s="252" t="s">
        <v>2208</v>
      </c>
      <c r="U12" s="360">
        <v>45876</v>
      </c>
      <c r="V12" s="700" t="s">
        <v>2209</v>
      </c>
      <c r="W12" s="360">
        <v>45876</v>
      </c>
      <c r="X12" s="24" t="s">
        <v>2167</v>
      </c>
      <c r="Y12" s="706" t="s">
        <v>1811</v>
      </c>
      <c r="Z12" s="226" t="s">
        <v>2210</v>
      </c>
      <c r="AA12" s="690"/>
      <c r="AB12" s="21" t="s">
        <v>2211</v>
      </c>
      <c r="AC12" s="253" t="s">
        <v>2180</v>
      </c>
      <c r="AD12" s="703" t="s">
        <v>2212</v>
      </c>
      <c r="AE12" s="674"/>
      <c r="AF12" s="690"/>
      <c r="AG12" s="690"/>
      <c r="AH12" s="690"/>
      <c r="AI12" s="690"/>
      <c r="AJ12" s="690"/>
      <c r="AK12" s="690"/>
      <c r="AL12" s="690"/>
      <c r="AM12" s="690"/>
      <c r="AN12" s="690"/>
      <c r="AO12" s="690"/>
      <c r="AP12" s="690"/>
      <c r="AQ12" s="690"/>
      <c r="AR12" s="690"/>
      <c r="AS12" s="690"/>
      <c r="AT12" s="690"/>
      <c r="AU12" s="690"/>
      <c r="AV12" s="690"/>
      <c r="AW12" s="690"/>
      <c r="AX12" s="690"/>
    </row>
    <row r="13" spans="1:50" ht="117">
      <c r="A13" s="684">
        <v>10</v>
      </c>
      <c r="B13" s="241">
        <f t="shared" ca="1" si="1"/>
        <v>45926.900509999999</v>
      </c>
      <c r="C13" s="254" t="s">
        <v>326</v>
      </c>
      <c r="D13" s="707"/>
      <c r="E13" s="708" t="s">
        <v>2213</v>
      </c>
      <c r="F13" s="709" t="s">
        <v>49</v>
      </c>
      <c r="G13" s="498" t="s">
        <v>2214</v>
      </c>
      <c r="H13" s="252"/>
      <c r="I13" s="252"/>
      <c r="J13" s="379"/>
      <c r="K13" s="252"/>
      <c r="L13" s="252"/>
      <c r="M13" s="252"/>
      <c r="N13" s="252"/>
      <c r="O13" s="353"/>
      <c r="P13" s="252"/>
      <c r="Q13" s="708" t="s">
        <v>2215</v>
      </c>
      <c r="R13" s="252" t="s">
        <v>2163</v>
      </c>
      <c r="S13" s="252" t="s">
        <v>2164</v>
      </c>
      <c r="T13" s="250" t="s">
        <v>2216</v>
      </c>
      <c r="U13" s="372" t="s">
        <v>2217</v>
      </c>
      <c r="V13" s="252"/>
      <c r="W13" s="360"/>
      <c r="X13" s="24" t="s">
        <v>2167</v>
      </c>
      <c r="Y13" s="706" t="s">
        <v>1811</v>
      </c>
      <c r="Z13" s="180" t="s">
        <v>2178</v>
      </c>
      <c r="AA13" s="57"/>
      <c r="AB13" s="710" t="s">
        <v>2218</v>
      </c>
      <c r="AC13" s="253" t="s">
        <v>2180</v>
      </c>
      <c r="AD13" s="711" t="s">
        <v>2219</v>
      </c>
      <c r="AE13" s="674"/>
      <c r="AF13" s="57"/>
      <c r="AG13" s="57"/>
      <c r="AH13" s="57"/>
      <c r="AI13" s="57"/>
      <c r="AJ13" s="57"/>
      <c r="AK13" s="57"/>
      <c r="AL13" s="57"/>
      <c r="AM13" s="57"/>
      <c r="AN13" s="57"/>
      <c r="AO13" s="57"/>
      <c r="AP13" s="57"/>
      <c r="AQ13" s="57"/>
      <c r="AR13" s="57"/>
      <c r="AS13" s="57"/>
      <c r="AT13" s="57"/>
      <c r="AU13" s="57"/>
      <c r="AV13" s="57"/>
      <c r="AW13" s="57"/>
      <c r="AX13" s="57"/>
    </row>
    <row r="14" spans="1:50" ht="216">
      <c r="A14" s="684">
        <v>11</v>
      </c>
      <c r="B14" s="241">
        <f t="shared" ca="1" si="1"/>
        <v>45928.360970000002</v>
      </c>
      <c r="C14" s="254" t="s">
        <v>326</v>
      </c>
      <c r="D14" s="254"/>
      <c r="E14" s="712" t="s">
        <v>2220</v>
      </c>
      <c r="F14" s="356" t="s">
        <v>49</v>
      </c>
      <c r="G14" s="250" t="s">
        <v>652</v>
      </c>
      <c r="H14" s="252"/>
      <c r="I14" s="379"/>
      <c r="J14" s="252"/>
      <c r="K14" s="252"/>
      <c r="L14" s="252"/>
      <c r="M14" s="252"/>
      <c r="N14" s="713"/>
      <c r="O14" s="353"/>
      <c r="P14" s="252"/>
      <c r="Q14" s="714" t="s">
        <v>2221</v>
      </c>
      <c r="R14" s="252" t="s">
        <v>2163</v>
      </c>
      <c r="S14" s="252" t="s">
        <v>2164</v>
      </c>
      <c r="T14" s="693" t="s">
        <v>2222</v>
      </c>
      <c r="U14" s="372" t="s">
        <v>2223</v>
      </c>
      <c r="V14" s="252"/>
      <c r="W14" s="360"/>
      <c r="X14" s="24" t="s">
        <v>2167</v>
      </c>
      <c r="Y14" s="706" t="s">
        <v>1811</v>
      </c>
      <c r="Z14" s="180" t="s">
        <v>2178</v>
      </c>
      <c r="AA14" s="57"/>
      <c r="AB14" s="715" t="s">
        <v>2224</v>
      </c>
      <c r="AC14" s="253" t="s">
        <v>2163</v>
      </c>
      <c r="AD14" s="716" t="s">
        <v>2225</v>
      </c>
      <c r="AE14" s="674"/>
      <c r="AF14" s="57"/>
      <c r="AG14" s="57"/>
      <c r="AH14" s="57"/>
      <c r="AI14" s="57"/>
      <c r="AJ14" s="57"/>
      <c r="AK14" s="57"/>
      <c r="AL14" s="57"/>
      <c r="AM14" s="57"/>
      <c r="AN14" s="57"/>
      <c r="AO14" s="57"/>
      <c r="AP14" s="57"/>
      <c r="AQ14" s="57"/>
      <c r="AR14" s="57"/>
      <c r="AS14" s="57"/>
      <c r="AT14" s="57"/>
      <c r="AU14" s="57"/>
      <c r="AV14" s="57"/>
      <c r="AW14" s="57"/>
      <c r="AX14" s="57"/>
    </row>
    <row r="15" spans="1:50" ht="216">
      <c r="A15" s="684">
        <v>12</v>
      </c>
      <c r="B15" s="241">
        <f t="shared" ca="1" si="1"/>
        <v>45928.400419999998</v>
      </c>
      <c r="C15" s="254" t="s">
        <v>326</v>
      </c>
      <c r="D15" s="254"/>
      <c r="E15" s="250" t="s">
        <v>2226</v>
      </c>
      <c r="F15" s="382" t="s">
        <v>58</v>
      </c>
      <c r="G15" s="250" t="s">
        <v>59</v>
      </c>
      <c r="H15" s="250" t="s">
        <v>92</v>
      </c>
      <c r="I15" s="250" t="s">
        <v>192</v>
      </c>
      <c r="J15" s="250" t="s">
        <v>102</v>
      </c>
      <c r="K15" s="250" t="s">
        <v>275</v>
      </c>
      <c r="L15" s="250" t="s">
        <v>273</v>
      </c>
      <c r="M15" s="250" t="s">
        <v>137</v>
      </c>
      <c r="N15" s="250" t="s">
        <v>103</v>
      </c>
      <c r="O15" s="386" t="s">
        <v>274</v>
      </c>
      <c r="P15" s="250" t="s">
        <v>276</v>
      </c>
      <c r="Q15" s="250" t="s">
        <v>2227</v>
      </c>
      <c r="R15" s="252" t="s">
        <v>2163</v>
      </c>
      <c r="S15" s="252" t="s">
        <v>2164</v>
      </c>
      <c r="T15" s="252" t="s">
        <v>2228</v>
      </c>
      <c r="U15" s="372" t="s">
        <v>2229</v>
      </c>
      <c r="V15" s="717"/>
      <c r="W15" s="360"/>
      <c r="X15" s="24" t="s">
        <v>2167</v>
      </c>
      <c r="Y15" s="706" t="s">
        <v>1811</v>
      </c>
      <c r="Z15" s="180" t="s">
        <v>2178</v>
      </c>
      <c r="AA15" s="57"/>
      <c r="AB15" s="718" t="s">
        <v>2230</v>
      </c>
      <c r="AC15" s="253" t="s">
        <v>2163</v>
      </c>
      <c r="AD15" s="719" t="s">
        <v>2231</v>
      </c>
      <c r="AE15" s="674"/>
      <c r="AF15" s="57"/>
      <c r="AG15" s="57"/>
      <c r="AH15" s="57"/>
      <c r="AI15" s="57"/>
      <c r="AJ15" s="57"/>
      <c r="AK15" s="57"/>
      <c r="AL15" s="57"/>
      <c r="AM15" s="57"/>
      <c r="AN15" s="57"/>
      <c r="AO15" s="57"/>
      <c r="AP15" s="57"/>
      <c r="AQ15" s="57"/>
      <c r="AR15" s="57"/>
      <c r="AS15" s="57"/>
      <c r="AT15" s="57"/>
      <c r="AU15" s="57"/>
      <c r="AV15" s="57"/>
      <c r="AW15" s="57"/>
      <c r="AX15" s="57"/>
    </row>
    <row r="16" spans="1:50" ht="252.5">
      <c r="A16" s="684">
        <v>13</v>
      </c>
      <c r="B16" s="241">
        <f t="shared" ca="1" si="1"/>
        <v>45928.410069999998</v>
      </c>
      <c r="C16" s="254" t="s">
        <v>326</v>
      </c>
      <c r="D16" s="258"/>
      <c r="E16" s="250" t="s">
        <v>2232</v>
      </c>
      <c r="F16" s="382" t="s">
        <v>201</v>
      </c>
      <c r="G16" s="252" t="s">
        <v>416</v>
      </c>
      <c r="H16" s="252" t="s">
        <v>652</v>
      </c>
      <c r="I16" s="252"/>
      <c r="J16" s="252"/>
      <c r="K16" s="252"/>
      <c r="L16" s="252"/>
      <c r="M16" s="252"/>
      <c r="N16" s="252"/>
      <c r="O16" s="252"/>
      <c r="P16" s="252"/>
      <c r="Q16" s="250" t="s">
        <v>2233</v>
      </c>
      <c r="R16" s="252" t="s">
        <v>2163</v>
      </c>
      <c r="S16" s="252" t="s">
        <v>2164</v>
      </c>
      <c r="T16" s="252" t="s">
        <v>2234</v>
      </c>
      <c r="U16" s="360">
        <v>45873</v>
      </c>
      <c r="V16" s="252"/>
      <c r="W16" s="360"/>
      <c r="X16" s="24" t="s">
        <v>2167</v>
      </c>
      <c r="Y16" s="706" t="s">
        <v>1811</v>
      </c>
      <c r="Z16" s="180" t="s">
        <v>2178</v>
      </c>
      <c r="AA16" s="57"/>
      <c r="AB16" s="720" t="s">
        <v>2235</v>
      </c>
      <c r="AC16" s="253" t="s">
        <v>2163</v>
      </c>
      <c r="AD16" s="182" t="s">
        <v>2236</v>
      </c>
      <c r="AE16" s="674"/>
      <c r="AF16" s="57"/>
      <c r="AG16" s="57"/>
      <c r="AH16" s="57"/>
      <c r="AI16" s="57"/>
      <c r="AJ16" s="57"/>
      <c r="AK16" s="57"/>
      <c r="AL16" s="57"/>
      <c r="AM16" s="57"/>
      <c r="AN16" s="57"/>
      <c r="AO16" s="57"/>
      <c r="AP16" s="57"/>
      <c r="AQ16" s="57"/>
      <c r="AR16" s="57"/>
      <c r="AS16" s="57"/>
      <c r="AT16" s="57"/>
      <c r="AU16" s="57"/>
      <c r="AV16" s="57"/>
      <c r="AW16" s="57"/>
      <c r="AX16" s="57"/>
    </row>
    <row r="17" spans="1:50" ht="264.5">
      <c r="A17" s="684">
        <v>14</v>
      </c>
      <c r="B17" s="241">
        <f t="shared" ca="1" si="1"/>
        <v>45936.780030000002</v>
      </c>
      <c r="C17" s="254" t="s">
        <v>326</v>
      </c>
      <c r="D17" s="258"/>
      <c r="E17" s="250" t="s">
        <v>2237</v>
      </c>
      <c r="F17" s="382" t="s">
        <v>201</v>
      </c>
      <c r="G17" s="252" t="s">
        <v>644</v>
      </c>
      <c r="H17" s="252"/>
      <c r="I17" s="252"/>
      <c r="J17" s="379"/>
      <c r="K17" s="252"/>
      <c r="L17" s="252"/>
      <c r="M17" s="252"/>
      <c r="N17" s="252"/>
      <c r="O17" s="252"/>
      <c r="P17" s="252"/>
      <c r="Q17" s="250" t="s">
        <v>2238</v>
      </c>
      <c r="R17" s="252" t="s">
        <v>2163</v>
      </c>
      <c r="S17" s="252" t="s">
        <v>2164</v>
      </c>
      <c r="T17" s="693" t="s">
        <v>2239</v>
      </c>
      <c r="U17" s="360">
        <v>45929</v>
      </c>
      <c r="V17" s="252"/>
      <c r="W17" s="360"/>
      <c r="X17" s="24" t="s">
        <v>2167</v>
      </c>
      <c r="Y17" s="252" t="s">
        <v>1811</v>
      </c>
      <c r="Z17" s="180" t="s">
        <v>2178</v>
      </c>
      <c r="AA17" s="57"/>
      <c r="AB17" s="720" t="s">
        <v>2240</v>
      </c>
      <c r="AC17" s="253" t="s">
        <v>2163</v>
      </c>
      <c r="AD17" s="182" t="s">
        <v>2241</v>
      </c>
      <c r="AE17" s="674"/>
      <c r="AF17" s="57"/>
      <c r="AG17" s="57"/>
      <c r="AH17" s="57"/>
      <c r="AI17" s="57"/>
      <c r="AJ17" s="57"/>
      <c r="AK17" s="57"/>
      <c r="AL17" s="57"/>
      <c r="AM17" s="57"/>
      <c r="AN17" s="57"/>
      <c r="AO17" s="57"/>
      <c r="AP17" s="57"/>
      <c r="AQ17" s="57"/>
      <c r="AR17" s="57"/>
      <c r="AS17" s="57"/>
      <c r="AT17" s="57"/>
      <c r="AU17" s="57"/>
      <c r="AV17" s="57"/>
      <c r="AW17" s="57"/>
      <c r="AX17" s="57"/>
    </row>
    <row r="18" spans="1:50" ht="144.5">
      <c r="A18" s="684">
        <v>15</v>
      </c>
      <c r="B18" s="241">
        <f t="shared" ca="1" si="1"/>
        <v>45938.832479999997</v>
      </c>
      <c r="C18" s="254" t="s">
        <v>326</v>
      </c>
      <c r="D18" s="258"/>
      <c r="E18" s="250" t="s">
        <v>2242</v>
      </c>
      <c r="F18" s="382" t="s">
        <v>67</v>
      </c>
      <c r="G18" s="252" t="s">
        <v>229</v>
      </c>
      <c r="H18" s="252"/>
      <c r="I18" s="252"/>
      <c r="J18" s="252"/>
      <c r="K18" s="252"/>
      <c r="L18" s="252"/>
      <c r="M18" s="252"/>
      <c r="N18" s="252"/>
      <c r="O18" s="252"/>
      <c r="P18" s="252"/>
      <c r="Q18" s="250" t="s">
        <v>2243</v>
      </c>
      <c r="R18" s="252" t="s">
        <v>2163</v>
      </c>
      <c r="S18" s="252" t="s">
        <v>2164</v>
      </c>
      <c r="T18" s="693" t="s">
        <v>2244</v>
      </c>
      <c r="U18" s="372" t="s">
        <v>2245</v>
      </c>
      <c r="V18" s="252"/>
      <c r="W18" s="360"/>
      <c r="X18" s="24" t="s">
        <v>2167</v>
      </c>
      <c r="Y18" s="252" t="s">
        <v>1811</v>
      </c>
      <c r="Z18" s="180" t="s">
        <v>2178</v>
      </c>
      <c r="AA18" s="57"/>
      <c r="AB18" s="720" t="s">
        <v>2246</v>
      </c>
      <c r="AC18" s="253" t="s">
        <v>2163</v>
      </c>
      <c r="AD18" s="182" t="s">
        <v>2247</v>
      </c>
      <c r="AE18" s="674"/>
      <c r="AF18" s="57"/>
      <c r="AG18" s="57"/>
      <c r="AH18" s="57"/>
      <c r="AI18" s="57"/>
      <c r="AJ18" s="57"/>
      <c r="AK18" s="57"/>
      <c r="AL18" s="57"/>
      <c r="AM18" s="57"/>
      <c r="AN18" s="57"/>
      <c r="AO18" s="57"/>
      <c r="AP18" s="57"/>
      <c r="AQ18" s="57"/>
      <c r="AR18" s="57"/>
      <c r="AS18" s="57"/>
      <c r="AT18" s="57"/>
      <c r="AU18" s="57"/>
      <c r="AV18" s="57"/>
      <c r="AW18" s="57"/>
      <c r="AX18" s="57"/>
    </row>
    <row r="19" spans="1:50" ht="15.75" customHeight="1">
      <c r="A19" s="293">
        <v>16</v>
      </c>
      <c r="B19" s="241">
        <f t="shared" ca="1" si="1"/>
        <v>0</v>
      </c>
      <c r="C19" s="254" t="s">
        <v>326</v>
      </c>
      <c r="D19" s="254"/>
      <c r="E19" s="250" t="s">
        <v>2248</v>
      </c>
      <c r="F19" s="382" t="s">
        <v>58</v>
      </c>
      <c r="G19" s="250" t="s">
        <v>276</v>
      </c>
      <c r="H19" s="250" t="s">
        <v>92</v>
      </c>
      <c r="I19" s="250" t="s">
        <v>102</v>
      </c>
      <c r="J19" s="250" t="s">
        <v>274</v>
      </c>
      <c r="K19" s="252"/>
      <c r="L19" s="252"/>
      <c r="M19" s="252"/>
      <c r="N19" s="252"/>
      <c r="O19" s="335"/>
      <c r="P19" s="335"/>
      <c r="Q19" s="386" t="s">
        <v>2249</v>
      </c>
      <c r="R19" s="252" t="s">
        <v>2180</v>
      </c>
      <c r="S19" s="252" t="s">
        <v>2164</v>
      </c>
      <c r="T19" s="252" t="s">
        <v>2250</v>
      </c>
      <c r="U19" s="721">
        <v>45824</v>
      </c>
      <c r="V19" s="722" t="s">
        <v>2251</v>
      </c>
      <c r="W19" s="360">
        <v>45946</v>
      </c>
      <c r="X19" s="24" t="s">
        <v>2167</v>
      </c>
      <c r="Y19" s="252" t="s">
        <v>1811</v>
      </c>
      <c r="Z19" s="180" t="s">
        <v>2178</v>
      </c>
      <c r="AA19" s="57"/>
      <c r="AB19" s="720" t="s">
        <v>2252</v>
      </c>
      <c r="AC19" s="253" t="s">
        <v>2163</v>
      </c>
      <c r="AD19" s="182" t="s">
        <v>2253</v>
      </c>
      <c r="AE19" s="674"/>
      <c r="AF19" s="57"/>
      <c r="AG19" s="57"/>
      <c r="AH19" s="57"/>
      <c r="AI19" s="57"/>
      <c r="AJ19" s="57"/>
      <c r="AK19" s="57"/>
      <c r="AL19" s="57"/>
      <c r="AM19" s="57"/>
      <c r="AN19" s="57"/>
      <c r="AO19" s="57"/>
      <c r="AP19" s="57"/>
      <c r="AQ19" s="57"/>
      <c r="AR19" s="57"/>
      <c r="AS19" s="57"/>
      <c r="AT19" s="57"/>
      <c r="AU19" s="57"/>
      <c r="AV19" s="57"/>
      <c r="AW19" s="57"/>
      <c r="AX19" s="57"/>
    </row>
    <row r="20" spans="1:50" ht="15.75" customHeight="1">
      <c r="A20" s="684">
        <v>17</v>
      </c>
      <c r="B20" s="241">
        <f t="shared" ca="1" si="1"/>
        <v>45953.437149999998</v>
      </c>
      <c r="C20" s="254" t="s">
        <v>182</v>
      </c>
      <c r="D20" s="254"/>
      <c r="E20" s="723" t="s">
        <v>2254</v>
      </c>
      <c r="F20" s="382" t="s">
        <v>67</v>
      </c>
      <c r="G20" s="250" t="s">
        <v>229</v>
      </c>
      <c r="H20" s="250"/>
      <c r="I20" s="250"/>
      <c r="J20" s="250"/>
      <c r="K20" s="252"/>
      <c r="L20" s="252"/>
      <c r="M20" s="252"/>
      <c r="N20" s="252"/>
      <c r="O20" s="335"/>
      <c r="P20" s="335"/>
      <c r="Q20" s="239"/>
      <c r="R20" s="696" t="s">
        <v>2163</v>
      </c>
      <c r="S20" s="696" t="s">
        <v>2164</v>
      </c>
      <c r="T20" s="696" t="s">
        <v>2255</v>
      </c>
      <c r="U20" s="372" t="s">
        <v>2256</v>
      </c>
      <c r="V20" s="724"/>
      <c r="W20" s="725"/>
      <c r="X20" s="24" t="s">
        <v>2167</v>
      </c>
      <c r="Y20" s="252" t="s">
        <v>1811</v>
      </c>
      <c r="Z20" s="34"/>
      <c r="AA20" s="57"/>
      <c r="AB20" s="726" t="s">
        <v>2257</v>
      </c>
      <c r="AC20" s="253" t="s">
        <v>2163</v>
      </c>
      <c r="AD20" s="182" t="s">
        <v>2258</v>
      </c>
      <c r="AE20" s="674"/>
      <c r="AF20" s="57"/>
      <c r="AG20" s="57"/>
      <c r="AH20" s="57"/>
      <c r="AI20" s="57"/>
      <c r="AJ20" s="57"/>
      <c r="AK20" s="57"/>
      <c r="AL20" s="57"/>
      <c r="AM20" s="57"/>
      <c r="AN20" s="57"/>
      <c r="AO20" s="57"/>
      <c r="AP20" s="57"/>
      <c r="AQ20" s="57"/>
      <c r="AR20" s="57"/>
      <c r="AS20" s="57"/>
      <c r="AT20" s="57"/>
      <c r="AU20" s="57"/>
      <c r="AV20" s="57"/>
      <c r="AW20" s="57"/>
      <c r="AX20" s="57"/>
    </row>
    <row r="21" spans="1:50" ht="15.75" customHeight="1">
      <c r="A21" s="684">
        <v>18</v>
      </c>
      <c r="B21" s="241">
        <f t="shared" ca="1" si="1"/>
        <v>0</v>
      </c>
      <c r="C21" s="254"/>
      <c r="D21" s="258"/>
      <c r="E21" s="101" t="s">
        <v>2259</v>
      </c>
      <c r="F21" s="252" t="s">
        <v>32</v>
      </c>
      <c r="G21" s="252" t="s">
        <v>33</v>
      </c>
      <c r="H21" s="252"/>
      <c r="I21" s="252"/>
      <c r="J21" s="252"/>
      <c r="K21" s="252"/>
      <c r="L21" s="252"/>
      <c r="M21" s="252"/>
      <c r="N21" s="252"/>
      <c r="O21" s="252"/>
      <c r="P21" s="252"/>
      <c r="Q21" s="250" t="s">
        <v>2260</v>
      </c>
      <c r="R21" s="696" t="s">
        <v>2163</v>
      </c>
      <c r="S21" s="252" t="s">
        <v>2164</v>
      </c>
      <c r="T21" s="717" t="s">
        <v>2261</v>
      </c>
      <c r="U21" s="727" t="s">
        <v>2256</v>
      </c>
      <c r="V21" s="717"/>
      <c r="W21" s="728"/>
      <c r="X21" s="24" t="s">
        <v>2167</v>
      </c>
      <c r="Y21" s="252" t="s">
        <v>1811</v>
      </c>
      <c r="Z21" s="180" t="s">
        <v>2178</v>
      </c>
      <c r="AA21" s="57"/>
      <c r="AB21" s="726" t="s">
        <v>2262</v>
      </c>
      <c r="AC21" s="253" t="s">
        <v>2163</v>
      </c>
      <c r="AD21" s="182" t="s">
        <v>2263</v>
      </c>
      <c r="AE21" s="674"/>
      <c r="AF21" s="57"/>
      <c r="AG21" s="57"/>
      <c r="AH21" s="57"/>
      <c r="AI21" s="57"/>
      <c r="AJ21" s="57"/>
      <c r="AK21" s="57"/>
      <c r="AL21" s="57"/>
      <c r="AM21" s="57"/>
      <c r="AN21" s="57"/>
      <c r="AO21" s="57"/>
      <c r="AP21" s="57"/>
      <c r="AQ21" s="57"/>
      <c r="AR21" s="57"/>
      <c r="AS21" s="57"/>
      <c r="AT21" s="57"/>
      <c r="AU21" s="57"/>
      <c r="AV21" s="57"/>
      <c r="AW21" s="57"/>
      <c r="AX21" s="57"/>
    </row>
    <row r="22" spans="1:50" ht="15.75" customHeight="1">
      <c r="A22" s="684">
        <v>19</v>
      </c>
      <c r="B22" s="241">
        <f t="shared" ca="1" si="1"/>
        <v>45953.636500000001</v>
      </c>
      <c r="C22" s="306" t="s">
        <v>326</v>
      </c>
      <c r="D22" s="258"/>
      <c r="E22" s="99" t="s">
        <v>2264</v>
      </c>
      <c r="F22" s="382" t="s">
        <v>201</v>
      </c>
      <c r="G22" s="498" t="s">
        <v>2265</v>
      </c>
      <c r="H22" s="252" t="s">
        <v>375</v>
      </c>
      <c r="I22" s="252"/>
      <c r="J22" s="252"/>
      <c r="K22" s="379"/>
      <c r="L22" s="252"/>
      <c r="M22" s="252"/>
      <c r="N22" s="252"/>
      <c r="O22" s="252"/>
      <c r="P22" s="252"/>
      <c r="Q22" s="250" t="s">
        <v>2266</v>
      </c>
      <c r="R22" s="252" t="s">
        <v>2163</v>
      </c>
      <c r="S22" s="252" t="s">
        <v>2164</v>
      </c>
      <c r="T22" s="693" t="s">
        <v>2267</v>
      </c>
      <c r="U22" s="360">
        <v>45938</v>
      </c>
      <c r="V22" s="729" t="s">
        <v>2268</v>
      </c>
      <c r="W22" s="360">
        <v>45932</v>
      </c>
      <c r="X22" s="24" t="s">
        <v>2167</v>
      </c>
      <c r="Y22" s="252" t="s">
        <v>1811</v>
      </c>
      <c r="Z22" s="180" t="s">
        <v>2178</v>
      </c>
      <c r="AA22" s="57"/>
      <c r="AB22" s="720" t="s">
        <v>2269</v>
      </c>
      <c r="AC22" s="253" t="s">
        <v>2180</v>
      </c>
      <c r="AD22" s="182" t="s">
        <v>2270</v>
      </c>
      <c r="AE22" s="674"/>
      <c r="AF22" s="57"/>
      <c r="AG22" s="57"/>
      <c r="AH22" s="57"/>
      <c r="AI22" s="57"/>
      <c r="AJ22" s="57"/>
      <c r="AK22" s="57"/>
      <c r="AL22" s="57"/>
      <c r="AM22" s="57"/>
      <c r="AN22" s="57"/>
      <c r="AO22" s="57"/>
      <c r="AP22" s="57"/>
      <c r="AQ22" s="57"/>
      <c r="AR22" s="57"/>
      <c r="AS22" s="57"/>
      <c r="AT22" s="57"/>
      <c r="AU22" s="57"/>
      <c r="AV22" s="57"/>
      <c r="AW22" s="57"/>
      <c r="AX22" s="57"/>
    </row>
    <row r="23" spans="1:50" ht="15.75" customHeight="1">
      <c r="A23" s="684">
        <v>20</v>
      </c>
      <c r="B23" s="241">
        <v>45953</v>
      </c>
      <c r="C23" s="348"/>
      <c r="D23" s="258"/>
      <c r="E23" s="34" t="s">
        <v>2226</v>
      </c>
      <c r="F23" s="252" t="s">
        <v>58</v>
      </c>
      <c r="G23" s="252" t="s">
        <v>59</v>
      </c>
      <c r="H23" s="730" t="s">
        <v>92</v>
      </c>
      <c r="I23" s="252" t="s">
        <v>192</v>
      </c>
      <c r="J23" s="252" t="s">
        <v>102</v>
      </c>
      <c r="K23" s="252" t="s">
        <v>275</v>
      </c>
      <c r="L23" s="252" t="s">
        <v>273</v>
      </c>
      <c r="M23" s="252" t="s">
        <v>137</v>
      </c>
      <c r="N23" s="252" t="s">
        <v>103</v>
      </c>
      <c r="O23" s="252" t="s">
        <v>274</v>
      </c>
      <c r="P23" s="252" t="s">
        <v>276</v>
      </c>
      <c r="Q23" s="250" t="s">
        <v>2271</v>
      </c>
      <c r="R23" s="252" t="s">
        <v>2163</v>
      </c>
      <c r="S23" s="252" t="s">
        <v>2164</v>
      </c>
      <c r="T23" s="693" t="s">
        <v>2228</v>
      </c>
      <c r="U23" s="360">
        <v>45916</v>
      </c>
      <c r="V23" s="731" t="s">
        <v>2272</v>
      </c>
      <c r="W23" s="360">
        <v>45819</v>
      </c>
      <c r="X23" s="24" t="s">
        <v>2167</v>
      </c>
      <c r="Y23" s="252" t="s">
        <v>1811</v>
      </c>
      <c r="Z23" s="732" t="s">
        <v>2273</v>
      </c>
      <c r="AA23" s="57"/>
      <c r="AB23" s="3" t="s">
        <v>2274</v>
      </c>
      <c r="AC23" s="253" t="s">
        <v>2163</v>
      </c>
      <c r="AD23" s="370" t="s">
        <v>2275</v>
      </c>
      <c r="AE23" s="674"/>
      <c r="AF23" s="57"/>
      <c r="AG23" s="57"/>
      <c r="AH23" s="57"/>
      <c r="AI23" s="57"/>
      <c r="AJ23" s="57"/>
      <c r="AK23" s="57"/>
      <c r="AL23" s="57"/>
      <c r="AM23" s="57"/>
      <c r="AN23" s="57"/>
      <c r="AO23" s="57"/>
      <c r="AP23" s="57"/>
      <c r="AQ23" s="57"/>
      <c r="AR23" s="57"/>
      <c r="AS23" s="57"/>
      <c r="AT23" s="57"/>
      <c r="AU23" s="57"/>
      <c r="AV23" s="57"/>
      <c r="AW23" s="57"/>
      <c r="AX23" s="57"/>
    </row>
    <row r="24" spans="1:50" ht="15.75" customHeight="1">
      <c r="A24" s="684">
        <v>21</v>
      </c>
      <c r="B24" s="241">
        <f t="shared" ref="B24:B26" ca="1" si="2">IF(E24&lt;&gt;"",IF(B24="",NOW(),B24),"")</f>
        <v>45953.81871</v>
      </c>
      <c r="C24" s="254" t="s">
        <v>326</v>
      </c>
      <c r="D24" s="258"/>
      <c r="E24" s="101" t="s">
        <v>2276</v>
      </c>
      <c r="F24" s="382" t="s">
        <v>49</v>
      </c>
      <c r="G24" s="498" t="s">
        <v>2277</v>
      </c>
      <c r="H24" s="252"/>
      <c r="I24" s="252"/>
      <c r="J24" s="252"/>
      <c r="K24" s="252"/>
      <c r="L24" s="252"/>
      <c r="M24" s="252"/>
      <c r="N24" s="252"/>
      <c r="O24" s="252"/>
      <c r="P24" s="252"/>
      <c r="Q24" s="250" t="s">
        <v>2278</v>
      </c>
      <c r="R24" s="252" t="s">
        <v>2163</v>
      </c>
      <c r="S24" s="252" t="s">
        <v>2196</v>
      </c>
      <c r="T24" s="693" t="s">
        <v>2279</v>
      </c>
      <c r="U24" s="360">
        <v>45916</v>
      </c>
      <c r="V24" s="250"/>
      <c r="W24" s="733"/>
      <c r="X24" s="24" t="s">
        <v>2167</v>
      </c>
      <c r="Y24" s="252" t="s">
        <v>1811</v>
      </c>
      <c r="Z24" s="180" t="s">
        <v>2178</v>
      </c>
      <c r="AA24" s="57"/>
      <c r="AB24" s="21" t="s">
        <v>2280</v>
      </c>
      <c r="AC24" s="253" t="s">
        <v>2163</v>
      </c>
      <c r="AD24" s="370" t="s">
        <v>2281</v>
      </c>
      <c r="AE24" s="674"/>
      <c r="AF24" s="57"/>
      <c r="AG24" s="57"/>
      <c r="AH24" s="57"/>
      <c r="AI24" s="57"/>
      <c r="AJ24" s="57"/>
      <c r="AK24" s="57"/>
      <c r="AL24" s="57"/>
      <c r="AM24" s="57"/>
      <c r="AN24" s="57"/>
      <c r="AO24" s="57"/>
      <c r="AP24" s="57"/>
      <c r="AQ24" s="57"/>
      <c r="AR24" s="57"/>
      <c r="AS24" s="57"/>
      <c r="AT24" s="57"/>
      <c r="AU24" s="57"/>
      <c r="AV24" s="57"/>
      <c r="AW24" s="57"/>
      <c r="AX24" s="57"/>
    </row>
    <row r="25" spans="1:50" ht="15.75" customHeight="1">
      <c r="A25" s="684">
        <v>22</v>
      </c>
      <c r="B25" s="241">
        <f t="shared" ca="1" si="2"/>
        <v>45953.828229999999</v>
      </c>
      <c r="C25" s="254" t="s">
        <v>326</v>
      </c>
      <c r="D25" s="258"/>
      <c r="E25" s="34" t="s">
        <v>2282</v>
      </c>
      <c r="F25" s="382" t="s">
        <v>201</v>
      </c>
      <c r="G25" s="252" t="s">
        <v>237</v>
      </c>
      <c r="H25" s="252"/>
      <c r="I25" s="252"/>
      <c r="J25" s="252"/>
      <c r="K25" s="252"/>
      <c r="L25" s="252"/>
      <c r="M25" s="252"/>
      <c r="N25" s="252"/>
      <c r="O25" s="252"/>
      <c r="P25" s="252"/>
      <c r="Q25" s="250" t="s">
        <v>2283</v>
      </c>
      <c r="R25" s="252" t="s">
        <v>2163</v>
      </c>
      <c r="S25" s="252" t="s">
        <v>2164</v>
      </c>
      <c r="T25" s="693" t="s">
        <v>2284</v>
      </c>
      <c r="U25" s="372" t="s">
        <v>2285</v>
      </c>
      <c r="V25" s="252"/>
      <c r="W25" s="360"/>
      <c r="X25" s="24" t="s">
        <v>2167</v>
      </c>
      <c r="Y25" s="252" t="s">
        <v>1811</v>
      </c>
      <c r="Z25" s="734" t="s">
        <v>2286</v>
      </c>
      <c r="AA25" s="57"/>
      <c r="AB25" s="239" t="s">
        <v>2287</v>
      </c>
      <c r="AC25" s="735" t="s">
        <v>2180</v>
      </c>
      <c r="AD25" s="239" t="s">
        <v>2288</v>
      </c>
      <c r="AE25" s="57" t="s">
        <v>46</v>
      </c>
      <c r="AF25" s="57"/>
      <c r="AG25" s="57"/>
      <c r="AH25" s="57"/>
      <c r="AI25" s="57"/>
      <c r="AJ25" s="57"/>
      <c r="AK25" s="57"/>
      <c r="AL25" s="57"/>
      <c r="AM25" s="57"/>
      <c r="AN25" s="57"/>
      <c r="AO25" s="57"/>
      <c r="AP25" s="57"/>
      <c r="AQ25" s="57"/>
      <c r="AR25" s="57"/>
      <c r="AS25" s="57"/>
      <c r="AT25" s="57"/>
      <c r="AU25" s="57"/>
      <c r="AV25" s="57"/>
      <c r="AW25" s="57"/>
      <c r="AX25" s="57"/>
    </row>
    <row r="26" spans="1:50" ht="15.75" customHeight="1">
      <c r="A26" s="684">
        <v>23</v>
      </c>
      <c r="B26" s="241">
        <f t="shared" ca="1" si="2"/>
        <v>45953.854700000004</v>
      </c>
      <c r="C26" s="254" t="s">
        <v>326</v>
      </c>
      <c r="D26" s="258"/>
      <c r="E26" s="99" t="s">
        <v>2289</v>
      </c>
      <c r="F26" s="736" t="s">
        <v>201</v>
      </c>
      <c r="G26" s="737" t="s">
        <v>2290</v>
      </c>
      <c r="H26" s="252" t="s">
        <v>375</v>
      </c>
      <c r="I26" s="737"/>
      <c r="J26" s="737"/>
      <c r="K26" s="737"/>
      <c r="L26" s="737"/>
      <c r="M26" s="737"/>
      <c r="N26" s="737"/>
      <c r="O26" s="737"/>
      <c r="P26" s="737"/>
      <c r="Q26" s="737" t="s">
        <v>2291</v>
      </c>
      <c r="R26" s="252" t="s">
        <v>2163</v>
      </c>
      <c r="S26" s="252" t="s">
        <v>2164</v>
      </c>
      <c r="T26" s="717" t="s">
        <v>2292</v>
      </c>
      <c r="U26" s="727" t="s">
        <v>2293</v>
      </c>
      <c r="V26" s="252"/>
      <c r="W26" s="360"/>
      <c r="X26" s="24" t="s">
        <v>2167</v>
      </c>
      <c r="Y26" s="252"/>
      <c r="Z26" s="180" t="s">
        <v>2178</v>
      </c>
      <c r="AA26" s="57"/>
      <c r="AB26" s="239" t="s">
        <v>2294</v>
      </c>
      <c r="AC26" s="735" t="s">
        <v>2180</v>
      </c>
      <c r="AD26" s="239" t="s">
        <v>2295</v>
      </c>
      <c r="AE26" s="674"/>
      <c r="AF26" s="57"/>
      <c r="AG26" s="57"/>
      <c r="AH26" s="57"/>
      <c r="AI26" s="57"/>
      <c r="AJ26" s="57"/>
      <c r="AK26" s="57"/>
      <c r="AL26" s="57"/>
      <c r="AM26" s="57"/>
      <c r="AN26" s="57"/>
      <c r="AO26" s="57"/>
      <c r="AP26" s="57"/>
      <c r="AQ26" s="57"/>
      <c r="AR26" s="57"/>
      <c r="AS26" s="57"/>
      <c r="AT26" s="57"/>
      <c r="AU26" s="57"/>
      <c r="AV26" s="57"/>
      <c r="AW26" s="57"/>
      <c r="AX26" s="57"/>
    </row>
    <row r="27" spans="1:50" ht="15.75" customHeight="1">
      <c r="A27" s="34">
        <v>24</v>
      </c>
      <c r="B27" s="241">
        <f ca="1">IF(A27&lt;&gt;"",IF(B27="",NOW(),B27),"")</f>
        <v>45957.55947</v>
      </c>
      <c r="C27" s="254" t="s">
        <v>326</v>
      </c>
      <c r="D27" s="258"/>
      <c r="E27" s="738" t="s">
        <v>2296</v>
      </c>
      <c r="F27" s="382" t="s">
        <v>58</v>
      </c>
      <c r="G27" s="252" t="s">
        <v>137</v>
      </c>
      <c r="H27" s="252"/>
      <c r="I27" s="252"/>
      <c r="J27" s="252"/>
      <c r="K27" s="252"/>
      <c r="L27" s="252"/>
      <c r="M27" s="252"/>
      <c r="N27" s="252"/>
      <c r="O27" s="252"/>
      <c r="P27" s="252"/>
      <c r="Q27" s="250" t="s">
        <v>2297</v>
      </c>
      <c r="R27" s="252" t="s">
        <v>2180</v>
      </c>
      <c r="S27" s="252" t="s">
        <v>2164</v>
      </c>
      <c r="T27" s="693" t="s">
        <v>2298</v>
      </c>
      <c r="U27" s="360">
        <v>45825</v>
      </c>
      <c r="V27" s="739" t="s">
        <v>2299</v>
      </c>
      <c r="W27" s="360">
        <v>45803</v>
      </c>
      <c r="X27" s="24" t="s">
        <v>2167</v>
      </c>
      <c r="Y27" s="252" t="s">
        <v>1811</v>
      </c>
      <c r="Z27" s="34"/>
      <c r="AA27" s="57"/>
      <c r="AB27" s="239" t="s">
        <v>2300</v>
      </c>
      <c r="AC27" s="735" t="s">
        <v>2180</v>
      </c>
      <c r="AD27" s="239" t="s">
        <v>2301</v>
      </c>
      <c r="AE27" s="674"/>
      <c r="AF27" s="57"/>
      <c r="AG27" s="57"/>
      <c r="AH27" s="57"/>
      <c r="AI27" s="57"/>
      <c r="AJ27" s="57"/>
      <c r="AK27" s="57"/>
      <c r="AL27" s="57"/>
      <c r="AM27" s="57"/>
      <c r="AN27" s="57"/>
      <c r="AO27" s="57"/>
      <c r="AP27" s="57"/>
      <c r="AQ27" s="57"/>
      <c r="AR27" s="57"/>
      <c r="AS27" s="57"/>
      <c r="AT27" s="57"/>
      <c r="AU27" s="57"/>
      <c r="AV27" s="57"/>
      <c r="AW27" s="57"/>
      <c r="AX27" s="57"/>
    </row>
    <row r="28" spans="1:50" ht="15.75" customHeight="1">
      <c r="A28" s="684">
        <v>25</v>
      </c>
      <c r="B28" s="241">
        <f ca="1">IF(E28&lt;&gt;"",IF(B28="",NOW(),B28),"")</f>
        <v>45964.738819999999</v>
      </c>
      <c r="C28" s="254"/>
      <c r="D28" s="258"/>
      <c r="E28" s="34" t="s">
        <v>2302</v>
      </c>
      <c r="F28" s="252" t="s">
        <v>201</v>
      </c>
      <c r="G28" s="252" t="s">
        <v>374</v>
      </c>
      <c r="H28" s="252" t="s">
        <v>193</v>
      </c>
      <c r="I28" s="252" t="s">
        <v>415</v>
      </c>
      <c r="J28" s="252" t="s">
        <v>359</v>
      </c>
      <c r="K28" s="252" t="s">
        <v>356</v>
      </c>
      <c r="L28" s="252" t="s">
        <v>414</v>
      </c>
      <c r="M28" s="252" t="s">
        <v>360</v>
      </c>
      <c r="N28" s="252" t="s">
        <v>644</v>
      </c>
      <c r="O28" s="252" t="s">
        <v>745</v>
      </c>
      <c r="P28" s="252"/>
      <c r="Q28" s="250" t="s">
        <v>2303</v>
      </c>
      <c r="R28" s="252" t="s">
        <v>2203</v>
      </c>
      <c r="S28" s="252" t="s">
        <v>2164</v>
      </c>
      <c r="T28" s="252"/>
      <c r="U28" s="360"/>
      <c r="V28" s="252"/>
      <c r="W28" s="360"/>
      <c r="X28" s="24" t="s">
        <v>2167</v>
      </c>
      <c r="Y28" s="252"/>
      <c r="Z28" s="740"/>
      <c r="AA28" s="57"/>
      <c r="AB28" s="239" t="s">
        <v>2304</v>
      </c>
      <c r="AC28" s="735" t="s">
        <v>2180</v>
      </c>
      <c r="AD28" s="239" t="s">
        <v>2305</v>
      </c>
      <c r="AE28" s="674"/>
      <c r="AF28" s="57"/>
      <c r="AG28" s="57"/>
      <c r="AH28" s="57"/>
      <c r="AI28" s="57"/>
      <c r="AJ28" s="57"/>
      <c r="AK28" s="57"/>
      <c r="AL28" s="57"/>
      <c r="AM28" s="57"/>
      <c r="AN28" s="57"/>
      <c r="AO28" s="57"/>
      <c r="AP28" s="57"/>
      <c r="AQ28" s="57"/>
      <c r="AR28" s="57"/>
      <c r="AS28" s="57"/>
      <c r="AT28" s="57"/>
      <c r="AU28" s="57"/>
      <c r="AV28" s="57"/>
      <c r="AW28" s="57"/>
      <c r="AX28" s="57"/>
    </row>
    <row r="29" spans="1:50" ht="15.75" customHeight="1">
      <c r="A29" s="684">
        <v>26</v>
      </c>
      <c r="B29" s="241">
        <f ca="1">IF(OR(E29&lt;&gt;"",F29&lt;&gt;""),IF(B29="",NOW(),B29),"")</f>
        <v>45965.35269</v>
      </c>
      <c r="C29" s="254"/>
      <c r="D29" s="258"/>
      <c r="E29" s="34" t="s">
        <v>2306</v>
      </c>
      <c r="F29" s="252" t="s">
        <v>201</v>
      </c>
      <c r="G29" s="252" t="s">
        <v>376</v>
      </c>
      <c r="H29" s="252" t="s">
        <v>374</v>
      </c>
      <c r="I29" s="252" t="s">
        <v>375</v>
      </c>
      <c r="J29" s="498" t="s">
        <v>2307</v>
      </c>
      <c r="K29" s="252" t="s">
        <v>644</v>
      </c>
      <c r="L29" s="252" t="s">
        <v>356</v>
      </c>
      <c r="M29" s="252"/>
      <c r="N29" s="252"/>
      <c r="O29" s="252"/>
      <c r="P29" s="252"/>
      <c r="Q29" s="250" t="s">
        <v>2308</v>
      </c>
      <c r="R29" s="252" t="s">
        <v>2203</v>
      </c>
      <c r="S29" s="252" t="s">
        <v>2164</v>
      </c>
      <c r="T29" s="693"/>
      <c r="U29" s="360"/>
      <c r="V29" s="252"/>
      <c r="W29" s="360"/>
      <c r="X29" s="24" t="s">
        <v>2167</v>
      </c>
      <c r="Y29" s="252"/>
      <c r="Z29" s="741"/>
      <c r="AA29" s="57"/>
      <c r="AB29" s="239" t="s">
        <v>2309</v>
      </c>
      <c r="AC29" s="735" t="s">
        <v>2180</v>
      </c>
      <c r="AD29" s="239" t="s">
        <v>2310</v>
      </c>
      <c r="AE29" s="674"/>
      <c r="AF29" s="57"/>
      <c r="AG29" s="57"/>
      <c r="AH29" s="57"/>
      <c r="AI29" s="57"/>
      <c r="AJ29" s="57"/>
      <c r="AK29" s="57"/>
      <c r="AL29" s="57"/>
      <c r="AM29" s="57"/>
      <c r="AN29" s="57"/>
      <c r="AO29" s="57"/>
      <c r="AP29" s="57"/>
      <c r="AQ29" s="57"/>
      <c r="AR29" s="57"/>
      <c r="AS29" s="57"/>
      <c r="AT29" s="57"/>
      <c r="AU29" s="57"/>
      <c r="AV29" s="57"/>
      <c r="AW29" s="57"/>
      <c r="AX29" s="57"/>
    </row>
    <row r="30" spans="1:50" ht="15.75" customHeight="1">
      <c r="A30" s="684">
        <v>27</v>
      </c>
      <c r="B30" s="241">
        <v>45965</v>
      </c>
      <c r="C30" s="254" t="s">
        <v>326</v>
      </c>
      <c r="D30" s="258"/>
      <c r="E30" s="57" t="s">
        <v>2311</v>
      </c>
      <c r="F30" s="382" t="s">
        <v>201</v>
      </c>
      <c r="G30" s="252" t="s">
        <v>193</v>
      </c>
      <c r="H30" s="252" t="s">
        <v>360</v>
      </c>
      <c r="I30" s="252" t="s">
        <v>359</v>
      </c>
      <c r="J30" s="252" t="s">
        <v>374</v>
      </c>
      <c r="K30" s="252" t="s">
        <v>375</v>
      </c>
      <c r="L30" s="252"/>
      <c r="M30" s="252"/>
      <c r="N30" s="252"/>
      <c r="O30" s="252"/>
      <c r="P30" s="252"/>
      <c r="Q30" s="250"/>
      <c r="R30" s="252" t="s">
        <v>2163</v>
      </c>
      <c r="S30" s="252" t="s">
        <v>2164</v>
      </c>
      <c r="T30" s="693" t="s">
        <v>2312</v>
      </c>
      <c r="U30" s="360">
        <v>45950</v>
      </c>
      <c r="V30" s="252">
        <v>1028058</v>
      </c>
      <c r="W30" s="360">
        <v>45981</v>
      </c>
      <c r="X30" s="24" t="s">
        <v>2167</v>
      </c>
      <c r="Y30" s="252" t="s">
        <v>1811</v>
      </c>
      <c r="Z30" s="180" t="s">
        <v>2178</v>
      </c>
      <c r="AA30" s="57"/>
      <c r="AB30" s="239" t="s">
        <v>2313</v>
      </c>
      <c r="AC30" s="735" t="s">
        <v>2180</v>
      </c>
      <c r="AD30" s="239" t="s">
        <v>2314</v>
      </c>
      <c r="AE30" s="674"/>
      <c r="AF30" s="57"/>
      <c r="AG30" s="57"/>
      <c r="AH30" s="57"/>
      <c r="AI30" s="57"/>
      <c r="AJ30" s="57"/>
      <c r="AK30" s="57"/>
      <c r="AL30" s="57"/>
      <c r="AM30" s="57"/>
      <c r="AN30" s="57"/>
      <c r="AO30" s="57"/>
      <c r="AP30" s="57"/>
      <c r="AQ30" s="57"/>
      <c r="AR30" s="57"/>
      <c r="AS30" s="57"/>
      <c r="AT30" s="57"/>
      <c r="AU30" s="57"/>
      <c r="AV30" s="57"/>
      <c r="AW30" s="57"/>
      <c r="AX30" s="57"/>
    </row>
    <row r="31" spans="1:50" ht="15.75" customHeight="1">
      <c r="A31" s="684">
        <v>28</v>
      </c>
      <c r="B31" s="241">
        <v>45965</v>
      </c>
      <c r="C31" s="254"/>
      <c r="D31" s="258"/>
      <c r="E31" s="34" t="s">
        <v>2315</v>
      </c>
      <c r="F31" s="252" t="s">
        <v>201</v>
      </c>
      <c r="G31" s="252" t="s">
        <v>415</v>
      </c>
      <c r="H31" s="252" t="s">
        <v>374</v>
      </c>
      <c r="I31" s="252" t="s">
        <v>193</v>
      </c>
      <c r="J31" s="252" t="s">
        <v>375</v>
      </c>
      <c r="K31" s="252" t="s">
        <v>356</v>
      </c>
      <c r="L31" s="252" t="s">
        <v>414</v>
      </c>
      <c r="M31" s="730" t="s">
        <v>360</v>
      </c>
      <c r="N31" s="252" t="s">
        <v>359</v>
      </c>
      <c r="O31" s="252"/>
      <c r="P31" s="252"/>
      <c r="Q31" s="250" t="s">
        <v>2316</v>
      </c>
      <c r="R31" s="252" t="s">
        <v>2203</v>
      </c>
      <c r="S31" s="252" t="s">
        <v>2164</v>
      </c>
      <c r="T31" s="693"/>
      <c r="U31" s="360"/>
      <c r="V31" s="252"/>
      <c r="W31" s="360"/>
      <c r="X31" s="24" t="s">
        <v>2167</v>
      </c>
      <c r="Y31" s="252"/>
      <c r="Z31" s="34"/>
      <c r="AA31" s="57"/>
      <c r="AB31" s="239" t="s">
        <v>2317</v>
      </c>
      <c r="AC31" s="735" t="s">
        <v>2180</v>
      </c>
      <c r="AD31" s="239" t="s">
        <v>2318</v>
      </c>
      <c r="AE31" s="674"/>
      <c r="AF31" s="57"/>
      <c r="AG31" s="57"/>
      <c r="AH31" s="57"/>
      <c r="AI31" s="57"/>
      <c r="AJ31" s="57"/>
      <c r="AK31" s="57"/>
      <c r="AL31" s="57"/>
      <c r="AM31" s="57"/>
      <c r="AN31" s="57"/>
      <c r="AO31" s="57"/>
      <c r="AP31" s="57"/>
      <c r="AQ31" s="57"/>
      <c r="AR31" s="57"/>
      <c r="AS31" s="57"/>
      <c r="AT31" s="57"/>
      <c r="AU31" s="57"/>
      <c r="AV31" s="57"/>
      <c r="AW31" s="57"/>
      <c r="AX31" s="57"/>
    </row>
    <row r="32" spans="1:50" ht="15.75" customHeight="1">
      <c r="A32" s="684">
        <v>29</v>
      </c>
      <c r="B32" s="241">
        <f t="shared" ref="B32:B47" ca="1" si="3">IF(OR(E32&lt;&gt;"",F32&lt;&gt;""),IF(B32="",NOW(),B32),"")</f>
        <v>45965.395700000001</v>
      </c>
      <c r="C32" s="254" t="s">
        <v>182</v>
      </c>
      <c r="D32" s="258"/>
      <c r="E32" s="34" t="s">
        <v>2319</v>
      </c>
      <c r="F32" s="382" t="s">
        <v>201</v>
      </c>
      <c r="G32" s="252" t="s">
        <v>497</v>
      </c>
      <c r="H32" s="252" t="s">
        <v>496</v>
      </c>
      <c r="I32" s="252" t="s">
        <v>374</v>
      </c>
      <c r="J32" s="252" t="s">
        <v>193</v>
      </c>
      <c r="K32" s="252"/>
      <c r="L32" s="252"/>
      <c r="M32" s="252"/>
      <c r="N32" s="252"/>
      <c r="O32" s="252"/>
      <c r="P32" s="252"/>
      <c r="Q32" s="250" t="s">
        <v>2320</v>
      </c>
      <c r="R32" s="252" t="s">
        <v>2180</v>
      </c>
      <c r="S32" s="252" t="s">
        <v>2164</v>
      </c>
      <c r="T32" s="693" t="s">
        <v>2321</v>
      </c>
      <c r="U32" s="360">
        <v>45915</v>
      </c>
      <c r="V32" s="252">
        <v>1049960</v>
      </c>
      <c r="W32" s="360">
        <v>46001</v>
      </c>
      <c r="X32" s="24" t="s">
        <v>2167</v>
      </c>
      <c r="Y32" s="252" t="s">
        <v>1811</v>
      </c>
      <c r="Z32" s="34"/>
      <c r="AA32" s="57"/>
      <c r="AB32" s="239" t="s">
        <v>2322</v>
      </c>
      <c r="AC32" s="735" t="s">
        <v>2180</v>
      </c>
      <c r="AD32" s="239" t="s">
        <v>2323</v>
      </c>
      <c r="AE32" s="674"/>
      <c r="AF32" s="57"/>
      <c r="AG32" s="57"/>
      <c r="AH32" s="57"/>
      <c r="AI32" s="57"/>
      <c r="AJ32" s="57"/>
      <c r="AK32" s="57"/>
      <c r="AL32" s="57"/>
      <c r="AM32" s="57"/>
      <c r="AN32" s="57"/>
      <c r="AO32" s="57"/>
      <c r="AP32" s="57"/>
      <c r="AQ32" s="57"/>
      <c r="AR32" s="57"/>
      <c r="AS32" s="57"/>
      <c r="AT32" s="57"/>
      <c r="AU32" s="57"/>
      <c r="AV32" s="57"/>
      <c r="AW32" s="57"/>
      <c r="AX32" s="57"/>
    </row>
    <row r="33" spans="1:50" ht="15.75" customHeight="1">
      <c r="A33" s="684">
        <v>30</v>
      </c>
      <c r="B33" s="241">
        <f t="shared" ca="1" si="3"/>
        <v>45970.4372</v>
      </c>
      <c r="C33" s="254"/>
      <c r="D33" s="258"/>
      <c r="E33" s="34" t="s">
        <v>2324</v>
      </c>
      <c r="F33" s="252" t="s">
        <v>201</v>
      </c>
      <c r="G33" s="730" t="s">
        <v>193</v>
      </c>
      <c r="H33" s="252" t="s">
        <v>374</v>
      </c>
      <c r="I33" s="252" t="s">
        <v>415</v>
      </c>
      <c r="J33" s="252" t="s">
        <v>375</v>
      </c>
      <c r="K33" s="252" t="s">
        <v>356</v>
      </c>
      <c r="L33" s="252" t="s">
        <v>414</v>
      </c>
      <c r="M33" s="252" t="s">
        <v>360</v>
      </c>
      <c r="N33" s="252" t="s">
        <v>359</v>
      </c>
      <c r="O33" s="252" t="s">
        <v>745</v>
      </c>
      <c r="P33" s="252" t="s">
        <v>644</v>
      </c>
      <c r="Q33" s="250" t="s">
        <v>2325</v>
      </c>
      <c r="R33" s="252" t="s">
        <v>2203</v>
      </c>
      <c r="S33" s="252" t="s">
        <v>2164</v>
      </c>
      <c r="T33" s="693"/>
      <c r="U33" s="496"/>
      <c r="V33" s="252"/>
      <c r="W33" s="360"/>
      <c r="X33" s="24" t="s">
        <v>2167</v>
      </c>
      <c r="Y33" s="252"/>
      <c r="Z33" s="213"/>
      <c r="AA33" s="57"/>
      <c r="AB33" s="239" t="s">
        <v>2326</v>
      </c>
      <c r="AC33" s="735" t="s">
        <v>2180</v>
      </c>
      <c r="AD33" s="742" t="s">
        <v>2327</v>
      </c>
      <c r="AE33" s="674"/>
      <c r="AF33" s="57"/>
      <c r="AG33" s="57"/>
      <c r="AH33" s="57"/>
      <c r="AI33" s="57"/>
      <c r="AJ33" s="57"/>
      <c r="AK33" s="57"/>
      <c r="AL33" s="57"/>
      <c r="AM33" s="57"/>
      <c r="AN33" s="57"/>
      <c r="AO33" s="57"/>
      <c r="AP33" s="57"/>
      <c r="AQ33" s="57"/>
      <c r="AR33" s="57"/>
      <c r="AS33" s="57"/>
      <c r="AT33" s="57"/>
      <c r="AU33" s="57"/>
      <c r="AV33" s="57"/>
      <c r="AW33" s="57"/>
      <c r="AX33" s="57"/>
    </row>
    <row r="34" spans="1:50" ht="15.75" customHeight="1">
      <c r="A34" s="684">
        <v>31</v>
      </c>
      <c r="B34" s="241">
        <f t="shared" ca="1" si="3"/>
        <v>45973.498440000003</v>
      </c>
      <c r="C34" s="254" t="s">
        <v>182</v>
      </c>
      <c r="D34" s="258"/>
      <c r="E34" s="34" t="s">
        <v>2328</v>
      </c>
      <c r="F34" s="382" t="s">
        <v>201</v>
      </c>
      <c r="G34" s="252" t="s">
        <v>496</v>
      </c>
      <c r="H34" s="252" t="s">
        <v>414</v>
      </c>
      <c r="I34" s="252" t="s">
        <v>644</v>
      </c>
      <c r="J34" s="252" t="s">
        <v>359</v>
      </c>
      <c r="K34" s="252" t="s">
        <v>360</v>
      </c>
      <c r="L34" s="252" t="s">
        <v>497</v>
      </c>
      <c r="M34" s="252" t="s">
        <v>374</v>
      </c>
      <c r="N34" s="252"/>
      <c r="O34" s="252"/>
      <c r="P34" s="252"/>
      <c r="Q34" s="250" t="s">
        <v>2329</v>
      </c>
      <c r="R34" s="252" t="s">
        <v>2163</v>
      </c>
      <c r="S34" s="252" t="s">
        <v>2164</v>
      </c>
      <c r="T34" s="743" t="s">
        <v>2330</v>
      </c>
      <c r="U34" s="372" t="s">
        <v>2331</v>
      </c>
      <c r="V34" s="696"/>
      <c r="W34" s="360"/>
      <c r="X34" s="24" t="s">
        <v>2167</v>
      </c>
      <c r="Y34" s="252" t="s">
        <v>1811</v>
      </c>
      <c r="Z34" s="741"/>
      <c r="AA34" s="57"/>
      <c r="AB34" s="239" t="s">
        <v>2332</v>
      </c>
      <c r="AC34" s="735" t="s">
        <v>2180</v>
      </c>
      <c r="AD34" s="239" t="s">
        <v>2333</v>
      </c>
      <c r="AE34" s="674"/>
      <c r="AF34" s="57"/>
      <c r="AG34" s="57"/>
      <c r="AH34" s="57"/>
      <c r="AI34" s="57"/>
      <c r="AJ34" s="57"/>
      <c r="AK34" s="57"/>
      <c r="AL34" s="57"/>
      <c r="AM34" s="57"/>
      <c r="AN34" s="57"/>
      <c r="AO34" s="57"/>
      <c r="AP34" s="57"/>
      <c r="AQ34" s="57"/>
      <c r="AR34" s="57"/>
      <c r="AS34" s="57"/>
      <c r="AT34" s="57"/>
      <c r="AU34" s="57"/>
      <c r="AV34" s="57"/>
      <c r="AW34" s="57"/>
      <c r="AX34" s="57"/>
    </row>
    <row r="35" spans="1:50" ht="15.75" customHeight="1">
      <c r="A35" s="684">
        <v>32</v>
      </c>
      <c r="B35" s="241">
        <f t="shared" ca="1" si="3"/>
        <v>45973.56712</v>
      </c>
      <c r="C35" s="254" t="s">
        <v>182</v>
      </c>
      <c r="D35" s="258"/>
      <c r="E35" s="34" t="s">
        <v>2334</v>
      </c>
      <c r="F35" s="382" t="s">
        <v>32</v>
      </c>
      <c r="G35" s="252" t="s">
        <v>184</v>
      </c>
      <c r="H35" s="252"/>
      <c r="I35" s="252"/>
      <c r="J35" s="252"/>
      <c r="K35" s="252"/>
      <c r="L35" s="252"/>
      <c r="M35" s="252"/>
      <c r="N35" s="252"/>
      <c r="O35" s="252"/>
      <c r="P35" s="252"/>
      <c r="Q35" s="250" t="s">
        <v>2335</v>
      </c>
      <c r="R35" s="252" t="s">
        <v>2180</v>
      </c>
      <c r="S35" s="252" t="s">
        <v>2164</v>
      </c>
      <c r="T35" s="744" t="s">
        <v>2336</v>
      </c>
      <c r="U35" s="360">
        <v>45932</v>
      </c>
      <c r="V35" s="252">
        <v>1028068</v>
      </c>
      <c r="W35" s="360">
        <v>45981</v>
      </c>
      <c r="X35" s="24" t="s">
        <v>2167</v>
      </c>
      <c r="Y35" s="252" t="s">
        <v>1811</v>
      </c>
      <c r="Z35" s="741"/>
      <c r="AA35" s="57"/>
      <c r="AB35" s="239" t="s">
        <v>2337</v>
      </c>
      <c r="AC35" s="735" t="s">
        <v>2180</v>
      </c>
      <c r="AD35" s="239" t="s">
        <v>2338</v>
      </c>
      <c r="AE35" s="674"/>
      <c r="AF35" s="57"/>
      <c r="AG35" s="57"/>
      <c r="AH35" s="57"/>
      <c r="AI35" s="57"/>
      <c r="AJ35" s="57"/>
      <c r="AK35" s="57"/>
      <c r="AL35" s="57"/>
      <c r="AM35" s="57"/>
      <c r="AN35" s="57"/>
      <c r="AO35" s="57"/>
      <c r="AP35" s="57"/>
      <c r="AQ35" s="57"/>
      <c r="AR35" s="57"/>
      <c r="AS35" s="57"/>
      <c r="AT35" s="57"/>
      <c r="AU35" s="57"/>
      <c r="AV35" s="57"/>
      <c r="AW35" s="57"/>
      <c r="AX35" s="57"/>
    </row>
    <row r="36" spans="1:50" ht="15.75" customHeight="1">
      <c r="A36" s="684">
        <v>33</v>
      </c>
      <c r="B36" s="241">
        <f t="shared" ca="1" si="3"/>
        <v>45973.57849</v>
      </c>
      <c r="C36" s="254" t="s">
        <v>650</v>
      </c>
      <c r="D36" s="258"/>
      <c r="E36" s="34" t="s">
        <v>2339</v>
      </c>
      <c r="F36" s="382" t="s">
        <v>49</v>
      </c>
      <c r="G36" s="252" t="s">
        <v>664</v>
      </c>
      <c r="H36" s="252"/>
      <c r="I36" s="252"/>
      <c r="J36" s="252"/>
      <c r="K36" s="252"/>
      <c r="L36" s="252"/>
      <c r="M36" s="252"/>
      <c r="N36" s="252"/>
      <c r="O36" s="252"/>
      <c r="P36" s="252"/>
      <c r="Q36" s="250" t="s">
        <v>2340</v>
      </c>
      <c r="R36" s="252" t="s">
        <v>2163</v>
      </c>
      <c r="S36" s="252" t="s">
        <v>2170</v>
      </c>
      <c r="T36" s="250" t="s">
        <v>2171</v>
      </c>
      <c r="U36" s="360">
        <v>44658</v>
      </c>
      <c r="V36" s="252" t="s">
        <v>2172</v>
      </c>
      <c r="W36" s="360">
        <v>45642</v>
      </c>
      <c r="X36" s="24" t="s">
        <v>2167</v>
      </c>
      <c r="Y36" s="252" t="s">
        <v>1811</v>
      </c>
      <c r="Z36" s="102" t="s">
        <v>2178</v>
      </c>
      <c r="AA36" s="57"/>
      <c r="AB36" s="239" t="s">
        <v>2341</v>
      </c>
      <c r="AC36" s="735" t="s">
        <v>2180</v>
      </c>
      <c r="AD36" s="742" t="s">
        <v>2342</v>
      </c>
      <c r="AE36" s="674"/>
      <c r="AF36" s="57"/>
      <c r="AG36" s="57"/>
      <c r="AH36" s="57"/>
      <c r="AI36" s="57"/>
      <c r="AJ36" s="57"/>
      <c r="AK36" s="57"/>
      <c r="AL36" s="57"/>
      <c r="AM36" s="57"/>
      <c r="AN36" s="57"/>
      <c r="AO36" s="57"/>
      <c r="AP36" s="57"/>
      <c r="AQ36" s="57"/>
      <c r="AR36" s="57"/>
      <c r="AS36" s="57"/>
      <c r="AT36" s="57"/>
      <c r="AU36" s="57"/>
      <c r="AV36" s="57"/>
      <c r="AW36" s="57"/>
      <c r="AX36" s="57"/>
    </row>
    <row r="37" spans="1:50" ht="15.75" customHeight="1">
      <c r="A37" s="684">
        <v>34</v>
      </c>
      <c r="B37" s="241">
        <f t="shared" ca="1" si="3"/>
        <v>45973.590759999999</v>
      </c>
      <c r="C37" s="254" t="s">
        <v>182</v>
      </c>
      <c r="D37" s="258"/>
      <c r="E37" s="34" t="s">
        <v>2343</v>
      </c>
      <c r="F37" s="382" t="s">
        <v>58</v>
      </c>
      <c r="G37" s="252" t="s">
        <v>276</v>
      </c>
      <c r="H37" s="252" t="s">
        <v>92</v>
      </c>
      <c r="I37" s="730" t="s">
        <v>102</v>
      </c>
      <c r="J37" s="252" t="s">
        <v>274</v>
      </c>
      <c r="K37" s="252"/>
      <c r="L37" s="252"/>
      <c r="M37" s="252"/>
      <c r="N37" s="252"/>
      <c r="O37" s="252"/>
      <c r="P37" s="252"/>
      <c r="Q37" s="250" t="s">
        <v>2344</v>
      </c>
      <c r="R37" s="252" t="s">
        <v>2180</v>
      </c>
      <c r="S37" s="252" t="s">
        <v>2164</v>
      </c>
      <c r="T37" s="693" t="s">
        <v>2345</v>
      </c>
      <c r="U37" s="496">
        <v>45899</v>
      </c>
      <c r="V37" s="717">
        <v>1046842</v>
      </c>
      <c r="W37" s="496">
        <v>45999</v>
      </c>
      <c r="X37" s="24" t="s">
        <v>2167</v>
      </c>
      <c r="Y37" s="252" t="s">
        <v>1811</v>
      </c>
      <c r="Z37" s="180" t="s">
        <v>2178</v>
      </c>
      <c r="AA37" s="57"/>
      <c r="AB37" s="745" t="s">
        <v>2346</v>
      </c>
      <c r="AC37" s="735" t="s">
        <v>2180</v>
      </c>
      <c r="AD37" s="239" t="s">
        <v>2347</v>
      </c>
      <c r="AE37" s="674"/>
      <c r="AF37" s="57"/>
      <c r="AG37" s="57"/>
      <c r="AH37" s="57"/>
      <c r="AI37" s="57"/>
      <c r="AJ37" s="57"/>
      <c r="AK37" s="57"/>
      <c r="AL37" s="57"/>
      <c r="AM37" s="57"/>
      <c r="AN37" s="57"/>
      <c r="AO37" s="57"/>
      <c r="AP37" s="57"/>
      <c r="AQ37" s="57"/>
      <c r="AR37" s="57"/>
      <c r="AS37" s="57"/>
      <c r="AT37" s="57"/>
      <c r="AU37" s="57"/>
      <c r="AV37" s="57"/>
      <c r="AW37" s="57"/>
      <c r="AX37" s="57"/>
    </row>
    <row r="38" spans="1:50" ht="15.75" customHeight="1">
      <c r="A38" s="684">
        <v>35</v>
      </c>
      <c r="B38" s="241">
        <f t="shared" ca="1" si="3"/>
        <v>45980.556830000001</v>
      </c>
      <c r="C38" s="254" t="s">
        <v>182</v>
      </c>
      <c r="D38" s="254"/>
      <c r="E38" s="34" t="s">
        <v>2348</v>
      </c>
      <c r="F38" s="382" t="s">
        <v>58</v>
      </c>
      <c r="G38" s="252" t="s">
        <v>102</v>
      </c>
      <c r="H38" s="252" t="s">
        <v>275</v>
      </c>
      <c r="I38" s="252" t="s">
        <v>59</v>
      </c>
      <c r="J38" s="252"/>
      <c r="K38" s="252"/>
      <c r="L38" s="252"/>
      <c r="M38" s="252"/>
      <c r="N38" s="252"/>
      <c r="O38" s="252"/>
      <c r="P38" s="252"/>
      <c r="Q38" s="250" t="s">
        <v>2349</v>
      </c>
      <c r="R38" s="252" t="s">
        <v>2180</v>
      </c>
      <c r="S38" s="252" t="s">
        <v>2164</v>
      </c>
      <c r="T38" s="693" t="s">
        <v>2350</v>
      </c>
      <c r="U38" s="496">
        <v>45981</v>
      </c>
      <c r="V38" s="252">
        <v>1028121</v>
      </c>
      <c r="W38" s="496">
        <v>45982</v>
      </c>
      <c r="X38" s="24" t="s">
        <v>2167</v>
      </c>
      <c r="Y38" s="252" t="s">
        <v>1811</v>
      </c>
      <c r="Z38" s="257"/>
      <c r="AA38" s="57"/>
      <c r="AB38" s="745" t="s">
        <v>2351</v>
      </c>
      <c r="AC38" s="735" t="s">
        <v>2180</v>
      </c>
      <c r="AD38" s="239" t="s">
        <v>2352</v>
      </c>
      <c r="AE38" s="674"/>
      <c r="AF38" s="57"/>
      <c r="AG38" s="57"/>
      <c r="AH38" s="57"/>
      <c r="AI38" s="57"/>
      <c r="AJ38" s="57"/>
      <c r="AK38" s="57"/>
      <c r="AL38" s="57"/>
      <c r="AM38" s="57"/>
      <c r="AN38" s="57"/>
      <c r="AO38" s="57"/>
      <c r="AP38" s="57"/>
      <c r="AQ38" s="57"/>
      <c r="AR38" s="57"/>
      <c r="AS38" s="57"/>
      <c r="AT38" s="57"/>
      <c r="AU38" s="57"/>
      <c r="AV38" s="57"/>
      <c r="AW38" s="57"/>
      <c r="AX38" s="57"/>
    </row>
    <row r="39" spans="1:50" ht="15.75" customHeight="1">
      <c r="A39" s="684">
        <v>36</v>
      </c>
      <c r="B39" s="241">
        <f t="shared" ca="1" si="3"/>
        <v>45987.487269999998</v>
      </c>
      <c r="C39" s="254" t="s">
        <v>182</v>
      </c>
      <c r="D39" s="746"/>
      <c r="E39" s="34" t="s">
        <v>2353</v>
      </c>
      <c r="F39" s="382" t="s">
        <v>58</v>
      </c>
      <c r="G39" s="252" t="s">
        <v>273</v>
      </c>
      <c r="H39" s="379"/>
      <c r="I39" s="252"/>
      <c r="J39" s="252"/>
      <c r="K39" s="379"/>
      <c r="L39" s="252"/>
      <c r="M39" s="252"/>
      <c r="N39" s="252"/>
      <c r="O39" s="252"/>
      <c r="P39" s="252"/>
      <c r="Q39" s="250" t="s">
        <v>2354</v>
      </c>
      <c r="R39" s="252" t="s">
        <v>2163</v>
      </c>
      <c r="S39" s="252" t="s">
        <v>2164</v>
      </c>
      <c r="T39" s="693" t="s">
        <v>2355</v>
      </c>
      <c r="U39" s="496">
        <v>45981</v>
      </c>
      <c r="V39" s="693">
        <v>1028060</v>
      </c>
      <c r="W39" s="496">
        <v>45987</v>
      </c>
      <c r="X39" s="24" t="s">
        <v>2167</v>
      </c>
      <c r="Y39" s="252" t="s">
        <v>1811</v>
      </c>
      <c r="Z39" s="102" t="s">
        <v>2178</v>
      </c>
      <c r="AA39" s="57"/>
      <c r="AB39" s="239" t="s">
        <v>2356</v>
      </c>
      <c r="AC39" s="735" t="s">
        <v>2163</v>
      </c>
      <c r="AD39" s="239" t="s">
        <v>2357</v>
      </c>
      <c r="AE39" s="674"/>
      <c r="AF39" s="57"/>
      <c r="AG39" s="57"/>
      <c r="AH39" s="57"/>
      <c r="AI39" s="57"/>
      <c r="AJ39" s="57"/>
      <c r="AK39" s="57"/>
      <c r="AL39" s="57"/>
      <c r="AM39" s="57"/>
      <c r="AN39" s="57"/>
      <c r="AO39" s="57"/>
      <c r="AP39" s="57"/>
      <c r="AQ39" s="57"/>
      <c r="AR39" s="57"/>
      <c r="AS39" s="57"/>
      <c r="AT39" s="57"/>
      <c r="AU39" s="57"/>
      <c r="AV39" s="57"/>
      <c r="AW39" s="57"/>
      <c r="AX39" s="57"/>
    </row>
    <row r="40" spans="1:50" ht="15.75" customHeight="1">
      <c r="A40" s="684">
        <v>37</v>
      </c>
      <c r="B40" s="241">
        <f t="shared" ca="1" si="3"/>
        <v>45989.614320000001</v>
      </c>
      <c r="C40" s="254" t="s">
        <v>182</v>
      </c>
      <c r="D40" s="746"/>
      <c r="E40" s="34" t="s">
        <v>2358</v>
      </c>
      <c r="F40" s="382" t="s">
        <v>58</v>
      </c>
      <c r="G40" s="252" t="s">
        <v>59</v>
      </c>
      <c r="H40" s="252"/>
      <c r="I40" s="252"/>
      <c r="J40" s="252"/>
      <c r="K40" s="252"/>
      <c r="L40" s="252"/>
      <c r="M40" s="252"/>
      <c r="N40" s="252"/>
      <c r="O40" s="252"/>
      <c r="P40" s="252"/>
      <c r="Q40" s="250" t="s">
        <v>2359</v>
      </c>
      <c r="R40" s="252" t="s">
        <v>2163</v>
      </c>
      <c r="S40" s="252" t="s">
        <v>2164</v>
      </c>
      <c r="T40" s="252" t="s">
        <v>2360</v>
      </c>
      <c r="U40" s="496">
        <v>45825</v>
      </c>
      <c r="V40" s="252">
        <v>908638</v>
      </c>
      <c r="W40" s="360">
        <v>45805</v>
      </c>
      <c r="X40" s="24" t="s">
        <v>2167</v>
      </c>
      <c r="Y40" s="252" t="s">
        <v>1811</v>
      </c>
      <c r="Z40" s="34"/>
      <c r="AA40" s="57"/>
      <c r="AB40" s="239" t="s">
        <v>2361</v>
      </c>
      <c r="AC40" s="735" t="s">
        <v>2180</v>
      </c>
      <c r="AD40" s="239" t="s">
        <v>2362</v>
      </c>
      <c r="AE40" s="674"/>
      <c r="AF40" s="57"/>
      <c r="AG40" s="57"/>
      <c r="AH40" s="57"/>
      <c r="AI40" s="57"/>
      <c r="AJ40" s="57"/>
      <c r="AK40" s="57"/>
      <c r="AL40" s="57"/>
      <c r="AM40" s="57"/>
      <c r="AN40" s="57"/>
      <c r="AO40" s="57"/>
      <c r="AP40" s="57"/>
      <c r="AQ40" s="57"/>
      <c r="AR40" s="57"/>
      <c r="AS40" s="57"/>
      <c r="AT40" s="57"/>
      <c r="AU40" s="57"/>
      <c r="AV40" s="57"/>
      <c r="AW40" s="57"/>
      <c r="AX40" s="57"/>
    </row>
    <row r="41" spans="1:50" ht="15.75" customHeight="1">
      <c r="A41" s="684">
        <v>38</v>
      </c>
      <c r="B41" s="241">
        <f t="shared" ca="1" si="3"/>
        <v>45989.636720000002</v>
      </c>
      <c r="C41" s="254" t="s">
        <v>182</v>
      </c>
      <c r="D41" s="254"/>
      <c r="E41" s="34" t="s">
        <v>2363</v>
      </c>
      <c r="F41" s="382" t="s">
        <v>201</v>
      </c>
      <c r="G41" s="252" t="s">
        <v>375</v>
      </c>
      <c r="H41" s="498" t="s">
        <v>2364</v>
      </c>
      <c r="I41" s="252" t="s">
        <v>374</v>
      </c>
      <c r="J41" s="252" t="s">
        <v>376</v>
      </c>
      <c r="K41" s="252" t="s">
        <v>644</v>
      </c>
      <c r="L41" s="252" t="s">
        <v>356</v>
      </c>
      <c r="M41" s="252" t="s">
        <v>360</v>
      </c>
      <c r="N41" s="252"/>
      <c r="O41" s="252"/>
      <c r="P41" s="252"/>
      <c r="Q41" s="250"/>
      <c r="R41" s="252" t="s">
        <v>2180</v>
      </c>
      <c r="S41" s="252" t="s">
        <v>2164</v>
      </c>
      <c r="T41" s="252" t="s">
        <v>2365</v>
      </c>
      <c r="U41" s="360">
        <v>45898</v>
      </c>
      <c r="V41" s="700" t="s">
        <v>2366</v>
      </c>
      <c r="W41" s="360">
        <v>45989</v>
      </c>
      <c r="X41" s="24" t="s">
        <v>2167</v>
      </c>
      <c r="Y41" s="252" t="s">
        <v>1811</v>
      </c>
      <c r="Z41" s="257"/>
      <c r="AA41" s="57"/>
      <c r="AB41" s="239" t="s">
        <v>2367</v>
      </c>
      <c r="AC41" s="735" t="s">
        <v>2180</v>
      </c>
      <c r="AD41" s="239" t="s">
        <v>2368</v>
      </c>
      <c r="AE41" s="674"/>
      <c r="AF41" s="57"/>
      <c r="AG41" s="57"/>
      <c r="AH41" s="57"/>
      <c r="AI41" s="57"/>
      <c r="AJ41" s="57"/>
      <c r="AK41" s="57"/>
      <c r="AL41" s="57"/>
      <c r="AM41" s="57"/>
      <c r="AN41" s="57"/>
      <c r="AO41" s="57"/>
      <c r="AP41" s="57"/>
      <c r="AQ41" s="57"/>
      <c r="AR41" s="57"/>
      <c r="AS41" s="57"/>
      <c r="AT41" s="57"/>
      <c r="AU41" s="57"/>
      <c r="AV41" s="57"/>
      <c r="AW41" s="57"/>
      <c r="AX41" s="57"/>
    </row>
    <row r="42" spans="1:50" ht="15.75" customHeight="1">
      <c r="A42" s="684">
        <v>39</v>
      </c>
      <c r="B42" s="241">
        <f t="shared" ca="1" si="3"/>
        <v>45992.386109999999</v>
      </c>
      <c r="C42" s="254" t="s">
        <v>182</v>
      </c>
      <c r="D42" s="254"/>
      <c r="E42" s="34" t="s">
        <v>2369</v>
      </c>
      <c r="F42" s="382" t="s">
        <v>201</v>
      </c>
      <c r="G42" s="252" t="s">
        <v>375</v>
      </c>
      <c r="H42" s="498" t="s">
        <v>2370</v>
      </c>
      <c r="I42" s="252" t="s">
        <v>374</v>
      </c>
      <c r="J42" s="252" t="s">
        <v>376</v>
      </c>
      <c r="K42" s="252" t="s">
        <v>644</v>
      </c>
      <c r="L42" s="252" t="s">
        <v>356</v>
      </c>
      <c r="M42" s="252" t="s">
        <v>360</v>
      </c>
      <c r="N42" s="252"/>
      <c r="O42" s="252"/>
      <c r="P42" s="252"/>
      <c r="Q42" s="250"/>
      <c r="R42" s="252" t="s">
        <v>2163</v>
      </c>
      <c r="S42" s="252" t="s">
        <v>2164</v>
      </c>
      <c r="T42" s="693" t="s">
        <v>2371</v>
      </c>
      <c r="U42" s="496">
        <v>45981</v>
      </c>
      <c r="V42" s="693"/>
      <c r="W42" s="747"/>
      <c r="X42" s="24" t="s">
        <v>2167</v>
      </c>
      <c r="Y42" s="252" t="s">
        <v>1811</v>
      </c>
      <c r="Z42" s="180" t="s">
        <v>2178</v>
      </c>
      <c r="AA42" s="57"/>
      <c r="AB42" s="745" t="s">
        <v>2372</v>
      </c>
      <c r="AC42" s="735" t="s">
        <v>2180</v>
      </c>
      <c r="AD42" s="742" t="s">
        <v>2373</v>
      </c>
      <c r="AE42" s="674"/>
      <c r="AF42" s="57"/>
      <c r="AG42" s="57"/>
      <c r="AH42" s="57"/>
      <c r="AI42" s="57"/>
      <c r="AJ42" s="57"/>
      <c r="AK42" s="57"/>
      <c r="AL42" s="57"/>
      <c r="AM42" s="57"/>
      <c r="AN42" s="57"/>
      <c r="AO42" s="57"/>
      <c r="AP42" s="57"/>
      <c r="AQ42" s="57"/>
      <c r="AR42" s="57"/>
      <c r="AS42" s="57"/>
      <c r="AT42" s="57"/>
      <c r="AU42" s="57"/>
      <c r="AV42" s="57"/>
      <c r="AW42" s="57"/>
      <c r="AX42" s="57"/>
    </row>
    <row r="43" spans="1:50" ht="15.75" customHeight="1">
      <c r="A43" s="684">
        <v>40</v>
      </c>
      <c r="B43" s="241">
        <f t="shared" ca="1" si="3"/>
        <v>46002.462760000002</v>
      </c>
      <c r="C43" s="254" t="s">
        <v>182</v>
      </c>
      <c r="D43" s="254"/>
      <c r="E43" s="34" t="s">
        <v>2374</v>
      </c>
      <c r="F43" s="382" t="s">
        <v>32</v>
      </c>
      <c r="G43" s="252" t="s">
        <v>261</v>
      </c>
      <c r="H43" s="730" t="s">
        <v>128</v>
      </c>
      <c r="I43" s="252" t="s">
        <v>33</v>
      </c>
      <c r="J43" s="252" t="s">
        <v>263</v>
      </c>
      <c r="K43" s="730" t="s">
        <v>262</v>
      </c>
      <c r="L43" s="252" t="s">
        <v>260</v>
      </c>
      <c r="M43" s="252" t="s">
        <v>626</v>
      </c>
      <c r="N43" s="252"/>
      <c r="O43" s="252"/>
      <c r="P43" s="252"/>
      <c r="Q43" s="250" t="s">
        <v>2375</v>
      </c>
      <c r="R43" s="252" t="s">
        <v>2180</v>
      </c>
      <c r="S43" s="252" t="s">
        <v>2164</v>
      </c>
      <c r="T43" s="693" t="s">
        <v>2376</v>
      </c>
      <c r="U43" s="496">
        <v>46001</v>
      </c>
      <c r="V43" s="693">
        <v>1049965</v>
      </c>
      <c r="W43" s="496">
        <v>46001</v>
      </c>
      <c r="X43" s="24" t="s">
        <v>2167</v>
      </c>
      <c r="Y43" s="252" t="s">
        <v>1811</v>
      </c>
      <c r="Z43" s="741"/>
      <c r="AA43" s="57"/>
      <c r="AB43" s="3" t="s">
        <v>2377</v>
      </c>
      <c r="AC43" s="57" t="s">
        <v>2180</v>
      </c>
      <c r="AD43" s="3" t="s">
        <v>2378</v>
      </c>
      <c r="AE43" s="674"/>
      <c r="AF43" s="57"/>
      <c r="AG43" s="57"/>
      <c r="AH43" s="57"/>
      <c r="AI43" s="57"/>
      <c r="AJ43" s="57"/>
      <c r="AK43" s="57"/>
      <c r="AL43" s="57"/>
      <c r="AM43" s="57"/>
      <c r="AN43" s="57"/>
      <c r="AO43" s="57"/>
      <c r="AP43" s="57"/>
      <c r="AQ43" s="57"/>
      <c r="AR43" s="57"/>
      <c r="AS43" s="57"/>
      <c r="AT43" s="57"/>
      <c r="AU43" s="57"/>
      <c r="AV43" s="57"/>
      <c r="AW43" s="57"/>
      <c r="AX43" s="57"/>
    </row>
    <row r="44" spans="1:50" ht="15.75" customHeight="1">
      <c r="A44" s="684">
        <v>41</v>
      </c>
      <c r="B44" s="241">
        <f t="shared" ca="1" si="3"/>
        <v>46002.517919999998</v>
      </c>
      <c r="C44" s="254" t="s">
        <v>182</v>
      </c>
      <c r="D44" s="254"/>
      <c r="E44" s="748" t="s">
        <v>2379</v>
      </c>
      <c r="F44" s="382" t="s">
        <v>49</v>
      </c>
      <c r="G44" s="252" t="s">
        <v>112</v>
      </c>
      <c r="H44" s="730" t="s">
        <v>291</v>
      </c>
      <c r="I44" s="252" t="s">
        <v>2380</v>
      </c>
      <c r="J44" s="252" t="s">
        <v>523</v>
      </c>
      <c r="K44" s="252" t="s">
        <v>136</v>
      </c>
      <c r="L44" s="252" t="s">
        <v>671</v>
      </c>
      <c r="M44" s="252"/>
      <c r="N44" s="252"/>
      <c r="O44" s="252"/>
      <c r="P44" s="252"/>
      <c r="Q44" s="250"/>
      <c r="R44" s="252" t="s">
        <v>2180</v>
      </c>
      <c r="S44" s="252" t="s">
        <v>2164</v>
      </c>
      <c r="T44" s="693" t="s">
        <v>2381</v>
      </c>
      <c r="U44" s="372" t="s">
        <v>2061</v>
      </c>
      <c r="V44" s="252"/>
      <c r="W44" s="360"/>
      <c r="X44" s="24" t="s">
        <v>2167</v>
      </c>
      <c r="Y44" s="252" t="s">
        <v>1811</v>
      </c>
      <c r="Z44" s="180" t="s">
        <v>2178</v>
      </c>
      <c r="AA44" s="57"/>
      <c r="AB44" s="3" t="s">
        <v>2382</v>
      </c>
      <c r="AC44" s="57" t="s">
        <v>2180</v>
      </c>
      <c r="AD44" s="3" t="s">
        <v>2383</v>
      </c>
      <c r="AE44" s="674"/>
      <c r="AF44" s="57"/>
      <c r="AG44" s="57"/>
      <c r="AH44" s="57"/>
      <c r="AI44" s="57"/>
      <c r="AJ44" s="57"/>
      <c r="AK44" s="57"/>
      <c r="AL44" s="57"/>
      <c r="AM44" s="57"/>
      <c r="AN44" s="57"/>
      <c r="AO44" s="57"/>
      <c r="AP44" s="57"/>
      <c r="AQ44" s="57"/>
      <c r="AR44" s="57"/>
      <c r="AS44" s="57"/>
      <c r="AT44" s="57"/>
      <c r="AU44" s="57"/>
      <c r="AV44" s="57"/>
      <c r="AW44" s="57"/>
      <c r="AX44" s="57"/>
    </row>
    <row r="45" spans="1:50" ht="15.75" customHeight="1">
      <c r="A45" s="684">
        <v>42</v>
      </c>
      <c r="B45" s="241">
        <f t="shared" ca="1" si="3"/>
        <v>46002.530030000002</v>
      </c>
      <c r="C45" s="254" t="s">
        <v>182</v>
      </c>
      <c r="D45" s="254"/>
      <c r="E45" s="34" t="s">
        <v>2384</v>
      </c>
      <c r="F45" s="382" t="s">
        <v>32</v>
      </c>
      <c r="G45" s="252" t="s">
        <v>264</v>
      </c>
      <c r="H45" s="730" t="s">
        <v>261</v>
      </c>
      <c r="I45" s="252" t="s">
        <v>262</v>
      </c>
      <c r="J45" s="252"/>
      <c r="K45" s="252"/>
      <c r="L45" s="252"/>
      <c r="M45" s="252"/>
      <c r="N45" s="252"/>
      <c r="O45" s="252"/>
      <c r="P45" s="252"/>
      <c r="Q45" s="250" t="s">
        <v>2385</v>
      </c>
      <c r="R45" s="252" t="s">
        <v>2180</v>
      </c>
      <c r="S45" s="252" t="s">
        <v>2164</v>
      </c>
      <c r="T45" s="693" t="s">
        <v>2386</v>
      </c>
      <c r="U45" s="372" t="s">
        <v>2387</v>
      </c>
      <c r="V45" s="252"/>
      <c r="W45" s="360"/>
      <c r="X45" s="24" t="s">
        <v>2167</v>
      </c>
      <c r="Y45" s="252" t="s">
        <v>1811</v>
      </c>
      <c r="Z45" s="180" t="s">
        <v>2178</v>
      </c>
      <c r="AA45" s="57"/>
      <c r="AB45" s="3" t="s">
        <v>2161</v>
      </c>
      <c r="AC45" s="57" t="s">
        <v>2180</v>
      </c>
      <c r="AD45" s="3" t="s">
        <v>2165</v>
      </c>
      <c r="AE45" s="674"/>
      <c r="AF45" s="57"/>
      <c r="AG45" s="57"/>
      <c r="AH45" s="57"/>
      <c r="AI45" s="57"/>
      <c r="AJ45" s="57"/>
      <c r="AK45" s="57"/>
      <c r="AL45" s="57"/>
      <c r="AM45" s="57"/>
      <c r="AN45" s="57"/>
      <c r="AO45" s="57"/>
      <c r="AP45" s="57"/>
      <c r="AQ45" s="57"/>
      <c r="AR45" s="57"/>
      <c r="AS45" s="57"/>
      <c r="AT45" s="57"/>
      <c r="AU45" s="57"/>
      <c r="AV45" s="57"/>
      <c r="AW45" s="57"/>
      <c r="AX45" s="57"/>
    </row>
    <row r="46" spans="1:50" ht="15.75" customHeight="1">
      <c r="A46" s="684">
        <v>43</v>
      </c>
      <c r="B46" s="241">
        <f t="shared" ca="1" si="3"/>
        <v>46002.536549999997</v>
      </c>
      <c r="C46" s="254" t="s">
        <v>182</v>
      </c>
      <c r="D46" s="254"/>
      <c r="E46" s="34" t="s">
        <v>2388</v>
      </c>
      <c r="F46" s="252"/>
      <c r="G46" s="252" t="s">
        <v>626</v>
      </c>
      <c r="H46" s="252"/>
      <c r="I46" s="252"/>
      <c r="J46" s="252"/>
      <c r="K46" s="252"/>
      <c r="L46" s="252"/>
      <c r="M46" s="252"/>
      <c r="N46" s="252"/>
      <c r="O46" s="252"/>
      <c r="P46" s="252"/>
      <c r="Q46" s="250" t="s">
        <v>2389</v>
      </c>
      <c r="R46" s="252" t="s">
        <v>2180</v>
      </c>
      <c r="S46" s="252" t="s">
        <v>2164</v>
      </c>
      <c r="T46" s="252" t="s">
        <v>2390</v>
      </c>
      <c r="U46" s="360"/>
      <c r="V46" s="252"/>
      <c r="W46" s="360"/>
      <c r="X46" s="24" t="s">
        <v>2167</v>
      </c>
      <c r="Y46" s="252" t="s">
        <v>1811</v>
      </c>
      <c r="Z46" s="180" t="s">
        <v>2178</v>
      </c>
      <c r="AA46" s="57"/>
      <c r="AB46" s="3" t="s">
        <v>2391</v>
      </c>
      <c r="AC46" s="57" t="s">
        <v>2180</v>
      </c>
      <c r="AD46" s="3" t="s">
        <v>2392</v>
      </c>
      <c r="AE46" s="674"/>
      <c r="AF46" s="57"/>
      <c r="AG46" s="57"/>
      <c r="AH46" s="57"/>
      <c r="AI46" s="57"/>
      <c r="AJ46" s="57"/>
      <c r="AK46" s="57"/>
      <c r="AL46" s="57"/>
      <c r="AM46" s="57"/>
      <c r="AN46" s="57"/>
      <c r="AO46" s="57"/>
      <c r="AP46" s="57"/>
      <c r="AQ46" s="57"/>
      <c r="AR46" s="57"/>
      <c r="AS46" s="57"/>
      <c r="AT46" s="57"/>
      <c r="AU46" s="57"/>
      <c r="AV46" s="57"/>
      <c r="AW46" s="57"/>
      <c r="AX46" s="57"/>
    </row>
    <row r="47" spans="1:50" ht="15.75" customHeight="1">
      <c r="A47" s="684">
        <v>44</v>
      </c>
      <c r="B47" s="241">
        <f t="shared" ca="1" si="3"/>
        <v>46005.726240000004</v>
      </c>
      <c r="C47" s="254" t="s">
        <v>182</v>
      </c>
      <c r="D47" s="254"/>
      <c r="E47" s="34" t="s">
        <v>2393</v>
      </c>
      <c r="F47" s="382" t="s">
        <v>58</v>
      </c>
      <c r="G47" s="252" t="s">
        <v>192</v>
      </c>
      <c r="H47" s="252" t="s">
        <v>274</v>
      </c>
      <c r="I47" s="252"/>
      <c r="J47" s="252"/>
      <c r="K47" s="252"/>
      <c r="L47" s="252"/>
      <c r="M47" s="252"/>
      <c r="N47" s="252"/>
      <c r="O47" s="252"/>
      <c r="P47" s="252"/>
      <c r="Q47" s="250"/>
      <c r="R47" s="252" t="s">
        <v>2180</v>
      </c>
      <c r="S47" s="252" t="s">
        <v>2164</v>
      </c>
      <c r="T47" s="252" t="s">
        <v>2394</v>
      </c>
      <c r="U47" s="360">
        <v>45894</v>
      </c>
      <c r="V47" s="700" t="s">
        <v>2395</v>
      </c>
      <c r="W47" s="360">
        <v>45894</v>
      </c>
      <c r="X47" s="24" t="s">
        <v>2167</v>
      </c>
      <c r="Y47" s="252" t="s">
        <v>1811</v>
      </c>
      <c r="Z47" s="102" t="s">
        <v>2396</v>
      </c>
      <c r="AA47" s="57"/>
      <c r="AB47" s="3" t="s">
        <v>2397</v>
      </c>
      <c r="AC47" s="57" t="s">
        <v>2180</v>
      </c>
      <c r="AD47" s="3" t="s">
        <v>2398</v>
      </c>
      <c r="AE47" s="674"/>
      <c r="AF47" s="57"/>
      <c r="AG47" s="57"/>
      <c r="AH47" s="57"/>
      <c r="AI47" s="57"/>
      <c r="AJ47" s="57"/>
      <c r="AK47" s="57"/>
      <c r="AL47" s="57"/>
      <c r="AM47" s="57"/>
      <c r="AN47" s="57"/>
      <c r="AO47" s="57"/>
      <c r="AP47" s="57"/>
      <c r="AQ47" s="57"/>
      <c r="AR47" s="57"/>
      <c r="AS47" s="57"/>
      <c r="AT47" s="57"/>
      <c r="AU47" s="57"/>
      <c r="AV47" s="57"/>
      <c r="AW47" s="57"/>
      <c r="AX47" s="57"/>
    </row>
    <row r="48" spans="1:50" ht="15.75" customHeight="1">
      <c r="A48" s="684">
        <v>45</v>
      </c>
      <c r="B48" s="241">
        <v>46005</v>
      </c>
      <c r="C48" s="254" t="s">
        <v>182</v>
      </c>
      <c r="D48" s="254"/>
      <c r="E48" s="34" t="s">
        <v>2399</v>
      </c>
      <c r="F48" s="382" t="s">
        <v>58</v>
      </c>
      <c r="G48" s="252" t="s">
        <v>92</v>
      </c>
      <c r="H48" s="252" t="s">
        <v>102</v>
      </c>
      <c r="I48" s="252"/>
      <c r="J48" s="252"/>
      <c r="K48" s="252"/>
      <c r="L48" s="252"/>
      <c r="M48" s="252"/>
      <c r="N48" s="252"/>
      <c r="O48" s="252"/>
      <c r="P48" s="252"/>
      <c r="Q48" s="250" t="s">
        <v>2400</v>
      </c>
      <c r="R48" s="252" t="s">
        <v>2180</v>
      </c>
      <c r="S48" s="252" t="s">
        <v>2164</v>
      </c>
      <c r="T48" s="693" t="s">
        <v>2401</v>
      </c>
      <c r="U48" s="747">
        <v>45999</v>
      </c>
      <c r="V48" s="252">
        <v>1046854</v>
      </c>
      <c r="W48" s="747">
        <v>45999</v>
      </c>
      <c r="X48" s="24" t="s">
        <v>2167</v>
      </c>
      <c r="Y48" s="252" t="s">
        <v>1811</v>
      </c>
      <c r="Z48" s="102" t="s">
        <v>2402</v>
      </c>
      <c r="AA48" s="57"/>
      <c r="AB48" s="3" t="s">
        <v>2403</v>
      </c>
      <c r="AC48" s="57" t="s">
        <v>2180</v>
      </c>
      <c r="AD48" s="3" t="s">
        <v>2404</v>
      </c>
      <c r="AE48" s="674"/>
      <c r="AF48" s="57"/>
      <c r="AG48" s="57"/>
      <c r="AH48" s="57"/>
      <c r="AI48" s="57"/>
      <c r="AJ48" s="57"/>
      <c r="AK48" s="57"/>
      <c r="AL48" s="57"/>
      <c r="AM48" s="57"/>
      <c r="AN48" s="57"/>
      <c r="AO48" s="57"/>
      <c r="AP48" s="57"/>
      <c r="AQ48" s="57"/>
      <c r="AR48" s="57"/>
      <c r="AS48" s="57"/>
      <c r="AT48" s="57"/>
      <c r="AU48" s="57"/>
      <c r="AV48" s="57"/>
      <c r="AW48" s="57"/>
      <c r="AX48" s="57"/>
    </row>
    <row r="49" spans="1:50" ht="15.75" customHeight="1">
      <c r="A49" s="684">
        <v>46</v>
      </c>
      <c r="B49" s="241">
        <f t="shared" ref="B49:B75" ca="1" si="4">IF(OR(E49&lt;&gt;"",F49&lt;&gt;""),IF(B49="",NOW(),B49),"")</f>
        <v>46006.360679999998</v>
      </c>
      <c r="C49" s="254" t="s">
        <v>182</v>
      </c>
      <c r="D49" s="254"/>
      <c r="E49" s="749" t="s">
        <v>2405</v>
      </c>
      <c r="F49" s="382" t="s">
        <v>32</v>
      </c>
      <c r="G49" s="252" t="s">
        <v>261</v>
      </c>
      <c r="H49" s="252" t="s">
        <v>128</v>
      </c>
      <c r="I49" s="252" t="s">
        <v>33</v>
      </c>
      <c r="J49" s="252" t="s">
        <v>263</v>
      </c>
      <c r="K49" s="252" t="s">
        <v>262</v>
      </c>
      <c r="L49" s="252" t="s">
        <v>260</v>
      </c>
      <c r="M49" s="252" t="s">
        <v>264</v>
      </c>
      <c r="N49" s="252"/>
      <c r="O49" s="252"/>
      <c r="P49" s="252"/>
      <c r="Q49" s="250"/>
      <c r="R49" s="252" t="s">
        <v>2163</v>
      </c>
      <c r="S49" s="252" t="s">
        <v>2164</v>
      </c>
      <c r="T49" s="252" t="s">
        <v>2406</v>
      </c>
      <c r="U49" s="750">
        <v>46003</v>
      </c>
      <c r="V49" s="252"/>
      <c r="W49" s="750"/>
      <c r="X49" s="24" t="s">
        <v>2167</v>
      </c>
      <c r="Y49" s="252" t="s">
        <v>1811</v>
      </c>
      <c r="Z49" s="213"/>
      <c r="AA49" s="57"/>
      <c r="AB49" s="3" t="s">
        <v>2407</v>
      </c>
      <c r="AC49" s="57" t="s">
        <v>2180</v>
      </c>
      <c r="AD49" s="3" t="s">
        <v>2408</v>
      </c>
      <c r="AE49" s="674"/>
      <c r="AF49" s="57"/>
      <c r="AG49" s="57"/>
      <c r="AH49" s="57"/>
      <c r="AI49" s="57"/>
      <c r="AJ49" s="57"/>
      <c r="AK49" s="57"/>
      <c r="AL49" s="57"/>
      <c r="AM49" s="57"/>
      <c r="AN49" s="57"/>
      <c r="AO49" s="57"/>
      <c r="AP49" s="57"/>
      <c r="AQ49" s="57"/>
      <c r="AR49" s="57"/>
      <c r="AS49" s="57"/>
      <c r="AT49" s="57"/>
      <c r="AU49" s="57"/>
      <c r="AV49" s="57"/>
      <c r="AW49" s="57"/>
      <c r="AX49" s="57"/>
    </row>
    <row r="50" spans="1:50" ht="15.75" customHeight="1">
      <c r="A50" s="684">
        <v>47</v>
      </c>
      <c r="B50" s="241">
        <f t="shared" ca="1" si="4"/>
        <v>46006.39587</v>
      </c>
      <c r="C50" s="254" t="s">
        <v>182</v>
      </c>
      <c r="D50" s="254"/>
      <c r="E50" s="34" t="s">
        <v>2409</v>
      </c>
      <c r="F50" s="382" t="s">
        <v>49</v>
      </c>
      <c r="G50" s="252" t="s">
        <v>112</v>
      </c>
      <c r="H50" s="252" t="s">
        <v>588</v>
      </c>
      <c r="I50" s="252"/>
      <c r="J50" s="252"/>
      <c r="K50" s="252"/>
      <c r="L50" s="252"/>
      <c r="M50" s="252"/>
      <c r="N50" s="252"/>
      <c r="O50" s="252"/>
      <c r="P50" s="252"/>
      <c r="Q50" s="250" t="s">
        <v>2410</v>
      </c>
      <c r="R50" s="252" t="s">
        <v>2163</v>
      </c>
      <c r="S50" s="252" t="s">
        <v>2164</v>
      </c>
      <c r="T50" s="693" t="s">
        <v>2411</v>
      </c>
      <c r="U50" s="372" t="s">
        <v>2256</v>
      </c>
      <c r="V50" s="252"/>
      <c r="W50" s="733"/>
      <c r="X50" s="24" t="s">
        <v>2167</v>
      </c>
      <c r="Y50" s="252" t="s">
        <v>1811</v>
      </c>
      <c r="Z50" s="34"/>
      <c r="AA50" s="57"/>
      <c r="AB50" s="3" t="s">
        <v>2412</v>
      </c>
      <c r="AC50" s="57" t="s">
        <v>2180</v>
      </c>
      <c r="AD50" s="3" t="s">
        <v>2413</v>
      </c>
      <c r="AE50" s="674"/>
      <c r="AF50" s="57"/>
      <c r="AG50" s="57"/>
      <c r="AH50" s="57"/>
      <c r="AI50" s="57"/>
      <c r="AJ50" s="57"/>
      <c r="AK50" s="57"/>
      <c r="AL50" s="57"/>
      <c r="AM50" s="57"/>
      <c r="AN50" s="57"/>
      <c r="AO50" s="57"/>
      <c r="AP50" s="57"/>
      <c r="AQ50" s="57"/>
      <c r="AR50" s="57"/>
      <c r="AS50" s="57"/>
      <c r="AT50" s="57"/>
      <c r="AU50" s="57"/>
      <c r="AV50" s="57"/>
      <c r="AW50" s="57"/>
      <c r="AX50" s="57"/>
    </row>
    <row r="51" spans="1:50" ht="15.75" customHeight="1">
      <c r="A51" s="684">
        <v>48</v>
      </c>
      <c r="B51" s="241">
        <f t="shared" ca="1" si="4"/>
        <v>46006.406230000001</v>
      </c>
      <c r="C51" s="254" t="s">
        <v>182</v>
      </c>
      <c r="D51" s="254"/>
      <c r="E51" s="34" t="s">
        <v>2414</v>
      </c>
      <c r="F51" s="382" t="s">
        <v>49</v>
      </c>
      <c r="G51" s="730" t="s">
        <v>291</v>
      </c>
      <c r="H51" s="252"/>
      <c r="I51" s="252"/>
      <c r="J51" s="252"/>
      <c r="K51" s="252"/>
      <c r="L51" s="252"/>
      <c r="M51" s="252"/>
      <c r="N51" s="252"/>
      <c r="O51" s="252"/>
      <c r="P51" s="252"/>
      <c r="Q51" s="751" t="s">
        <v>2415</v>
      </c>
      <c r="R51" s="252" t="s">
        <v>2163</v>
      </c>
      <c r="S51" s="252" t="s">
        <v>2164</v>
      </c>
      <c r="T51" s="693" t="s">
        <v>2416</v>
      </c>
      <c r="U51" s="372" t="s">
        <v>2417</v>
      </c>
      <c r="V51" s="693"/>
      <c r="W51" s="747"/>
      <c r="X51" s="24" t="s">
        <v>2167</v>
      </c>
      <c r="Y51" s="252" t="s">
        <v>1811</v>
      </c>
      <c r="Z51" s="180" t="s">
        <v>2178</v>
      </c>
      <c r="AA51" s="57"/>
      <c r="AB51" s="3" t="s">
        <v>2418</v>
      </c>
      <c r="AC51" s="57" t="s">
        <v>2180</v>
      </c>
      <c r="AD51" s="3" t="s">
        <v>2419</v>
      </c>
      <c r="AE51" s="674"/>
      <c r="AF51" s="57"/>
      <c r="AG51" s="57"/>
      <c r="AH51" s="57"/>
      <c r="AI51" s="57"/>
      <c r="AJ51" s="57"/>
      <c r="AK51" s="57"/>
      <c r="AL51" s="57"/>
      <c r="AM51" s="57"/>
      <c r="AN51" s="57"/>
      <c r="AO51" s="57"/>
      <c r="AP51" s="57"/>
      <c r="AQ51" s="57"/>
      <c r="AR51" s="57"/>
      <c r="AS51" s="57"/>
      <c r="AT51" s="57"/>
      <c r="AU51" s="57"/>
      <c r="AV51" s="57"/>
      <c r="AW51" s="57"/>
      <c r="AX51" s="57"/>
    </row>
    <row r="52" spans="1:50" ht="15.75" customHeight="1">
      <c r="A52" s="684">
        <v>49</v>
      </c>
      <c r="B52" s="241" t="str">
        <f t="shared" ca="1" si="4"/>
        <v/>
      </c>
      <c r="C52" s="254"/>
      <c r="D52" s="254"/>
      <c r="E52" s="34"/>
      <c r="F52" s="252"/>
      <c r="G52" s="252"/>
      <c r="H52" s="379"/>
      <c r="I52" s="252"/>
      <c r="J52" s="252"/>
      <c r="K52" s="252"/>
      <c r="L52" s="252"/>
      <c r="M52" s="252"/>
      <c r="N52" s="252"/>
      <c r="O52" s="252"/>
      <c r="P52" s="252"/>
      <c r="Q52" s="250"/>
      <c r="R52" s="252"/>
      <c r="S52" s="252"/>
      <c r="T52" s="752"/>
      <c r="U52" s="753"/>
      <c r="V52" s="754"/>
      <c r="W52" s="753"/>
      <c r="X52" s="24" t="s">
        <v>2167</v>
      </c>
      <c r="Y52" s="252"/>
      <c r="Z52" s="34"/>
      <c r="AA52" s="57"/>
      <c r="AB52" s="3" t="s">
        <v>2420</v>
      </c>
      <c r="AC52" s="57" t="s">
        <v>2180</v>
      </c>
      <c r="AD52" s="3" t="s">
        <v>2421</v>
      </c>
      <c r="AE52" s="674"/>
      <c r="AF52" s="57"/>
      <c r="AG52" s="57"/>
      <c r="AH52" s="57"/>
      <c r="AI52" s="57"/>
      <c r="AJ52" s="57"/>
      <c r="AK52" s="57"/>
      <c r="AL52" s="57"/>
      <c r="AM52" s="57"/>
      <c r="AN52" s="57"/>
      <c r="AO52" s="57"/>
      <c r="AP52" s="57"/>
      <c r="AQ52" s="57"/>
      <c r="AR52" s="57"/>
      <c r="AS52" s="57"/>
      <c r="AT52" s="57"/>
      <c r="AU52" s="57"/>
      <c r="AV52" s="57"/>
      <c r="AW52" s="57"/>
      <c r="AX52" s="57"/>
    </row>
    <row r="53" spans="1:50" ht="15.75" customHeight="1">
      <c r="A53" s="684">
        <v>50</v>
      </c>
      <c r="B53" s="241" t="str">
        <f t="shared" ca="1" si="4"/>
        <v/>
      </c>
      <c r="C53" s="254"/>
      <c r="D53" s="254"/>
      <c r="E53" s="755"/>
      <c r="F53" s="252"/>
      <c r="G53" s="252"/>
      <c r="H53" s="252"/>
      <c r="I53" s="252"/>
      <c r="J53" s="252"/>
      <c r="K53" s="252"/>
      <c r="L53" s="252"/>
      <c r="M53" s="252"/>
      <c r="N53" s="252"/>
      <c r="O53" s="252"/>
      <c r="P53" s="252"/>
      <c r="Q53" s="250"/>
      <c r="R53" s="252"/>
      <c r="S53" s="252"/>
      <c r="T53" s="693"/>
      <c r="U53" s="747"/>
      <c r="V53" s="252"/>
      <c r="W53" s="252"/>
      <c r="X53" s="24" t="s">
        <v>2167</v>
      </c>
      <c r="Y53" s="252"/>
      <c r="Z53" s="34"/>
      <c r="AA53" s="57"/>
      <c r="AB53" s="3" t="s">
        <v>2422</v>
      </c>
      <c r="AC53" s="57" t="s">
        <v>2180</v>
      </c>
      <c r="AD53" s="3" t="s">
        <v>2423</v>
      </c>
      <c r="AE53" s="674"/>
      <c r="AF53" s="57"/>
      <c r="AG53" s="57"/>
      <c r="AH53" s="57"/>
      <c r="AI53" s="57"/>
      <c r="AJ53" s="57"/>
      <c r="AK53" s="57"/>
      <c r="AL53" s="57"/>
      <c r="AM53" s="57"/>
      <c r="AN53" s="57"/>
      <c r="AO53" s="57"/>
      <c r="AP53" s="57"/>
      <c r="AQ53" s="57"/>
      <c r="AR53" s="57"/>
      <c r="AS53" s="57"/>
      <c r="AT53" s="57"/>
      <c r="AU53" s="57"/>
      <c r="AV53" s="57"/>
      <c r="AW53" s="57"/>
      <c r="AX53" s="57"/>
    </row>
    <row r="54" spans="1:50" ht="15.75" customHeight="1">
      <c r="A54" s="684">
        <v>51</v>
      </c>
      <c r="B54" s="241" t="str">
        <f t="shared" ca="1" si="4"/>
        <v/>
      </c>
      <c r="C54" s="254"/>
      <c r="D54" s="254"/>
      <c r="E54" s="34"/>
      <c r="F54" s="252"/>
      <c r="G54" s="379"/>
      <c r="H54" s="252"/>
      <c r="I54" s="252"/>
      <c r="J54" s="252"/>
      <c r="K54" s="252"/>
      <c r="L54" s="252"/>
      <c r="M54" s="252"/>
      <c r="N54" s="252"/>
      <c r="O54" s="252"/>
      <c r="P54" s="252"/>
      <c r="Q54" s="250"/>
      <c r="R54" s="252"/>
      <c r="S54" s="252"/>
      <c r="T54" s="756"/>
      <c r="U54" s="496"/>
      <c r="V54" s="252"/>
      <c r="W54" s="733"/>
      <c r="X54" s="24" t="s">
        <v>2167</v>
      </c>
      <c r="Y54" s="252"/>
      <c r="Z54" s="34"/>
      <c r="AA54" s="57"/>
      <c r="AB54" s="3" t="s">
        <v>2424</v>
      </c>
      <c r="AC54" s="57" t="s">
        <v>2180</v>
      </c>
      <c r="AD54" s="3" t="s">
        <v>2425</v>
      </c>
      <c r="AE54" s="674"/>
      <c r="AF54" s="57"/>
      <c r="AG54" s="57"/>
      <c r="AH54" s="57"/>
      <c r="AI54" s="57"/>
      <c r="AJ54" s="57"/>
      <c r="AK54" s="57"/>
      <c r="AL54" s="57"/>
      <c r="AM54" s="57"/>
      <c r="AN54" s="57"/>
      <c r="AO54" s="57"/>
      <c r="AP54" s="57"/>
      <c r="AQ54" s="57"/>
      <c r="AR54" s="57"/>
      <c r="AS54" s="57"/>
      <c r="AT54" s="57"/>
      <c r="AU54" s="57"/>
      <c r="AV54" s="57"/>
      <c r="AW54" s="57"/>
      <c r="AX54" s="57"/>
    </row>
    <row r="55" spans="1:50" ht="15.75" customHeight="1">
      <c r="A55" s="684">
        <v>52</v>
      </c>
      <c r="B55" s="241" t="str">
        <f t="shared" ca="1" si="4"/>
        <v/>
      </c>
      <c r="C55" s="254"/>
      <c r="D55" s="254"/>
      <c r="E55" s="34"/>
      <c r="F55" s="252"/>
      <c r="G55" s="252"/>
      <c r="H55" s="252"/>
      <c r="I55" s="252"/>
      <c r="J55" s="252"/>
      <c r="K55" s="252"/>
      <c r="L55" s="252"/>
      <c r="M55" s="252"/>
      <c r="N55" s="252"/>
      <c r="O55" s="252"/>
      <c r="P55" s="252"/>
      <c r="Q55" s="250"/>
      <c r="R55" s="252"/>
      <c r="S55" s="252"/>
      <c r="T55" s="693"/>
      <c r="U55" s="250"/>
      <c r="V55" s="252"/>
      <c r="W55" s="252"/>
      <c r="X55" s="24" t="s">
        <v>2167</v>
      </c>
      <c r="Y55" s="252"/>
      <c r="Z55" s="34"/>
      <c r="AA55" s="57"/>
      <c r="AB55" s="3" t="s">
        <v>2426</v>
      </c>
      <c r="AC55" s="57" t="s">
        <v>2180</v>
      </c>
      <c r="AD55" s="3" t="s">
        <v>2427</v>
      </c>
      <c r="AE55" s="674"/>
      <c r="AF55" s="57"/>
      <c r="AG55" s="57"/>
      <c r="AH55" s="57"/>
      <c r="AI55" s="57"/>
      <c r="AJ55" s="57"/>
      <c r="AK55" s="57"/>
      <c r="AL55" s="57"/>
      <c r="AM55" s="57"/>
      <c r="AN55" s="57"/>
      <c r="AO55" s="57"/>
      <c r="AP55" s="57"/>
      <c r="AQ55" s="57"/>
      <c r="AR55" s="57"/>
      <c r="AS55" s="57"/>
      <c r="AT55" s="57"/>
      <c r="AU55" s="57"/>
      <c r="AV55" s="57"/>
      <c r="AW55" s="57"/>
      <c r="AX55" s="57"/>
    </row>
    <row r="56" spans="1:50" ht="15.75" customHeight="1">
      <c r="A56" s="684">
        <v>53</v>
      </c>
      <c r="B56" s="241" t="str">
        <f t="shared" ca="1" si="4"/>
        <v/>
      </c>
      <c r="C56" s="254"/>
      <c r="D56" s="254"/>
      <c r="E56" s="34"/>
      <c r="F56" s="252"/>
      <c r="G56" s="252"/>
      <c r="H56" s="252"/>
      <c r="I56" s="252"/>
      <c r="J56" s="252"/>
      <c r="K56" s="252"/>
      <c r="L56" s="252"/>
      <c r="M56" s="252"/>
      <c r="N56" s="252"/>
      <c r="O56" s="252"/>
      <c r="P56" s="252"/>
      <c r="Q56" s="250"/>
      <c r="R56" s="252"/>
      <c r="S56" s="252"/>
      <c r="T56" s="693"/>
      <c r="U56" s="496"/>
      <c r="V56" s="252"/>
      <c r="W56" s="733"/>
      <c r="X56" s="24" t="s">
        <v>2167</v>
      </c>
      <c r="Y56" s="252"/>
      <c r="Z56" s="34"/>
      <c r="AA56" s="57"/>
      <c r="AB56" s="3" t="s">
        <v>2428</v>
      </c>
      <c r="AC56" s="57" t="s">
        <v>2180</v>
      </c>
      <c r="AD56" s="3" t="s">
        <v>2429</v>
      </c>
      <c r="AE56" s="674"/>
      <c r="AF56" s="57"/>
      <c r="AG56" s="57"/>
      <c r="AH56" s="57"/>
      <c r="AI56" s="57"/>
      <c r="AJ56" s="57"/>
      <c r="AK56" s="57"/>
      <c r="AL56" s="57"/>
      <c r="AM56" s="57"/>
      <c r="AN56" s="57"/>
      <c r="AO56" s="57"/>
      <c r="AP56" s="57"/>
      <c r="AQ56" s="57"/>
      <c r="AR56" s="57"/>
      <c r="AS56" s="57"/>
      <c r="AT56" s="57"/>
      <c r="AU56" s="57"/>
      <c r="AV56" s="57"/>
      <c r="AW56" s="57"/>
      <c r="AX56" s="57"/>
    </row>
    <row r="57" spans="1:50" ht="15.75" customHeight="1">
      <c r="A57" s="684">
        <v>54</v>
      </c>
      <c r="B57" s="241" t="str">
        <f t="shared" ca="1" si="4"/>
        <v/>
      </c>
      <c r="C57" s="254"/>
      <c r="D57" s="254"/>
      <c r="E57" s="34"/>
      <c r="F57" s="252"/>
      <c r="G57" s="252"/>
      <c r="H57" s="252"/>
      <c r="I57" s="252"/>
      <c r="J57" s="252"/>
      <c r="K57" s="252"/>
      <c r="L57" s="252"/>
      <c r="M57" s="252"/>
      <c r="N57" s="252"/>
      <c r="O57" s="252"/>
      <c r="P57" s="252"/>
      <c r="Q57" s="250"/>
      <c r="R57" s="252"/>
      <c r="S57" s="252"/>
      <c r="T57" s="693"/>
      <c r="U57" s="496"/>
      <c r="V57" s="252"/>
      <c r="W57" s="733"/>
      <c r="X57" s="24" t="s">
        <v>2167</v>
      </c>
      <c r="Y57" s="252"/>
      <c r="Z57" s="34"/>
      <c r="AA57" s="57"/>
      <c r="AB57" s="3" t="s">
        <v>2430</v>
      </c>
      <c r="AC57" s="57" t="s">
        <v>2180</v>
      </c>
      <c r="AD57" s="3" t="s">
        <v>2431</v>
      </c>
      <c r="AE57" s="674"/>
      <c r="AF57" s="57"/>
      <c r="AG57" s="57"/>
      <c r="AH57" s="57"/>
      <c r="AI57" s="57"/>
      <c r="AJ57" s="57"/>
      <c r="AK57" s="57"/>
      <c r="AL57" s="57"/>
      <c r="AM57" s="57"/>
      <c r="AN57" s="57"/>
      <c r="AO57" s="57"/>
      <c r="AP57" s="57"/>
      <c r="AQ57" s="57"/>
      <c r="AR57" s="57"/>
      <c r="AS57" s="57"/>
      <c r="AT57" s="57"/>
      <c r="AU57" s="57"/>
      <c r="AV57" s="57"/>
      <c r="AW57" s="57"/>
      <c r="AX57" s="57"/>
    </row>
    <row r="58" spans="1:50" ht="15.75" customHeight="1">
      <c r="A58" s="684">
        <v>55</v>
      </c>
      <c r="B58" s="241" t="str">
        <f t="shared" ca="1" si="4"/>
        <v/>
      </c>
      <c r="C58" s="254"/>
      <c r="D58" s="254"/>
      <c r="E58" s="34"/>
      <c r="F58" s="252"/>
      <c r="G58" s="252"/>
      <c r="H58" s="252"/>
      <c r="I58" s="252"/>
      <c r="J58" s="252"/>
      <c r="K58" s="252"/>
      <c r="L58" s="252"/>
      <c r="M58" s="252"/>
      <c r="N58" s="252"/>
      <c r="O58" s="252"/>
      <c r="P58" s="252"/>
      <c r="Q58" s="250"/>
      <c r="R58" s="252"/>
      <c r="S58" s="252"/>
      <c r="T58" s="693"/>
      <c r="U58" s="250"/>
      <c r="V58" s="252"/>
      <c r="W58" s="252"/>
      <c r="X58" s="24" t="s">
        <v>2167</v>
      </c>
      <c r="Y58" s="252"/>
      <c r="Z58" s="34"/>
      <c r="AA58" s="57"/>
      <c r="AB58" s="3" t="s">
        <v>2432</v>
      </c>
      <c r="AC58" s="57" t="s">
        <v>2180</v>
      </c>
      <c r="AD58" s="3" t="s">
        <v>2433</v>
      </c>
      <c r="AE58" s="674"/>
      <c r="AF58" s="57"/>
      <c r="AG58" s="57"/>
      <c r="AH58" s="57"/>
      <c r="AI58" s="57"/>
      <c r="AJ58" s="57"/>
      <c r="AK58" s="57"/>
      <c r="AL58" s="57"/>
      <c r="AM58" s="57"/>
      <c r="AN58" s="57"/>
      <c r="AO58" s="57"/>
      <c r="AP58" s="57"/>
      <c r="AQ58" s="57"/>
      <c r="AR58" s="57"/>
      <c r="AS58" s="57"/>
      <c r="AT58" s="57"/>
      <c r="AU58" s="57"/>
      <c r="AV58" s="57"/>
      <c r="AW58" s="57"/>
      <c r="AX58" s="57"/>
    </row>
    <row r="59" spans="1:50" ht="15.75" customHeight="1">
      <c r="A59" s="684">
        <v>56</v>
      </c>
      <c r="B59" s="241" t="str">
        <f t="shared" ca="1" si="4"/>
        <v/>
      </c>
      <c r="C59" s="254"/>
      <c r="D59" s="254"/>
      <c r="E59" s="34"/>
      <c r="F59" s="252"/>
      <c r="G59" s="252"/>
      <c r="H59" s="252"/>
      <c r="I59" s="252"/>
      <c r="J59" s="252"/>
      <c r="K59" s="252"/>
      <c r="L59" s="379"/>
      <c r="M59" s="252"/>
      <c r="N59" s="379"/>
      <c r="O59" s="379"/>
      <c r="P59" s="379"/>
      <c r="Q59" s="250"/>
      <c r="R59" s="252"/>
      <c r="S59" s="252"/>
      <c r="T59" s="175"/>
      <c r="U59" s="757"/>
      <c r="V59" s="252"/>
      <c r="W59" s="733"/>
      <c r="X59" s="24" t="s">
        <v>2167</v>
      </c>
      <c r="Y59" s="252"/>
      <c r="Z59" s="34"/>
      <c r="AA59" s="57"/>
      <c r="AB59" s="3" t="s">
        <v>2434</v>
      </c>
      <c r="AC59" s="57" t="s">
        <v>2180</v>
      </c>
      <c r="AD59" s="3" t="s">
        <v>2435</v>
      </c>
      <c r="AE59" s="674"/>
      <c r="AF59" s="57"/>
      <c r="AG59" s="57"/>
      <c r="AH59" s="57"/>
      <c r="AI59" s="57"/>
      <c r="AJ59" s="57"/>
      <c r="AK59" s="57"/>
      <c r="AL59" s="57"/>
      <c r="AM59" s="57"/>
      <c r="AN59" s="57"/>
      <c r="AO59" s="57"/>
      <c r="AP59" s="57"/>
      <c r="AQ59" s="57"/>
      <c r="AR59" s="57"/>
      <c r="AS59" s="57"/>
      <c r="AT59" s="57"/>
      <c r="AU59" s="57"/>
      <c r="AV59" s="57"/>
      <c r="AW59" s="57"/>
      <c r="AX59" s="57"/>
    </row>
    <row r="60" spans="1:50" ht="15.75" customHeight="1">
      <c r="A60" s="684">
        <v>57</v>
      </c>
      <c r="B60" s="241" t="str">
        <f t="shared" ca="1" si="4"/>
        <v/>
      </c>
      <c r="C60" s="248"/>
      <c r="D60" s="248"/>
      <c r="E60" s="250"/>
      <c r="F60" s="250"/>
      <c r="G60" s="252"/>
      <c r="H60" s="252"/>
      <c r="I60" s="252"/>
      <c r="J60" s="252"/>
      <c r="K60" s="252"/>
      <c r="L60" s="252"/>
      <c r="M60" s="252"/>
      <c r="N60" s="252"/>
      <c r="O60" s="252"/>
      <c r="P60" s="252"/>
      <c r="Q60" s="250"/>
      <c r="R60" s="252"/>
      <c r="S60" s="252"/>
      <c r="T60" s="250"/>
      <c r="U60" s="733"/>
      <c r="V60" s="250"/>
      <c r="W60" s="733"/>
      <c r="X60" s="24" t="s">
        <v>2167</v>
      </c>
      <c r="Y60" s="252"/>
      <c r="Z60" s="213"/>
      <c r="AA60" s="57"/>
      <c r="AB60" s="3" t="s">
        <v>2436</v>
      </c>
      <c r="AC60" s="57" t="s">
        <v>2180</v>
      </c>
      <c r="AD60" s="3" t="s">
        <v>2437</v>
      </c>
      <c r="AE60" s="674"/>
      <c r="AF60" s="57"/>
      <c r="AG60" s="57"/>
      <c r="AH60" s="57"/>
      <c r="AI60" s="57"/>
      <c r="AJ60" s="57"/>
      <c r="AK60" s="57"/>
      <c r="AL60" s="57"/>
      <c r="AM60" s="57"/>
      <c r="AN60" s="57"/>
      <c r="AO60" s="57"/>
      <c r="AP60" s="57"/>
      <c r="AQ60" s="57"/>
      <c r="AR60" s="57"/>
      <c r="AS60" s="57"/>
      <c r="AT60" s="57"/>
      <c r="AU60" s="57"/>
      <c r="AV60" s="57"/>
      <c r="AW60" s="57"/>
      <c r="AX60" s="57"/>
    </row>
    <row r="61" spans="1:50" ht="15.75" customHeight="1">
      <c r="A61" s="684">
        <v>58</v>
      </c>
      <c r="B61" s="241" t="str">
        <f t="shared" ca="1" si="4"/>
        <v/>
      </c>
      <c r="C61" s="248"/>
      <c r="D61" s="248"/>
      <c r="E61" s="250"/>
      <c r="F61" s="252"/>
      <c r="G61" s="252"/>
      <c r="H61" s="252"/>
      <c r="I61" s="252"/>
      <c r="J61" s="252"/>
      <c r="K61" s="252"/>
      <c r="L61" s="252"/>
      <c r="M61" s="252"/>
      <c r="N61" s="252"/>
      <c r="O61" s="252"/>
      <c r="P61" s="252"/>
      <c r="Q61" s="250"/>
      <c r="R61" s="252"/>
      <c r="S61" s="252"/>
      <c r="T61" s="252"/>
      <c r="U61" s="733"/>
      <c r="V61" s="252"/>
      <c r="W61" s="252"/>
      <c r="X61" s="24" t="s">
        <v>2167</v>
      </c>
      <c r="Y61" s="252"/>
      <c r="Z61" s="741"/>
      <c r="AA61" s="57"/>
      <c r="AB61" s="3" t="s">
        <v>2438</v>
      </c>
      <c r="AC61" s="57" t="s">
        <v>2180</v>
      </c>
      <c r="AD61" s="3" t="s">
        <v>2439</v>
      </c>
      <c r="AE61" s="674"/>
      <c r="AF61" s="57"/>
      <c r="AG61" s="57"/>
      <c r="AH61" s="57"/>
      <c r="AI61" s="57"/>
      <c r="AJ61" s="57"/>
      <c r="AK61" s="57"/>
      <c r="AL61" s="57"/>
      <c r="AM61" s="57"/>
      <c r="AN61" s="57"/>
      <c r="AO61" s="57"/>
      <c r="AP61" s="57"/>
      <c r="AQ61" s="57"/>
      <c r="AR61" s="57"/>
      <c r="AS61" s="57"/>
      <c r="AT61" s="57"/>
      <c r="AU61" s="57"/>
      <c r="AV61" s="57"/>
      <c r="AW61" s="57"/>
      <c r="AX61" s="57"/>
    </row>
    <row r="62" spans="1:50" ht="15.75" customHeight="1">
      <c r="A62" s="684">
        <v>59</v>
      </c>
      <c r="B62" s="241" t="str">
        <f t="shared" ca="1" si="4"/>
        <v/>
      </c>
      <c r="C62" s="248"/>
      <c r="D62" s="248"/>
      <c r="E62" s="250"/>
      <c r="F62" s="252"/>
      <c r="G62" s="252"/>
      <c r="H62" s="252"/>
      <c r="I62" s="252"/>
      <c r="J62" s="252"/>
      <c r="K62" s="252"/>
      <c r="L62" s="252"/>
      <c r="M62" s="252"/>
      <c r="N62" s="252"/>
      <c r="O62" s="252"/>
      <c r="P62" s="252"/>
      <c r="Q62" s="250"/>
      <c r="R62" s="252"/>
      <c r="S62" s="252"/>
      <c r="T62" s="252"/>
      <c r="U62" s="733"/>
      <c r="V62" s="252"/>
      <c r="W62" s="733"/>
      <c r="X62" s="24" t="s">
        <v>2167</v>
      </c>
      <c r="Y62" s="252"/>
      <c r="Z62" s="741"/>
      <c r="AA62" s="57"/>
      <c r="AB62" s="3" t="s">
        <v>2440</v>
      </c>
      <c r="AC62" s="57" t="s">
        <v>2180</v>
      </c>
      <c r="AD62" s="3" t="s">
        <v>2441</v>
      </c>
      <c r="AE62" s="57" t="s">
        <v>1502</v>
      </c>
      <c r="AF62" s="57"/>
      <c r="AG62" s="57"/>
      <c r="AH62" s="57"/>
      <c r="AI62" s="57"/>
      <c r="AJ62" s="57"/>
      <c r="AK62" s="57"/>
      <c r="AL62" s="57"/>
      <c r="AM62" s="57"/>
      <c r="AN62" s="57"/>
      <c r="AO62" s="57"/>
      <c r="AP62" s="57"/>
      <c r="AQ62" s="57"/>
      <c r="AR62" s="57"/>
      <c r="AS62" s="57"/>
      <c r="AT62" s="57"/>
      <c r="AU62" s="57"/>
      <c r="AV62" s="57"/>
      <c r="AW62" s="57"/>
      <c r="AX62" s="57"/>
    </row>
    <row r="63" spans="1:50" ht="15.75" customHeight="1">
      <c r="A63" s="684">
        <v>60</v>
      </c>
      <c r="B63" s="241" t="str">
        <f t="shared" ca="1" si="4"/>
        <v/>
      </c>
      <c r="C63" s="248"/>
      <c r="D63" s="248"/>
      <c r="E63" s="758"/>
      <c r="F63" s="252"/>
      <c r="G63" s="379"/>
      <c r="H63" s="252"/>
      <c r="I63" s="252"/>
      <c r="J63" s="252"/>
      <c r="K63" s="252"/>
      <c r="L63" s="252"/>
      <c r="M63" s="252"/>
      <c r="N63" s="252"/>
      <c r="O63" s="353"/>
      <c r="P63" s="353"/>
      <c r="Q63" s="759"/>
      <c r="R63" s="252"/>
      <c r="S63" s="252"/>
      <c r="T63" s="252"/>
      <c r="U63" s="252"/>
      <c r="V63" s="252"/>
      <c r="W63" s="252"/>
      <c r="X63" s="24" t="s">
        <v>2167</v>
      </c>
      <c r="Y63" s="252"/>
      <c r="Z63" s="34"/>
      <c r="AA63" s="57"/>
      <c r="AB63" s="3" t="s">
        <v>2442</v>
      </c>
      <c r="AC63" s="57" t="s">
        <v>2180</v>
      </c>
      <c r="AD63" s="3" t="s">
        <v>2443</v>
      </c>
      <c r="AE63" s="674"/>
      <c r="AF63" s="57"/>
      <c r="AG63" s="57"/>
      <c r="AH63" s="57"/>
      <c r="AI63" s="57"/>
      <c r="AJ63" s="57"/>
      <c r="AK63" s="57"/>
      <c r="AL63" s="57"/>
      <c r="AM63" s="57"/>
      <c r="AN63" s="57"/>
      <c r="AO63" s="57"/>
      <c r="AP63" s="57"/>
      <c r="AQ63" s="57"/>
      <c r="AR63" s="57"/>
      <c r="AS63" s="57"/>
      <c r="AT63" s="57"/>
      <c r="AU63" s="57"/>
      <c r="AV63" s="57"/>
      <c r="AW63" s="57"/>
      <c r="AX63" s="57"/>
    </row>
    <row r="64" spans="1:50" ht="15.75" customHeight="1">
      <c r="A64" s="684">
        <v>61</v>
      </c>
      <c r="B64" s="241" t="str">
        <f t="shared" ca="1" si="4"/>
        <v/>
      </c>
      <c r="C64" s="248"/>
      <c r="D64" s="248"/>
      <c r="E64" s="34"/>
      <c r="F64" s="252"/>
      <c r="G64" s="379"/>
      <c r="H64" s="252"/>
      <c r="I64" s="252"/>
      <c r="J64" s="252"/>
      <c r="K64" s="252"/>
      <c r="L64" s="252"/>
      <c r="M64" s="252"/>
      <c r="N64" s="252"/>
      <c r="O64" s="252"/>
      <c r="P64" s="252"/>
      <c r="Q64" s="250"/>
      <c r="R64" s="252"/>
      <c r="S64" s="252"/>
      <c r="T64" s="693"/>
      <c r="U64" s="747"/>
      <c r="V64" s="693"/>
      <c r="W64" s="747"/>
      <c r="X64" s="24" t="s">
        <v>2167</v>
      </c>
      <c r="Y64" s="252"/>
      <c r="Z64" s="34"/>
      <c r="AA64" s="57"/>
      <c r="AB64" s="3" t="s">
        <v>2444</v>
      </c>
      <c r="AC64" s="57" t="s">
        <v>2163</v>
      </c>
      <c r="AD64" s="3" t="s">
        <v>2445</v>
      </c>
      <c r="AE64" s="674"/>
      <c r="AF64" s="57"/>
      <c r="AG64" s="57"/>
      <c r="AH64" s="57"/>
      <c r="AI64" s="57"/>
      <c r="AJ64" s="57"/>
      <c r="AK64" s="57"/>
      <c r="AL64" s="57"/>
      <c r="AM64" s="57"/>
      <c r="AN64" s="57"/>
      <c r="AO64" s="57"/>
      <c r="AP64" s="57"/>
      <c r="AQ64" s="57"/>
      <c r="AR64" s="57"/>
      <c r="AS64" s="57"/>
      <c r="AT64" s="57"/>
      <c r="AU64" s="57"/>
      <c r="AV64" s="57"/>
      <c r="AW64" s="57"/>
      <c r="AX64" s="57"/>
    </row>
    <row r="65" spans="1:50" ht="15.75" customHeight="1">
      <c r="A65" s="684">
        <v>62</v>
      </c>
      <c r="B65" s="241" t="str">
        <f t="shared" ca="1" si="4"/>
        <v/>
      </c>
      <c r="C65" s="248"/>
      <c r="D65" s="248"/>
      <c r="E65" s="34"/>
      <c r="F65" s="252"/>
      <c r="G65" s="252"/>
      <c r="H65" s="252"/>
      <c r="I65" s="252"/>
      <c r="J65" s="252"/>
      <c r="K65" s="252"/>
      <c r="L65" s="379"/>
      <c r="M65" s="252"/>
      <c r="N65" s="379"/>
      <c r="O65" s="379"/>
      <c r="P65" s="379"/>
      <c r="Q65" s="250"/>
      <c r="R65" s="252"/>
      <c r="S65" s="252"/>
      <c r="T65" s="227"/>
      <c r="U65" s="757"/>
      <c r="V65" s="252"/>
      <c r="W65" s="733"/>
      <c r="X65" s="24" t="s">
        <v>2167</v>
      </c>
      <c r="Y65" s="252"/>
      <c r="Z65" s="34"/>
      <c r="AA65" s="57"/>
      <c r="AB65" s="3" t="s">
        <v>2446</v>
      </c>
      <c r="AC65" s="57" t="s">
        <v>2180</v>
      </c>
      <c r="AD65" s="3" t="s">
        <v>2447</v>
      </c>
      <c r="AE65" s="674"/>
      <c r="AF65" s="57"/>
      <c r="AG65" s="57"/>
      <c r="AH65" s="57"/>
      <c r="AI65" s="57"/>
      <c r="AJ65" s="57"/>
      <c r="AK65" s="57"/>
      <c r="AL65" s="57"/>
      <c r="AM65" s="57"/>
      <c r="AN65" s="57"/>
      <c r="AO65" s="57"/>
      <c r="AP65" s="57"/>
      <c r="AQ65" s="57"/>
      <c r="AR65" s="57"/>
      <c r="AS65" s="57"/>
      <c r="AT65" s="57"/>
      <c r="AU65" s="57"/>
      <c r="AV65" s="57"/>
      <c r="AW65" s="57"/>
      <c r="AX65" s="57"/>
    </row>
    <row r="66" spans="1:50" ht="15.75" customHeight="1">
      <c r="A66" s="684">
        <v>63</v>
      </c>
      <c r="B66" s="241" t="str">
        <f t="shared" ca="1" si="4"/>
        <v/>
      </c>
      <c r="C66" s="248"/>
      <c r="D66" s="248"/>
      <c r="E66" s="34"/>
      <c r="F66" s="252"/>
      <c r="G66" s="252"/>
      <c r="H66" s="252"/>
      <c r="I66" s="252"/>
      <c r="J66" s="252"/>
      <c r="K66" s="252"/>
      <c r="L66" s="379"/>
      <c r="M66" s="252"/>
      <c r="N66" s="379"/>
      <c r="O66" s="379"/>
      <c r="P66" s="379"/>
      <c r="Q66" s="250"/>
      <c r="R66" s="252"/>
      <c r="S66" s="252"/>
      <c r="T66" s="227"/>
      <c r="U66" s="757"/>
      <c r="V66" s="252"/>
      <c r="W66" s="733"/>
      <c r="X66" s="24" t="s">
        <v>2167</v>
      </c>
      <c r="Y66" s="252"/>
      <c r="Z66" s="34"/>
      <c r="AA66" s="57"/>
      <c r="AB66" s="3" t="s">
        <v>2448</v>
      </c>
      <c r="AC66" s="57" t="s">
        <v>2180</v>
      </c>
      <c r="AD66" s="3" t="s">
        <v>2449</v>
      </c>
      <c r="AE66" s="674"/>
      <c r="AF66" s="57"/>
      <c r="AG66" s="57"/>
      <c r="AH66" s="57"/>
      <c r="AI66" s="57"/>
      <c r="AJ66" s="57"/>
      <c r="AK66" s="57"/>
      <c r="AL66" s="57"/>
      <c r="AM66" s="57"/>
      <c r="AN66" s="57"/>
      <c r="AO66" s="57"/>
      <c r="AP66" s="57"/>
      <c r="AQ66" s="57"/>
      <c r="AR66" s="57"/>
      <c r="AS66" s="57"/>
      <c r="AT66" s="57"/>
      <c r="AU66" s="57"/>
      <c r="AV66" s="57"/>
      <c r="AW66" s="57"/>
      <c r="AX66" s="57"/>
    </row>
    <row r="67" spans="1:50" ht="15.75" customHeight="1">
      <c r="A67" s="684">
        <v>64</v>
      </c>
      <c r="B67" s="241" t="str">
        <f t="shared" ca="1" si="4"/>
        <v/>
      </c>
      <c r="C67" s="248"/>
      <c r="D67" s="248"/>
      <c r="E67" s="250"/>
      <c r="F67" s="252"/>
      <c r="G67" s="252"/>
      <c r="H67" s="252"/>
      <c r="I67" s="252"/>
      <c r="J67" s="252"/>
      <c r="K67" s="252"/>
      <c r="L67" s="252"/>
      <c r="M67" s="252"/>
      <c r="N67" s="252"/>
      <c r="O67" s="252"/>
      <c r="P67" s="252"/>
      <c r="Q67" s="250"/>
      <c r="R67" s="252"/>
      <c r="S67" s="252"/>
      <c r="T67" s="760"/>
      <c r="U67" s="757"/>
      <c r="V67" s="252"/>
      <c r="W67" s="733"/>
      <c r="X67" s="24" t="s">
        <v>2167</v>
      </c>
      <c r="Y67" s="252"/>
      <c r="Z67" s="740"/>
      <c r="AA67" s="57"/>
      <c r="AB67" s="3" t="s">
        <v>2450</v>
      </c>
      <c r="AC67" s="57" t="s">
        <v>2180</v>
      </c>
      <c r="AD67" s="3" t="s">
        <v>2451</v>
      </c>
      <c r="AE67" s="674"/>
      <c r="AF67" s="57"/>
      <c r="AG67" s="57"/>
      <c r="AH67" s="57"/>
      <c r="AI67" s="57"/>
      <c r="AJ67" s="57"/>
      <c r="AK67" s="57"/>
      <c r="AL67" s="57"/>
      <c r="AM67" s="57"/>
      <c r="AN67" s="57"/>
      <c r="AO67" s="57"/>
      <c r="AP67" s="57"/>
      <c r="AQ67" s="57"/>
      <c r="AR67" s="57"/>
      <c r="AS67" s="57"/>
      <c r="AT67" s="57"/>
      <c r="AU67" s="57"/>
      <c r="AV67" s="57"/>
      <c r="AW67" s="57"/>
      <c r="AX67" s="57"/>
    </row>
    <row r="68" spans="1:50" ht="15.75" customHeight="1">
      <c r="A68" s="684">
        <v>65</v>
      </c>
      <c r="B68" s="241" t="str">
        <f t="shared" ca="1" si="4"/>
        <v/>
      </c>
      <c r="C68" s="248"/>
      <c r="D68" s="248"/>
      <c r="E68" s="250"/>
      <c r="F68" s="252"/>
      <c r="G68" s="252"/>
      <c r="H68" s="252"/>
      <c r="I68" s="252"/>
      <c r="J68" s="252"/>
      <c r="K68" s="252"/>
      <c r="L68" s="252"/>
      <c r="M68" s="252"/>
      <c r="N68" s="252"/>
      <c r="O68" s="252"/>
      <c r="P68" s="252"/>
      <c r="Q68" s="250"/>
      <c r="R68" s="252"/>
      <c r="S68" s="252"/>
      <c r="T68" s="761"/>
      <c r="U68" s="753"/>
      <c r="V68" s="252"/>
      <c r="W68" s="733"/>
      <c r="X68" s="24" t="s">
        <v>2167</v>
      </c>
      <c r="Y68" s="252"/>
      <c r="Z68" s="34"/>
      <c r="AA68" s="57"/>
      <c r="AB68" s="3" t="s">
        <v>2452</v>
      </c>
      <c r="AC68" s="57" t="s">
        <v>2163</v>
      </c>
      <c r="AD68" s="3" t="s">
        <v>2453</v>
      </c>
      <c r="AE68" s="674"/>
      <c r="AF68" s="57"/>
      <c r="AG68" s="57"/>
      <c r="AH68" s="57"/>
      <c r="AI68" s="57"/>
      <c r="AJ68" s="57"/>
      <c r="AK68" s="57"/>
      <c r="AL68" s="57"/>
      <c r="AM68" s="57"/>
      <c r="AN68" s="57"/>
      <c r="AO68" s="57"/>
      <c r="AP68" s="57"/>
      <c r="AQ68" s="57"/>
      <c r="AR68" s="57"/>
      <c r="AS68" s="57"/>
      <c r="AT68" s="57"/>
      <c r="AU68" s="57"/>
      <c r="AV68" s="57"/>
      <c r="AW68" s="57"/>
      <c r="AX68" s="57"/>
    </row>
    <row r="69" spans="1:50" ht="15.75" customHeight="1">
      <c r="A69" s="762">
        <v>66</v>
      </c>
      <c r="B69" s="241" t="str">
        <f t="shared" ca="1" si="4"/>
        <v/>
      </c>
      <c r="C69" s="248"/>
      <c r="D69" s="248"/>
      <c r="E69" s="763"/>
      <c r="F69" s="252"/>
      <c r="G69" s="252"/>
      <c r="H69" s="252"/>
      <c r="I69" s="252"/>
      <c r="J69" s="252"/>
      <c r="K69" s="696"/>
      <c r="L69" s="696"/>
      <c r="M69" s="696"/>
      <c r="N69" s="696"/>
      <c r="O69" s="696"/>
      <c r="P69" s="696"/>
      <c r="Q69" s="250"/>
      <c r="R69" s="252"/>
      <c r="S69" s="252"/>
      <c r="T69" s="696"/>
      <c r="U69" s="733"/>
      <c r="V69" s="696"/>
      <c r="W69" s="764"/>
      <c r="X69" s="24" t="s">
        <v>2167</v>
      </c>
      <c r="Y69" s="252"/>
      <c r="Z69" s="213"/>
      <c r="AA69" s="57"/>
      <c r="AB69" s="3" t="s">
        <v>2454</v>
      </c>
      <c r="AC69" s="57" t="s">
        <v>2163</v>
      </c>
      <c r="AD69" s="3" t="s">
        <v>2455</v>
      </c>
      <c r="AE69" s="674"/>
      <c r="AF69" s="57"/>
      <c r="AG69" s="57"/>
      <c r="AH69" s="57"/>
      <c r="AI69" s="57"/>
      <c r="AJ69" s="57"/>
      <c r="AK69" s="57"/>
      <c r="AL69" s="57"/>
      <c r="AM69" s="57"/>
      <c r="AN69" s="57"/>
      <c r="AO69" s="57"/>
      <c r="AP69" s="57"/>
      <c r="AQ69" s="57"/>
      <c r="AR69" s="57"/>
      <c r="AS69" s="57"/>
      <c r="AT69" s="57"/>
      <c r="AU69" s="57"/>
      <c r="AV69" s="57"/>
      <c r="AW69" s="57"/>
      <c r="AX69" s="57"/>
    </row>
    <row r="70" spans="1:50" ht="15.75" customHeight="1">
      <c r="A70" s="762">
        <v>67</v>
      </c>
      <c r="B70" s="241" t="str">
        <f t="shared" ca="1" si="4"/>
        <v/>
      </c>
      <c r="C70" s="248"/>
      <c r="D70" s="248"/>
      <c r="E70" s="34"/>
      <c r="F70" s="252"/>
      <c r="G70" s="252"/>
      <c r="H70" s="252"/>
      <c r="I70" s="252"/>
      <c r="J70" s="252"/>
      <c r="K70" s="252"/>
      <c r="L70" s="252"/>
      <c r="M70" s="252"/>
      <c r="N70" s="252"/>
      <c r="O70" s="252"/>
      <c r="P70" s="252"/>
      <c r="Q70" s="696"/>
      <c r="R70" s="252"/>
      <c r="S70" s="252"/>
      <c r="T70" s="696"/>
      <c r="U70" s="733"/>
      <c r="V70" s="696"/>
      <c r="W70" s="764"/>
      <c r="X70" s="24" t="s">
        <v>2167</v>
      </c>
      <c r="Y70" s="252"/>
      <c r="Z70" s="213"/>
      <c r="AA70" s="57"/>
      <c r="AB70" s="3" t="s">
        <v>2456</v>
      </c>
      <c r="AC70" s="57" t="s">
        <v>2163</v>
      </c>
      <c r="AD70" s="3" t="s">
        <v>2457</v>
      </c>
      <c r="AE70" s="674"/>
      <c r="AF70" s="57"/>
      <c r="AG70" s="57"/>
      <c r="AH70" s="57"/>
      <c r="AI70" s="57"/>
      <c r="AJ70" s="57"/>
      <c r="AK70" s="57"/>
      <c r="AL70" s="57"/>
      <c r="AM70" s="57"/>
      <c r="AN70" s="57"/>
      <c r="AO70" s="57"/>
      <c r="AP70" s="57"/>
      <c r="AQ70" s="57"/>
      <c r="AR70" s="57"/>
      <c r="AS70" s="57"/>
      <c r="AT70" s="57"/>
      <c r="AU70" s="57"/>
      <c r="AV70" s="57"/>
      <c r="AW70" s="57"/>
      <c r="AX70" s="57"/>
    </row>
    <row r="71" spans="1:50" ht="15.75" customHeight="1">
      <c r="A71" s="684">
        <v>69</v>
      </c>
      <c r="B71" s="241" t="str">
        <f t="shared" ca="1" si="4"/>
        <v/>
      </c>
      <c r="C71" s="248"/>
      <c r="D71" s="248"/>
      <c r="E71" s="34"/>
      <c r="F71" s="252"/>
      <c r="G71" s="252"/>
      <c r="H71" s="252"/>
      <c r="I71" s="252"/>
      <c r="J71" s="252"/>
      <c r="K71" s="252"/>
      <c r="L71" s="252"/>
      <c r="M71" s="252"/>
      <c r="N71" s="252"/>
      <c r="O71" s="252"/>
      <c r="P71" s="252"/>
      <c r="Q71" s="765"/>
      <c r="R71" s="252"/>
      <c r="S71" s="252"/>
      <c r="T71" s="696"/>
      <c r="U71" s="757"/>
      <c r="V71" s="696"/>
      <c r="W71" s="764"/>
      <c r="X71" s="24" t="s">
        <v>2167</v>
      </c>
      <c r="Y71" s="252"/>
      <c r="Z71" s="213"/>
      <c r="AA71" s="57"/>
      <c r="AB71" s="3" t="s">
        <v>2458</v>
      </c>
      <c r="AC71" s="57" t="s">
        <v>2163</v>
      </c>
      <c r="AD71" s="3" t="s">
        <v>2459</v>
      </c>
      <c r="AE71" s="674"/>
      <c r="AF71" s="57"/>
      <c r="AG71" s="57"/>
      <c r="AH71" s="57"/>
      <c r="AI71" s="57"/>
      <c r="AJ71" s="57"/>
      <c r="AK71" s="57"/>
      <c r="AL71" s="57"/>
      <c r="AM71" s="57"/>
      <c r="AN71" s="57"/>
      <c r="AO71" s="57"/>
      <c r="AP71" s="57"/>
      <c r="AQ71" s="57"/>
      <c r="AR71" s="57"/>
      <c r="AS71" s="57"/>
      <c r="AT71" s="57"/>
      <c r="AU71" s="57"/>
      <c r="AV71" s="57"/>
      <c r="AW71" s="57"/>
      <c r="AX71" s="57"/>
    </row>
    <row r="72" spans="1:50" ht="15.75" customHeight="1">
      <c r="A72" s="684">
        <v>70</v>
      </c>
      <c r="B72" s="241" t="str">
        <f t="shared" ca="1" si="4"/>
        <v/>
      </c>
      <c r="C72" s="766"/>
      <c r="D72" s="248"/>
      <c r="E72" s="34"/>
      <c r="F72" s="696"/>
      <c r="G72" s="696"/>
      <c r="H72" s="696"/>
      <c r="I72" s="696"/>
      <c r="J72" s="696"/>
      <c r="K72" s="696"/>
      <c r="L72" s="696"/>
      <c r="M72" s="696"/>
      <c r="N72" s="696"/>
      <c r="O72" s="696"/>
      <c r="P72" s="696"/>
      <c r="Q72" s="696"/>
      <c r="R72" s="252"/>
      <c r="S72" s="252"/>
      <c r="T72" s="696"/>
      <c r="U72" s="757"/>
      <c r="V72" s="696"/>
      <c r="W72" s="764"/>
      <c r="X72" s="24" t="s">
        <v>2167</v>
      </c>
      <c r="Y72" s="252"/>
      <c r="Z72" s="213"/>
      <c r="AA72" s="57"/>
      <c r="AB72" s="3" t="s">
        <v>2460</v>
      </c>
      <c r="AC72" s="57" t="s">
        <v>2163</v>
      </c>
      <c r="AD72" s="3" t="s">
        <v>2461</v>
      </c>
      <c r="AE72" s="674"/>
      <c r="AF72" s="57"/>
      <c r="AG72" s="57"/>
      <c r="AH72" s="57"/>
      <c r="AI72" s="57"/>
      <c r="AJ72" s="57"/>
      <c r="AK72" s="57"/>
      <c r="AL72" s="57"/>
      <c r="AM72" s="57"/>
      <c r="AN72" s="57"/>
      <c r="AO72" s="57"/>
      <c r="AP72" s="57"/>
      <c r="AQ72" s="57"/>
      <c r="AR72" s="57"/>
      <c r="AS72" s="57"/>
      <c r="AT72" s="57"/>
      <c r="AU72" s="57"/>
      <c r="AV72" s="57"/>
      <c r="AW72" s="57"/>
      <c r="AX72" s="57"/>
    </row>
    <row r="73" spans="1:50" ht="15.75" customHeight="1">
      <c r="A73" s="684">
        <v>71</v>
      </c>
      <c r="B73" s="241" t="str">
        <f t="shared" ca="1" si="4"/>
        <v/>
      </c>
      <c r="C73" s="766"/>
      <c r="D73" s="248"/>
      <c r="E73" s="34"/>
      <c r="F73" s="696"/>
      <c r="G73" s="696"/>
      <c r="H73" s="696"/>
      <c r="I73" s="696"/>
      <c r="J73" s="696"/>
      <c r="K73" s="696"/>
      <c r="L73" s="696"/>
      <c r="M73" s="696"/>
      <c r="N73" s="696"/>
      <c r="O73" s="696"/>
      <c r="P73" s="696"/>
      <c r="Q73" s="696"/>
      <c r="R73" s="252"/>
      <c r="S73" s="252"/>
      <c r="T73" s="696"/>
      <c r="U73" s="757"/>
      <c r="V73" s="696"/>
      <c r="W73" s="764"/>
      <c r="X73" s="24" t="s">
        <v>2167</v>
      </c>
      <c r="Y73" s="252"/>
      <c r="Z73" s="213"/>
      <c r="AA73" s="57"/>
      <c r="AB73" s="3" t="s">
        <v>2462</v>
      </c>
      <c r="AC73" s="57" t="s">
        <v>2163</v>
      </c>
      <c r="AD73" s="3" t="s">
        <v>2463</v>
      </c>
      <c r="AE73" s="674"/>
      <c r="AF73" s="57"/>
      <c r="AG73" s="57"/>
      <c r="AH73" s="57"/>
      <c r="AI73" s="57"/>
      <c r="AJ73" s="57"/>
      <c r="AK73" s="57"/>
      <c r="AL73" s="57"/>
      <c r="AM73" s="57"/>
      <c r="AN73" s="57"/>
      <c r="AO73" s="57"/>
      <c r="AP73" s="57"/>
      <c r="AQ73" s="57"/>
      <c r="AR73" s="57"/>
      <c r="AS73" s="57"/>
      <c r="AT73" s="57"/>
      <c r="AU73" s="57"/>
      <c r="AV73" s="57"/>
      <c r="AW73" s="57"/>
      <c r="AX73" s="57"/>
    </row>
    <row r="74" spans="1:50" ht="15.75" customHeight="1">
      <c r="A74" s="762">
        <v>72</v>
      </c>
      <c r="B74" s="241" t="str">
        <f t="shared" ca="1" si="4"/>
        <v/>
      </c>
      <c r="C74" s="766"/>
      <c r="D74" s="248"/>
      <c r="E74" s="34"/>
      <c r="F74" s="696"/>
      <c r="G74" s="696"/>
      <c r="H74" s="696"/>
      <c r="I74" s="696"/>
      <c r="J74" s="696"/>
      <c r="K74" s="696"/>
      <c r="L74" s="696"/>
      <c r="M74" s="696"/>
      <c r="N74" s="696"/>
      <c r="O74" s="696"/>
      <c r="P74" s="696"/>
      <c r="Q74" s="696"/>
      <c r="R74" s="696"/>
      <c r="S74" s="696"/>
      <c r="T74" s="696"/>
      <c r="U74" s="753"/>
      <c r="V74" s="696"/>
      <c r="W74" s="696"/>
      <c r="X74" s="24" t="s">
        <v>2167</v>
      </c>
      <c r="Y74" s="252"/>
      <c r="Z74" s="213"/>
      <c r="AA74" s="57"/>
      <c r="AB74" s="3" t="s">
        <v>2464</v>
      </c>
      <c r="AC74" s="57" t="s">
        <v>2163</v>
      </c>
      <c r="AD74" s="3" t="s">
        <v>2465</v>
      </c>
      <c r="AE74" s="674"/>
      <c r="AF74" s="57"/>
      <c r="AG74" s="57"/>
      <c r="AH74" s="57"/>
      <c r="AI74" s="57"/>
      <c r="AJ74" s="57"/>
      <c r="AK74" s="57"/>
      <c r="AL74" s="57"/>
      <c r="AM74" s="57"/>
      <c r="AN74" s="57"/>
      <c r="AO74" s="57"/>
      <c r="AP74" s="57"/>
      <c r="AQ74" s="57"/>
      <c r="AR74" s="57"/>
      <c r="AS74" s="57"/>
      <c r="AT74" s="57"/>
      <c r="AU74" s="57"/>
      <c r="AV74" s="57"/>
      <c r="AW74" s="57"/>
      <c r="AX74" s="57"/>
    </row>
    <row r="75" spans="1:50" ht="15.75" customHeight="1">
      <c r="A75" s="762">
        <v>73</v>
      </c>
      <c r="B75" s="241" t="str">
        <f t="shared" ca="1" si="4"/>
        <v/>
      </c>
      <c r="C75" s="248"/>
      <c r="D75" s="248"/>
      <c r="E75" s="34"/>
      <c r="F75" s="696"/>
      <c r="G75" s="696"/>
      <c r="H75" s="696"/>
      <c r="I75" s="696"/>
      <c r="J75" s="696"/>
      <c r="K75" s="696"/>
      <c r="L75" s="696"/>
      <c r="M75" s="696"/>
      <c r="N75" s="696"/>
      <c r="O75" s="696"/>
      <c r="P75" s="696"/>
      <c r="Q75" s="250"/>
      <c r="R75" s="252"/>
      <c r="S75" s="252"/>
      <c r="T75" s="696"/>
      <c r="U75" s="757"/>
      <c r="V75" s="767"/>
      <c r="W75" s="764"/>
      <c r="X75" s="24" t="s">
        <v>2167</v>
      </c>
      <c r="Y75" s="252"/>
      <c r="Z75" s="213"/>
      <c r="AA75" s="57"/>
      <c r="AB75" s="3" t="s">
        <v>2466</v>
      </c>
      <c r="AC75" s="57" t="s">
        <v>2180</v>
      </c>
      <c r="AD75" s="3" t="s">
        <v>2467</v>
      </c>
      <c r="AE75" s="674"/>
      <c r="AF75" s="57"/>
      <c r="AG75" s="57"/>
      <c r="AH75" s="57"/>
      <c r="AI75" s="57"/>
      <c r="AJ75" s="57"/>
      <c r="AK75" s="57"/>
      <c r="AL75" s="57"/>
      <c r="AM75" s="57"/>
      <c r="AN75" s="57"/>
      <c r="AO75" s="57"/>
      <c r="AP75" s="57"/>
      <c r="AQ75" s="57"/>
      <c r="AR75" s="57"/>
      <c r="AS75" s="57"/>
      <c r="AT75" s="57"/>
      <c r="AU75" s="57"/>
      <c r="AV75" s="57"/>
      <c r="AW75" s="57"/>
      <c r="AX75" s="57"/>
    </row>
    <row r="76" spans="1:50" ht="15.75" customHeight="1">
      <c r="A76" s="762"/>
      <c r="B76" s="696"/>
      <c r="C76" s="696"/>
      <c r="D76" s="248"/>
      <c r="E76" s="34"/>
      <c r="F76" s="696"/>
      <c r="G76" s="34"/>
      <c r="H76" s="696"/>
      <c r="I76" s="34"/>
      <c r="J76" s="696"/>
      <c r="K76" s="696"/>
      <c r="L76" s="696"/>
      <c r="M76" s="696"/>
      <c r="N76" s="696"/>
      <c r="O76" s="696"/>
      <c r="P76" s="696"/>
      <c r="Q76" s="34"/>
      <c r="R76" s="696"/>
      <c r="S76" s="696"/>
      <c r="T76" s="696"/>
      <c r="U76" s="696"/>
      <c r="V76" s="696"/>
      <c r="W76" s="696"/>
      <c r="X76" s="24" t="s">
        <v>2167</v>
      </c>
      <c r="Y76" s="252"/>
      <c r="Z76" s="34"/>
      <c r="AA76" s="57"/>
      <c r="AB76" s="3" t="s">
        <v>2468</v>
      </c>
      <c r="AC76" s="57" t="s">
        <v>2180</v>
      </c>
      <c r="AD76" s="3" t="s">
        <v>2469</v>
      </c>
      <c r="AE76" s="674"/>
      <c r="AF76" s="57"/>
      <c r="AG76" s="57"/>
      <c r="AH76" s="57"/>
      <c r="AI76" s="57"/>
      <c r="AJ76" s="57"/>
      <c r="AK76" s="57"/>
      <c r="AL76" s="57"/>
      <c r="AM76" s="57"/>
      <c r="AN76" s="57"/>
      <c r="AO76" s="57"/>
      <c r="AP76" s="57"/>
      <c r="AQ76" s="57"/>
      <c r="AR76" s="57"/>
      <c r="AS76" s="57"/>
      <c r="AT76" s="57"/>
      <c r="AU76" s="57"/>
      <c r="AV76" s="57"/>
      <c r="AW76" s="57"/>
      <c r="AX76" s="57"/>
    </row>
    <row r="77" spans="1:50" ht="15.75" customHeight="1">
      <c r="A77" s="762"/>
      <c r="B77" s="696"/>
      <c r="C77" s="696"/>
      <c r="D77" s="248"/>
      <c r="E77" s="34"/>
      <c r="F77" s="252"/>
      <c r="G77" s="252"/>
      <c r="H77" s="252"/>
      <c r="I77" s="252"/>
      <c r="J77" s="252"/>
      <c r="K77" s="252"/>
      <c r="L77" s="252"/>
      <c r="M77" s="252"/>
      <c r="N77" s="252"/>
      <c r="O77" s="252"/>
      <c r="P77" s="252"/>
      <c r="Q77" s="250"/>
      <c r="R77" s="252"/>
      <c r="S77" s="252"/>
      <c r="T77" s="693"/>
      <c r="U77" s="360"/>
      <c r="V77" s="252"/>
      <c r="W77" s="360"/>
      <c r="X77" s="24" t="s">
        <v>2167</v>
      </c>
      <c r="Y77" s="252"/>
      <c r="Z77" s="34"/>
      <c r="AA77" s="57"/>
      <c r="AB77" s="3" t="s">
        <v>2470</v>
      </c>
      <c r="AC77" s="57" t="s">
        <v>2180</v>
      </c>
      <c r="AD77" s="3" t="s">
        <v>2471</v>
      </c>
      <c r="AE77" s="674"/>
      <c r="AF77" s="57"/>
      <c r="AG77" s="57"/>
      <c r="AH77" s="57"/>
      <c r="AI77" s="57"/>
      <c r="AJ77" s="57"/>
      <c r="AK77" s="57"/>
      <c r="AL77" s="57"/>
      <c r="AM77" s="57"/>
      <c r="AN77" s="57"/>
      <c r="AO77" s="57"/>
      <c r="AP77" s="57"/>
      <c r="AQ77" s="57"/>
      <c r="AR77" s="57"/>
      <c r="AS77" s="57"/>
      <c r="AT77" s="57"/>
      <c r="AU77" s="57"/>
      <c r="AV77" s="57"/>
      <c r="AW77" s="57"/>
      <c r="AX77" s="57"/>
    </row>
    <row r="78" spans="1:50" ht="15.75" customHeight="1">
      <c r="A78" s="762"/>
      <c r="B78" s="696"/>
      <c r="C78" s="696"/>
      <c r="D78" s="248"/>
      <c r="E78" s="34"/>
      <c r="F78" s="696"/>
      <c r="G78" s="696"/>
      <c r="H78" s="696"/>
      <c r="I78" s="696"/>
      <c r="J78" s="696"/>
      <c r="K78" s="696"/>
      <c r="L78" s="696"/>
      <c r="M78" s="696"/>
      <c r="N78" s="696"/>
      <c r="O78" s="696"/>
      <c r="P78" s="696"/>
      <c r="Q78" s="34"/>
      <c r="R78" s="696"/>
      <c r="S78" s="696"/>
      <c r="T78" s="768"/>
      <c r="U78" s="725"/>
      <c r="V78" s="696"/>
      <c r="W78" s="725"/>
      <c r="X78" s="24" t="s">
        <v>2167</v>
      </c>
      <c r="Y78" s="252"/>
      <c r="Z78" s="34"/>
      <c r="AA78" s="57"/>
      <c r="AB78" s="3" t="s">
        <v>2472</v>
      </c>
      <c r="AC78" s="57" t="s">
        <v>2180</v>
      </c>
      <c r="AD78" s="3" t="s">
        <v>2473</v>
      </c>
      <c r="AE78" s="674"/>
      <c r="AF78" s="57"/>
      <c r="AG78" s="57"/>
      <c r="AH78" s="57"/>
      <c r="AI78" s="57"/>
      <c r="AJ78" s="57"/>
      <c r="AK78" s="57"/>
      <c r="AL78" s="57"/>
      <c r="AM78" s="57"/>
      <c r="AN78" s="57"/>
      <c r="AO78" s="57"/>
      <c r="AP78" s="57"/>
      <c r="AQ78" s="57"/>
      <c r="AR78" s="57"/>
      <c r="AS78" s="57"/>
      <c r="AT78" s="57"/>
      <c r="AU78" s="57"/>
      <c r="AV78" s="57"/>
      <c r="AW78" s="57"/>
      <c r="AX78" s="57"/>
    </row>
    <row r="79" spans="1:50" ht="15.75" customHeight="1">
      <c r="A79" s="762"/>
      <c r="B79" s="696"/>
      <c r="C79" s="696"/>
      <c r="D79" s="248"/>
      <c r="E79" s="257"/>
      <c r="F79" s="252"/>
      <c r="G79" s="379"/>
      <c r="H79" s="252"/>
      <c r="I79" s="252"/>
      <c r="J79" s="252"/>
      <c r="K79" s="252"/>
      <c r="L79" s="252"/>
      <c r="M79" s="252"/>
      <c r="N79" s="252"/>
      <c r="O79" s="252"/>
      <c r="P79" s="252"/>
      <c r="Q79" s="250"/>
      <c r="R79" s="252"/>
      <c r="S79" s="252"/>
      <c r="T79" s="693"/>
      <c r="U79" s="496"/>
      <c r="V79" s="252"/>
      <c r="W79" s="360"/>
      <c r="X79" s="24" t="s">
        <v>2167</v>
      </c>
      <c r="Y79" s="252"/>
      <c r="Z79" s="34"/>
      <c r="AA79" s="57"/>
      <c r="AB79" s="3" t="s">
        <v>2474</v>
      </c>
      <c r="AC79" s="57" t="s">
        <v>2163</v>
      </c>
      <c r="AD79" s="3" t="s">
        <v>2475</v>
      </c>
      <c r="AE79" s="674"/>
      <c r="AF79" s="57"/>
      <c r="AG79" s="57"/>
      <c r="AH79" s="57"/>
      <c r="AI79" s="57"/>
      <c r="AJ79" s="57"/>
      <c r="AK79" s="57"/>
      <c r="AL79" s="57"/>
      <c r="AM79" s="57"/>
      <c r="AN79" s="57"/>
      <c r="AO79" s="57"/>
      <c r="AP79" s="57"/>
      <c r="AQ79" s="57"/>
      <c r="AR79" s="57"/>
      <c r="AS79" s="57"/>
      <c r="AT79" s="57"/>
      <c r="AU79" s="57"/>
      <c r="AV79" s="57"/>
      <c r="AW79" s="57"/>
      <c r="AX79" s="57"/>
    </row>
    <row r="80" spans="1:50" ht="15.75" customHeight="1">
      <c r="A80" s="762"/>
      <c r="B80" s="696"/>
      <c r="C80" s="696"/>
      <c r="D80" s="248"/>
      <c r="E80" s="34"/>
      <c r="F80" s="252"/>
      <c r="G80" s="252"/>
      <c r="H80" s="252"/>
      <c r="I80" s="252"/>
      <c r="J80" s="252"/>
      <c r="K80" s="252"/>
      <c r="L80" s="252"/>
      <c r="M80" s="252"/>
      <c r="N80" s="252"/>
      <c r="O80" s="252"/>
      <c r="P80" s="252"/>
      <c r="Q80" s="250"/>
      <c r="R80" s="252"/>
      <c r="S80" s="252"/>
      <c r="T80" s="737"/>
      <c r="U80" s="360"/>
      <c r="V80" s="252"/>
      <c r="W80" s="360"/>
      <c r="X80" s="24" t="s">
        <v>2167</v>
      </c>
      <c r="Y80" s="252"/>
      <c r="Z80" s="34"/>
      <c r="AA80" s="57"/>
      <c r="AB80" s="3" t="s">
        <v>2476</v>
      </c>
      <c r="AC80" s="57" t="s">
        <v>2163</v>
      </c>
      <c r="AD80" s="3" t="s">
        <v>2477</v>
      </c>
      <c r="AE80" s="674"/>
      <c r="AF80" s="57"/>
      <c r="AG80" s="57"/>
      <c r="AH80" s="57"/>
      <c r="AI80" s="57"/>
      <c r="AJ80" s="57"/>
      <c r="AK80" s="57"/>
      <c r="AL80" s="57"/>
      <c r="AM80" s="57"/>
      <c r="AN80" s="57"/>
      <c r="AO80" s="57"/>
      <c r="AP80" s="57"/>
      <c r="AQ80" s="57"/>
      <c r="AR80" s="57"/>
      <c r="AS80" s="57"/>
      <c r="AT80" s="57"/>
      <c r="AU80" s="57"/>
      <c r="AV80" s="57"/>
      <c r="AW80" s="57"/>
      <c r="AX80" s="57"/>
    </row>
    <row r="81" spans="1:50" ht="15.75" customHeight="1">
      <c r="A81" s="762"/>
      <c r="B81" s="696"/>
      <c r="C81" s="696"/>
      <c r="D81" s="248"/>
      <c r="E81" s="250"/>
      <c r="F81" s="252"/>
      <c r="G81" s="252"/>
      <c r="H81" s="252"/>
      <c r="I81" s="252"/>
      <c r="J81" s="252"/>
      <c r="K81" s="252"/>
      <c r="L81" s="252"/>
      <c r="M81" s="252"/>
      <c r="N81" s="252"/>
      <c r="O81" s="252"/>
      <c r="P81" s="252"/>
      <c r="Q81" s="250"/>
      <c r="R81" s="252"/>
      <c r="S81" s="252"/>
      <c r="T81" s="769"/>
      <c r="U81" s="757"/>
      <c r="V81" s="252"/>
      <c r="W81" s="733"/>
      <c r="X81" s="24" t="s">
        <v>2167</v>
      </c>
      <c r="Y81" s="252"/>
      <c r="Z81" s="34"/>
      <c r="AA81" s="57"/>
      <c r="AB81" s="3" t="s">
        <v>2478</v>
      </c>
      <c r="AC81" s="57" t="s">
        <v>2180</v>
      </c>
      <c r="AD81" s="3" t="s">
        <v>2479</v>
      </c>
      <c r="AE81" s="674"/>
      <c r="AF81" s="57"/>
      <c r="AG81" s="57"/>
      <c r="AH81" s="57"/>
      <c r="AI81" s="57"/>
      <c r="AJ81" s="57"/>
      <c r="AK81" s="57"/>
      <c r="AL81" s="57"/>
      <c r="AM81" s="57"/>
      <c r="AN81" s="57"/>
      <c r="AO81" s="57"/>
      <c r="AP81" s="57"/>
      <c r="AQ81" s="57"/>
      <c r="AR81" s="57"/>
      <c r="AS81" s="57"/>
      <c r="AT81" s="57"/>
      <c r="AU81" s="57"/>
      <c r="AV81" s="57"/>
      <c r="AW81" s="57"/>
      <c r="AX81" s="57"/>
    </row>
    <row r="82" spans="1:50" ht="15.75" customHeight="1">
      <c r="A82" s="762"/>
      <c r="B82" s="696"/>
      <c r="C82" s="696"/>
      <c r="D82" s="248"/>
      <c r="E82" s="763"/>
      <c r="F82" s="252"/>
      <c r="G82" s="252"/>
      <c r="H82" s="252"/>
      <c r="I82" s="252"/>
      <c r="J82" s="252"/>
      <c r="K82" s="696"/>
      <c r="L82" s="696"/>
      <c r="M82" s="696"/>
      <c r="N82" s="696"/>
      <c r="O82" s="696"/>
      <c r="P82" s="696"/>
      <c r="Q82" s="250"/>
      <c r="R82" s="252"/>
      <c r="S82" s="252"/>
      <c r="T82" s="696"/>
      <c r="U82" s="733"/>
      <c r="V82" s="696"/>
      <c r="W82" s="764"/>
      <c r="X82" s="24" t="s">
        <v>2167</v>
      </c>
      <c r="Y82" s="252"/>
      <c r="Z82" s="213"/>
      <c r="AA82" s="57"/>
      <c r="AB82" s="3" t="s">
        <v>2480</v>
      </c>
      <c r="AC82" s="57" t="s">
        <v>2163</v>
      </c>
      <c r="AD82" s="3" t="s">
        <v>2481</v>
      </c>
      <c r="AE82" s="674"/>
      <c r="AF82" s="57"/>
      <c r="AG82" s="57"/>
      <c r="AH82" s="57"/>
      <c r="AI82" s="57"/>
      <c r="AJ82" s="57"/>
      <c r="AK82" s="57"/>
      <c r="AL82" s="57"/>
      <c r="AM82" s="57"/>
      <c r="AN82" s="57"/>
      <c r="AO82" s="57"/>
      <c r="AP82" s="57"/>
      <c r="AQ82" s="57"/>
      <c r="AR82" s="57"/>
      <c r="AS82" s="57"/>
      <c r="AT82" s="57"/>
      <c r="AU82" s="57"/>
      <c r="AV82" s="57"/>
      <c r="AW82" s="57"/>
      <c r="AX82" s="57"/>
    </row>
    <row r="83" spans="1:50" ht="15.75" customHeight="1">
      <c r="A83" s="762"/>
      <c r="B83" s="696"/>
      <c r="C83" s="696"/>
      <c r="D83" s="248"/>
      <c r="E83" s="34"/>
      <c r="F83" s="696"/>
      <c r="G83" s="696"/>
      <c r="H83" s="696"/>
      <c r="I83" s="696"/>
      <c r="J83" s="696"/>
      <c r="K83" s="696"/>
      <c r="L83" s="696"/>
      <c r="M83" s="696"/>
      <c r="N83" s="696"/>
      <c r="O83" s="696"/>
      <c r="P83" s="696"/>
      <c r="Q83" s="696"/>
      <c r="R83" s="696"/>
      <c r="S83" s="696"/>
      <c r="T83" s="696"/>
      <c r="U83" s="696"/>
      <c r="V83" s="696"/>
      <c r="W83" s="696"/>
      <c r="X83" s="24" t="s">
        <v>2167</v>
      </c>
      <c r="Y83" s="696"/>
      <c r="Z83" s="34"/>
      <c r="AA83" s="57"/>
      <c r="AB83" s="3" t="s">
        <v>2482</v>
      </c>
      <c r="AC83" s="57" t="s">
        <v>2180</v>
      </c>
      <c r="AD83" s="3" t="s">
        <v>2483</v>
      </c>
      <c r="AE83" s="674"/>
      <c r="AF83" s="57"/>
      <c r="AG83" s="57"/>
      <c r="AH83" s="57"/>
      <c r="AI83" s="57"/>
      <c r="AJ83" s="57"/>
      <c r="AK83" s="57"/>
      <c r="AL83" s="57"/>
      <c r="AM83" s="57"/>
      <c r="AN83" s="57"/>
      <c r="AO83" s="57"/>
      <c r="AP83" s="57"/>
      <c r="AQ83" s="57"/>
      <c r="AR83" s="57"/>
      <c r="AS83" s="57"/>
      <c r="AT83" s="57"/>
      <c r="AU83" s="57"/>
      <c r="AV83" s="57"/>
      <c r="AW83" s="57"/>
      <c r="AX83" s="57"/>
    </row>
    <row r="84" spans="1:50" ht="15.75" customHeight="1">
      <c r="A84" s="762"/>
      <c r="B84" s="696"/>
      <c r="C84" s="696"/>
      <c r="D84" s="696"/>
      <c r="E84" s="34"/>
      <c r="F84" s="696"/>
      <c r="G84" s="696"/>
      <c r="H84" s="696"/>
      <c r="I84" s="696"/>
      <c r="J84" s="696"/>
      <c r="K84" s="696"/>
      <c r="L84" s="696"/>
      <c r="M84" s="696"/>
      <c r="N84" s="696"/>
      <c r="O84" s="696"/>
      <c r="P84" s="696"/>
      <c r="Q84" s="696"/>
      <c r="R84" s="696"/>
      <c r="S84" s="696"/>
      <c r="T84" s="696"/>
      <c r="U84" s="696"/>
      <c r="V84" s="696"/>
      <c r="W84" s="696"/>
      <c r="X84" s="24" t="s">
        <v>2167</v>
      </c>
      <c r="Y84" s="696"/>
      <c r="Z84" s="34"/>
      <c r="AA84" s="57"/>
      <c r="AB84" s="3" t="s">
        <v>2484</v>
      </c>
      <c r="AC84" s="57" t="s">
        <v>2163</v>
      </c>
      <c r="AD84" s="3" t="s">
        <v>2485</v>
      </c>
      <c r="AE84" s="674"/>
      <c r="AF84" s="57"/>
      <c r="AG84" s="57"/>
      <c r="AH84" s="57"/>
      <c r="AI84" s="57"/>
      <c r="AJ84" s="57"/>
      <c r="AK84" s="57"/>
      <c r="AL84" s="57"/>
      <c r="AM84" s="57"/>
      <c r="AN84" s="57"/>
      <c r="AO84" s="57"/>
      <c r="AP84" s="57"/>
      <c r="AQ84" s="57"/>
      <c r="AR84" s="57"/>
      <c r="AS84" s="57"/>
      <c r="AT84" s="57"/>
      <c r="AU84" s="57"/>
      <c r="AV84" s="57"/>
      <c r="AW84" s="57"/>
      <c r="AX84" s="57"/>
    </row>
    <row r="85" spans="1:50" ht="15.75" customHeight="1">
      <c r="A85" s="762"/>
      <c r="B85" s="696"/>
      <c r="C85" s="696"/>
      <c r="D85" s="696"/>
      <c r="E85" s="34"/>
      <c r="F85" s="696"/>
      <c r="G85" s="696"/>
      <c r="H85" s="696"/>
      <c r="I85" s="696"/>
      <c r="J85" s="696"/>
      <c r="K85" s="696"/>
      <c r="L85" s="696"/>
      <c r="M85" s="696"/>
      <c r="N85" s="696"/>
      <c r="O85" s="696"/>
      <c r="P85" s="696"/>
      <c r="Q85" s="696"/>
      <c r="R85" s="696"/>
      <c r="S85" s="696"/>
      <c r="T85" s="696"/>
      <c r="U85" s="696"/>
      <c r="V85" s="696"/>
      <c r="W85" s="696"/>
      <c r="X85" s="24" t="s">
        <v>2167</v>
      </c>
      <c r="Y85" s="696"/>
      <c r="Z85" s="34"/>
      <c r="AA85" s="57"/>
      <c r="AB85" s="3" t="s">
        <v>2486</v>
      </c>
      <c r="AC85" s="57" t="s">
        <v>2163</v>
      </c>
      <c r="AD85" s="3" t="s">
        <v>2487</v>
      </c>
      <c r="AE85" s="674"/>
      <c r="AF85" s="57"/>
      <c r="AG85" s="57"/>
      <c r="AH85" s="57"/>
      <c r="AI85" s="57"/>
      <c r="AJ85" s="57"/>
      <c r="AK85" s="57"/>
      <c r="AL85" s="57"/>
      <c r="AM85" s="57"/>
      <c r="AN85" s="57"/>
      <c r="AO85" s="57"/>
      <c r="AP85" s="57"/>
      <c r="AQ85" s="57"/>
      <c r="AR85" s="57"/>
      <c r="AS85" s="57"/>
      <c r="AT85" s="57"/>
      <c r="AU85" s="57"/>
      <c r="AV85" s="57"/>
      <c r="AW85" s="57"/>
      <c r="AX85" s="57"/>
    </row>
    <row r="86" spans="1:50" ht="15.75" customHeight="1">
      <c r="A86" s="762"/>
      <c r="B86" s="696"/>
      <c r="C86" s="696"/>
      <c r="D86" s="696"/>
      <c r="E86" s="34"/>
      <c r="F86" s="696"/>
      <c r="G86" s="696"/>
      <c r="H86" s="696"/>
      <c r="I86" s="696"/>
      <c r="J86" s="696"/>
      <c r="K86" s="696"/>
      <c r="L86" s="696"/>
      <c r="M86" s="696"/>
      <c r="N86" s="696"/>
      <c r="O86" s="696"/>
      <c r="P86" s="696"/>
      <c r="Q86" s="696"/>
      <c r="R86" s="696"/>
      <c r="S86" s="696"/>
      <c r="T86" s="696"/>
      <c r="U86" s="696"/>
      <c r="V86" s="696"/>
      <c r="W86" s="696"/>
      <c r="X86" s="24" t="s">
        <v>2167</v>
      </c>
      <c r="Y86" s="696"/>
      <c r="Z86" s="34"/>
      <c r="AA86" s="57"/>
      <c r="AB86" s="3" t="s">
        <v>2246</v>
      </c>
      <c r="AC86" s="57" t="s">
        <v>2163</v>
      </c>
      <c r="AD86" s="3" t="s">
        <v>2247</v>
      </c>
      <c r="AE86" s="674"/>
      <c r="AF86" s="57"/>
      <c r="AG86" s="57"/>
      <c r="AH86" s="57"/>
      <c r="AI86" s="57"/>
      <c r="AJ86" s="57"/>
      <c r="AK86" s="57"/>
      <c r="AL86" s="57"/>
      <c r="AM86" s="57"/>
      <c r="AN86" s="57"/>
      <c r="AO86" s="57"/>
      <c r="AP86" s="57"/>
      <c r="AQ86" s="57"/>
      <c r="AR86" s="57"/>
      <c r="AS86" s="57"/>
      <c r="AT86" s="57"/>
      <c r="AU86" s="57"/>
      <c r="AV86" s="57"/>
      <c r="AW86" s="57"/>
      <c r="AX86" s="57"/>
    </row>
    <row r="87" spans="1:50" ht="15.75" customHeight="1">
      <c r="A87" s="762"/>
      <c r="B87" s="696"/>
      <c r="C87" s="696"/>
      <c r="D87" s="696"/>
      <c r="E87" s="34"/>
      <c r="F87" s="696"/>
      <c r="G87" s="696"/>
      <c r="H87" s="696"/>
      <c r="I87" s="696"/>
      <c r="J87" s="696"/>
      <c r="K87" s="696"/>
      <c r="L87" s="696"/>
      <c r="M87" s="696"/>
      <c r="N87" s="696"/>
      <c r="O87" s="696"/>
      <c r="P87" s="696"/>
      <c r="Q87" s="696"/>
      <c r="R87" s="696"/>
      <c r="S87" s="696"/>
      <c r="T87" s="696"/>
      <c r="U87" s="696"/>
      <c r="V87" s="696"/>
      <c r="W87" s="696"/>
      <c r="X87" s="24" t="s">
        <v>2167</v>
      </c>
      <c r="Y87" s="696"/>
      <c r="Z87" s="34"/>
      <c r="AA87" s="57"/>
      <c r="AB87" s="3" t="s">
        <v>2488</v>
      </c>
      <c r="AC87" s="57" t="s">
        <v>2163</v>
      </c>
      <c r="AD87" s="3" t="s">
        <v>2489</v>
      </c>
      <c r="AE87" s="674"/>
      <c r="AF87" s="57"/>
      <c r="AG87" s="57"/>
      <c r="AH87" s="57"/>
      <c r="AI87" s="57"/>
      <c r="AJ87" s="57"/>
      <c r="AK87" s="57"/>
      <c r="AL87" s="57"/>
      <c r="AM87" s="57"/>
      <c r="AN87" s="57"/>
      <c r="AO87" s="57"/>
      <c r="AP87" s="57"/>
      <c r="AQ87" s="57"/>
      <c r="AR87" s="57"/>
      <c r="AS87" s="57"/>
      <c r="AT87" s="57"/>
      <c r="AU87" s="57"/>
      <c r="AV87" s="57"/>
      <c r="AW87" s="57"/>
      <c r="AX87" s="57"/>
    </row>
    <row r="88" spans="1:50" ht="15.75" customHeight="1">
      <c r="A88" s="762"/>
      <c r="B88" s="696"/>
      <c r="C88" s="696"/>
      <c r="D88" s="696"/>
      <c r="E88" s="34"/>
      <c r="F88" s="696"/>
      <c r="G88" s="696"/>
      <c r="H88" s="696"/>
      <c r="I88" s="696"/>
      <c r="J88" s="696"/>
      <c r="K88" s="696"/>
      <c r="L88" s="696"/>
      <c r="M88" s="696"/>
      <c r="N88" s="696"/>
      <c r="O88" s="696"/>
      <c r="P88" s="696"/>
      <c r="Q88" s="696"/>
      <c r="R88" s="696"/>
      <c r="S88" s="696"/>
      <c r="T88" s="696"/>
      <c r="U88" s="696"/>
      <c r="V88" s="696"/>
      <c r="W88" s="696"/>
      <c r="X88" s="24" t="s">
        <v>2167</v>
      </c>
      <c r="Y88" s="696"/>
      <c r="Z88" s="34"/>
      <c r="AA88" s="57"/>
      <c r="AB88" s="3" t="s">
        <v>2490</v>
      </c>
      <c r="AC88" s="57" t="s">
        <v>2163</v>
      </c>
      <c r="AD88" s="3" t="s">
        <v>2491</v>
      </c>
      <c r="AE88" s="674"/>
      <c r="AF88" s="57"/>
      <c r="AG88" s="57"/>
      <c r="AH88" s="57"/>
      <c r="AI88" s="57"/>
      <c r="AJ88" s="57"/>
      <c r="AK88" s="57"/>
      <c r="AL88" s="57"/>
      <c r="AM88" s="57"/>
      <c r="AN88" s="57"/>
      <c r="AO88" s="57"/>
      <c r="AP88" s="57"/>
      <c r="AQ88" s="57"/>
      <c r="AR88" s="57"/>
      <c r="AS88" s="57"/>
      <c r="AT88" s="57"/>
      <c r="AU88" s="57"/>
      <c r="AV88" s="57"/>
      <c r="AW88" s="57"/>
      <c r="AX88" s="57"/>
    </row>
    <row r="89" spans="1:50" ht="15.75" customHeight="1">
      <c r="A89" s="762"/>
      <c r="B89" s="696"/>
      <c r="C89" s="696"/>
      <c r="D89" s="696"/>
      <c r="E89" s="34"/>
      <c r="F89" s="696"/>
      <c r="G89" s="696"/>
      <c r="H89" s="696"/>
      <c r="I89" s="696"/>
      <c r="J89" s="696"/>
      <c r="K89" s="696"/>
      <c r="L89" s="696"/>
      <c r="M89" s="696"/>
      <c r="N89" s="696"/>
      <c r="O89" s="696"/>
      <c r="P89" s="696"/>
      <c r="Q89" s="696"/>
      <c r="R89" s="696"/>
      <c r="S89" s="696"/>
      <c r="T89" s="696"/>
      <c r="U89" s="696"/>
      <c r="V89" s="696"/>
      <c r="W89" s="696"/>
      <c r="X89" s="24" t="s">
        <v>2167</v>
      </c>
      <c r="Y89" s="696"/>
      <c r="Z89" s="34"/>
      <c r="AA89" s="57"/>
      <c r="AB89" s="3" t="s">
        <v>2492</v>
      </c>
      <c r="AC89" s="57" t="s">
        <v>2163</v>
      </c>
      <c r="AD89" s="3" t="s">
        <v>2493</v>
      </c>
      <c r="AE89" s="674"/>
      <c r="AF89" s="57"/>
      <c r="AG89" s="57"/>
      <c r="AH89" s="57"/>
      <c r="AI89" s="57"/>
      <c r="AJ89" s="57"/>
      <c r="AK89" s="57"/>
      <c r="AL89" s="57"/>
      <c r="AM89" s="57"/>
      <c r="AN89" s="57"/>
      <c r="AO89" s="57"/>
      <c r="AP89" s="57"/>
      <c r="AQ89" s="57"/>
      <c r="AR89" s="57"/>
      <c r="AS89" s="57"/>
      <c r="AT89" s="57"/>
      <c r="AU89" s="57"/>
      <c r="AV89" s="57"/>
      <c r="AW89" s="57"/>
      <c r="AX89" s="57"/>
    </row>
    <row r="90" spans="1:50" ht="15.75" customHeight="1">
      <c r="A90" s="762"/>
      <c r="B90" s="696"/>
      <c r="C90" s="696"/>
      <c r="D90" s="696"/>
      <c r="E90" s="34"/>
      <c r="F90" s="696"/>
      <c r="G90" s="696"/>
      <c r="H90" s="696"/>
      <c r="I90" s="696"/>
      <c r="J90" s="696"/>
      <c r="K90" s="696"/>
      <c r="L90" s="696"/>
      <c r="M90" s="696"/>
      <c r="N90" s="696"/>
      <c r="O90" s="696"/>
      <c r="P90" s="696"/>
      <c r="Q90" s="696"/>
      <c r="R90" s="696"/>
      <c r="S90" s="696"/>
      <c r="T90" s="696"/>
      <c r="U90" s="696"/>
      <c r="V90" s="696"/>
      <c r="W90" s="696"/>
      <c r="X90" s="24" t="s">
        <v>2167</v>
      </c>
      <c r="Y90" s="696"/>
      <c r="Z90" s="34"/>
      <c r="AA90" s="57"/>
      <c r="AB90" s="3" t="s">
        <v>2494</v>
      </c>
      <c r="AC90" s="57" t="s">
        <v>2163</v>
      </c>
      <c r="AD90" s="3" t="s">
        <v>2495</v>
      </c>
      <c r="AE90" s="674"/>
      <c r="AF90" s="57"/>
      <c r="AG90" s="57"/>
      <c r="AH90" s="57"/>
      <c r="AI90" s="57"/>
      <c r="AJ90" s="57"/>
      <c r="AK90" s="57"/>
      <c r="AL90" s="57"/>
      <c r="AM90" s="57"/>
      <c r="AN90" s="57"/>
      <c r="AO90" s="57"/>
      <c r="AP90" s="57"/>
      <c r="AQ90" s="57"/>
      <c r="AR90" s="57"/>
      <c r="AS90" s="57"/>
      <c r="AT90" s="57"/>
      <c r="AU90" s="57"/>
      <c r="AV90" s="57"/>
      <c r="AW90" s="57"/>
      <c r="AX90" s="57"/>
    </row>
    <row r="91" spans="1:50" ht="15.75" customHeight="1">
      <c r="A91" s="762"/>
      <c r="B91" s="696"/>
      <c r="C91" s="696"/>
      <c r="D91" s="696"/>
      <c r="E91" s="34"/>
      <c r="F91" s="696"/>
      <c r="G91" s="696"/>
      <c r="H91" s="696"/>
      <c r="I91" s="696"/>
      <c r="J91" s="696"/>
      <c r="K91" s="696"/>
      <c r="L91" s="696"/>
      <c r="M91" s="696"/>
      <c r="N91" s="696"/>
      <c r="O91" s="696"/>
      <c r="P91" s="696"/>
      <c r="Q91" s="696"/>
      <c r="R91" s="696"/>
      <c r="S91" s="696"/>
      <c r="T91" s="696"/>
      <c r="U91" s="696"/>
      <c r="V91" s="696"/>
      <c r="W91" s="696"/>
      <c r="X91" s="24" t="s">
        <v>2167</v>
      </c>
      <c r="Y91" s="696"/>
      <c r="Z91" s="34"/>
      <c r="AA91" s="57"/>
      <c r="AB91" s="3" t="s">
        <v>2496</v>
      </c>
      <c r="AC91" s="57" t="s">
        <v>2163</v>
      </c>
      <c r="AD91" s="3" t="s">
        <v>2497</v>
      </c>
      <c r="AE91" s="674"/>
      <c r="AF91" s="57"/>
      <c r="AG91" s="57"/>
      <c r="AH91" s="57"/>
      <c r="AI91" s="57"/>
      <c r="AJ91" s="57"/>
      <c r="AK91" s="57"/>
      <c r="AL91" s="57"/>
      <c r="AM91" s="57"/>
      <c r="AN91" s="57"/>
      <c r="AO91" s="57"/>
      <c r="AP91" s="57"/>
      <c r="AQ91" s="57"/>
      <c r="AR91" s="57"/>
      <c r="AS91" s="57"/>
      <c r="AT91" s="57"/>
      <c r="AU91" s="57"/>
      <c r="AV91" s="57"/>
      <c r="AW91" s="57"/>
      <c r="AX91" s="57"/>
    </row>
    <row r="92" spans="1:50" ht="15.75" customHeight="1">
      <c r="A92" s="770"/>
      <c r="B92" s="57"/>
      <c r="C92" s="57"/>
      <c r="D92" s="57"/>
      <c r="E92" s="3"/>
      <c r="F92" s="57"/>
      <c r="G92" s="57"/>
      <c r="H92" s="57"/>
      <c r="I92" s="57"/>
      <c r="J92" s="57"/>
      <c r="K92" s="57"/>
      <c r="L92" s="57"/>
      <c r="M92" s="57"/>
      <c r="N92" s="57"/>
      <c r="O92" s="57"/>
      <c r="P92" s="57"/>
      <c r="Q92" s="57"/>
      <c r="R92" s="57"/>
      <c r="S92" s="57"/>
      <c r="T92" s="57"/>
      <c r="U92" s="57"/>
      <c r="V92" s="57"/>
      <c r="W92" s="57"/>
      <c r="X92" s="57"/>
      <c r="Y92" s="57"/>
      <c r="Z92" s="3"/>
      <c r="AA92" s="57"/>
      <c r="AB92" s="3" t="s">
        <v>2498</v>
      </c>
      <c r="AC92" s="674"/>
      <c r="AD92" s="674"/>
      <c r="AE92" s="674"/>
      <c r="AF92" s="57"/>
      <c r="AG92" s="57"/>
      <c r="AH92" s="57"/>
      <c r="AI92" s="57"/>
      <c r="AJ92" s="57"/>
      <c r="AK92" s="57"/>
      <c r="AL92" s="57"/>
      <c r="AM92" s="57"/>
      <c r="AN92" s="57"/>
      <c r="AO92" s="57"/>
      <c r="AP92" s="57"/>
      <c r="AQ92" s="57"/>
      <c r="AR92" s="57"/>
      <c r="AS92" s="57"/>
      <c r="AT92" s="57"/>
      <c r="AU92" s="57"/>
      <c r="AV92" s="57"/>
      <c r="AW92" s="57"/>
      <c r="AX92" s="57"/>
    </row>
    <row r="93" spans="1:50" ht="15.75" customHeight="1">
      <c r="A93" s="770"/>
      <c r="B93" s="57"/>
      <c r="C93" s="57"/>
      <c r="D93" s="57"/>
      <c r="E93" s="3"/>
      <c r="F93" s="57"/>
      <c r="G93" s="57"/>
      <c r="H93" s="57"/>
      <c r="I93" s="57"/>
      <c r="J93" s="57"/>
      <c r="K93" s="57"/>
      <c r="L93" s="57"/>
      <c r="M93" s="57"/>
      <c r="N93" s="57"/>
      <c r="O93" s="57"/>
      <c r="P93" s="57"/>
      <c r="Q93" s="57"/>
      <c r="R93" s="57"/>
      <c r="S93" s="57"/>
      <c r="T93" s="57"/>
      <c r="U93" s="57"/>
      <c r="V93" s="57"/>
      <c r="W93" s="57"/>
      <c r="X93" s="57"/>
      <c r="Y93" s="57"/>
      <c r="Z93" s="3"/>
      <c r="AA93" s="57"/>
      <c r="AB93" s="3" t="s">
        <v>2499</v>
      </c>
      <c r="AC93" s="57" t="s">
        <v>2163</v>
      </c>
      <c r="AD93" s="3" t="s">
        <v>2500</v>
      </c>
      <c r="AE93" s="674"/>
      <c r="AF93" s="57"/>
      <c r="AG93" s="57"/>
      <c r="AH93" s="57"/>
      <c r="AI93" s="57"/>
      <c r="AJ93" s="57"/>
      <c r="AK93" s="57"/>
      <c r="AL93" s="57"/>
      <c r="AM93" s="57"/>
      <c r="AN93" s="57"/>
      <c r="AO93" s="57"/>
      <c r="AP93" s="57"/>
      <c r="AQ93" s="57"/>
      <c r="AR93" s="57"/>
      <c r="AS93" s="57"/>
      <c r="AT93" s="57"/>
      <c r="AU93" s="57"/>
      <c r="AV93" s="57"/>
      <c r="AW93" s="57"/>
      <c r="AX93" s="57"/>
    </row>
    <row r="94" spans="1:50" ht="15.75" customHeight="1">
      <c r="A94" s="770"/>
      <c r="B94" s="57"/>
      <c r="C94" s="57"/>
      <c r="D94" s="57"/>
      <c r="E94" s="3"/>
      <c r="F94" s="57"/>
      <c r="G94" s="57"/>
      <c r="H94" s="57"/>
      <c r="I94" s="57"/>
      <c r="J94" s="57"/>
      <c r="K94" s="57"/>
      <c r="L94" s="57"/>
      <c r="M94" s="57"/>
      <c r="N94" s="57"/>
      <c r="O94" s="57"/>
      <c r="P94" s="57"/>
      <c r="Q94" s="57"/>
      <c r="R94" s="57"/>
      <c r="S94" s="57"/>
      <c r="T94" s="57"/>
      <c r="U94" s="57"/>
      <c r="V94" s="57"/>
      <c r="W94" s="57"/>
      <c r="X94" s="57"/>
      <c r="Y94" s="57"/>
      <c r="Z94" s="3"/>
      <c r="AA94" s="57"/>
      <c r="AB94" s="3" t="s">
        <v>2501</v>
      </c>
      <c r="AC94" s="57" t="s">
        <v>2163</v>
      </c>
      <c r="AD94" s="3" t="s">
        <v>2502</v>
      </c>
      <c r="AE94" s="674"/>
      <c r="AF94" s="57"/>
      <c r="AG94" s="57"/>
      <c r="AH94" s="57"/>
      <c r="AI94" s="57"/>
      <c r="AJ94" s="57"/>
      <c r="AK94" s="57"/>
      <c r="AL94" s="57"/>
      <c r="AM94" s="57"/>
      <c r="AN94" s="57"/>
      <c r="AO94" s="57"/>
      <c r="AP94" s="57"/>
      <c r="AQ94" s="57"/>
      <c r="AR94" s="57"/>
      <c r="AS94" s="57"/>
      <c r="AT94" s="57"/>
      <c r="AU94" s="57"/>
      <c r="AV94" s="57"/>
      <c r="AW94" s="57"/>
      <c r="AX94" s="57"/>
    </row>
    <row r="95" spans="1:50" ht="15.75" customHeight="1">
      <c r="A95" s="770"/>
      <c r="B95" s="57"/>
      <c r="C95" s="57"/>
      <c r="D95" s="57"/>
      <c r="E95" s="3"/>
      <c r="F95" s="57"/>
      <c r="G95" s="57"/>
      <c r="H95" s="57"/>
      <c r="I95" s="57"/>
      <c r="J95" s="57"/>
      <c r="K95" s="57"/>
      <c r="L95" s="57"/>
      <c r="M95" s="57"/>
      <c r="N95" s="57"/>
      <c r="O95" s="57"/>
      <c r="P95" s="57"/>
      <c r="Q95" s="57"/>
      <c r="R95" s="57"/>
      <c r="S95" s="57"/>
      <c r="T95" s="57"/>
      <c r="U95" s="57"/>
      <c r="V95" s="57"/>
      <c r="W95" s="57"/>
      <c r="X95" s="57"/>
      <c r="Y95" s="57"/>
      <c r="Z95" s="3"/>
      <c r="AA95" s="57"/>
      <c r="AB95" s="3" t="s">
        <v>2503</v>
      </c>
      <c r="AC95" s="57" t="s">
        <v>2163</v>
      </c>
      <c r="AD95" s="3" t="s">
        <v>2504</v>
      </c>
      <c r="AE95" s="674"/>
      <c r="AF95" s="57"/>
      <c r="AG95" s="57"/>
      <c r="AH95" s="57"/>
      <c r="AI95" s="57"/>
      <c r="AJ95" s="57"/>
      <c r="AK95" s="57"/>
      <c r="AL95" s="57"/>
      <c r="AM95" s="57"/>
      <c r="AN95" s="57"/>
      <c r="AO95" s="57"/>
      <c r="AP95" s="57"/>
      <c r="AQ95" s="57"/>
      <c r="AR95" s="57"/>
      <c r="AS95" s="57"/>
      <c r="AT95" s="57"/>
      <c r="AU95" s="57"/>
      <c r="AV95" s="57"/>
      <c r="AW95" s="57"/>
      <c r="AX95" s="57"/>
    </row>
    <row r="96" spans="1:50" ht="15.75" customHeight="1">
      <c r="A96" s="770"/>
      <c r="B96" s="57"/>
      <c r="C96" s="57"/>
      <c r="D96" s="57"/>
      <c r="E96" s="3"/>
      <c r="F96" s="57"/>
      <c r="G96" s="57"/>
      <c r="H96" s="57"/>
      <c r="I96" s="57"/>
      <c r="J96" s="57"/>
      <c r="K96" s="57"/>
      <c r="L96" s="57"/>
      <c r="M96" s="57"/>
      <c r="N96" s="57"/>
      <c r="O96" s="57"/>
      <c r="P96" s="57"/>
      <c r="Q96" s="57"/>
      <c r="R96" s="57"/>
      <c r="S96" s="57"/>
      <c r="T96" s="57"/>
      <c r="U96" s="57"/>
      <c r="V96" s="57"/>
      <c r="W96" s="57"/>
      <c r="X96" s="57"/>
      <c r="Y96" s="57"/>
      <c r="Z96" s="3"/>
      <c r="AA96" s="57"/>
      <c r="AB96" s="3" t="s">
        <v>2505</v>
      </c>
      <c r="AC96" s="57" t="s">
        <v>2163</v>
      </c>
      <c r="AD96" s="3" t="s">
        <v>2506</v>
      </c>
      <c r="AE96" s="674"/>
      <c r="AF96" s="57"/>
      <c r="AG96" s="57"/>
      <c r="AH96" s="57"/>
      <c r="AI96" s="57"/>
      <c r="AJ96" s="57"/>
      <c r="AK96" s="57"/>
      <c r="AL96" s="57"/>
      <c r="AM96" s="57"/>
      <c r="AN96" s="57"/>
      <c r="AO96" s="57"/>
      <c r="AP96" s="57"/>
      <c r="AQ96" s="57"/>
      <c r="AR96" s="57"/>
      <c r="AS96" s="57"/>
      <c r="AT96" s="57"/>
      <c r="AU96" s="57"/>
      <c r="AV96" s="57"/>
      <c r="AW96" s="57"/>
      <c r="AX96" s="57"/>
    </row>
    <row r="97" spans="1:50" ht="15.75" customHeight="1">
      <c r="A97" s="770"/>
      <c r="B97" s="57"/>
      <c r="C97" s="57"/>
      <c r="D97" s="57"/>
      <c r="E97" s="3"/>
      <c r="F97" s="57"/>
      <c r="G97" s="57"/>
      <c r="H97" s="57"/>
      <c r="I97" s="57"/>
      <c r="J97" s="57"/>
      <c r="K97" s="57"/>
      <c r="L97" s="57"/>
      <c r="M97" s="57"/>
      <c r="N97" s="57"/>
      <c r="O97" s="57"/>
      <c r="P97" s="57"/>
      <c r="Q97" s="57"/>
      <c r="R97" s="57"/>
      <c r="S97" s="57"/>
      <c r="T97" s="57"/>
      <c r="U97" s="57"/>
      <c r="V97" s="57"/>
      <c r="W97" s="57"/>
      <c r="X97" s="57"/>
      <c r="Y97" s="57"/>
      <c r="Z97" s="3"/>
      <c r="AA97" s="57"/>
      <c r="AB97" s="3" t="s">
        <v>2507</v>
      </c>
      <c r="AC97" s="57" t="s">
        <v>2163</v>
      </c>
      <c r="AD97" s="3" t="s">
        <v>2508</v>
      </c>
      <c r="AE97" s="674"/>
      <c r="AF97" s="57"/>
      <c r="AG97" s="57"/>
      <c r="AH97" s="57"/>
      <c r="AI97" s="57"/>
      <c r="AJ97" s="57"/>
      <c r="AK97" s="57"/>
      <c r="AL97" s="57"/>
      <c r="AM97" s="57"/>
      <c r="AN97" s="57"/>
      <c r="AO97" s="57"/>
      <c r="AP97" s="57"/>
      <c r="AQ97" s="57"/>
      <c r="AR97" s="57"/>
      <c r="AS97" s="57"/>
      <c r="AT97" s="57"/>
      <c r="AU97" s="57"/>
      <c r="AV97" s="57"/>
      <c r="AW97" s="57"/>
      <c r="AX97" s="57"/>
    </row>
    <row r="98" spans="1:50" ht="15.75" customHeight="1">
      <c r="A98" s="770"/>
      <c r="B98" s="57"/>
      <c r="C98" s="57"/>
      <c r="D98" s="57"/>
      <c r="E98" s="3"/>
      <c r="F98" s="57"/>
      <c r="G98" s="57"/>
      <c r="H98" s="57"/>
      <c r="I98" s="57"/>
      <c r="J98" s="57"/>
      <c r="K98" s="57"/>
      <c r="L98" s="57"/>
      <c r="M98" s="57"/>
      <c r="N98" s="57"/>
      <c r="O98" s="57"/>
      <c r="P98" s="57"/>
      <c r="Q98" s="57"/>
      <c r="R98" s="57"/>
      <c r="S98" s="57"/>
      <c r="T98" s="57"/>
      <c r="U98" s="57"/>
      <c r="V98" s="57"/>
      <c r="W98" s="57"/>
      <c r="X98" s="57"/>
      <c r="Y98" s="57"/>
      <c r="Z98" s="3"/>
      <c r="AA98" s="57"/>
      <c r="AB98" s="3" t="s">
        <v>2509</v>
      </c>
      <c r="AC98" s="57" t="s">
        <v>2180</v>
      </c>
      <c r="AD98" s="3" t="s">
        <v>2510</v>
      </c>
      <c r="AE98" s="674"/>
      <c r="AF98" s="57"/>
      <c r="AG98" s="57"/>
      <c r="AH98" s="57"/>
      <c r="AI98" s="57"/>
      <c r="AJ98" s="57"/>
      <c r="AK98" s="57"/>
      <c r="AL98" s="57"/>
      <c r="AM98" s="57"/>
      <c r="AN98" s="57"/>
      <c r="AO98" s="57"/>
      <c r="AP98" s="57"/>
      <c r="AQ98" s="57"/>
      <c r="AR98" s="57"/>
      <c r="AS98" s="57"/>
      <c r="AT98" s="57"/>
      <c r="AU98" s="57"/>
      <c r="AV98" s="57"/>
      <c r="AW98" s="57"/>
      <c r="AX98" s="57"/>
    </row>
    <row r="99" spans="1:50" ht="15.75" customHeight="1">
      <c r="A99" s="770"/>
      <c r="B99" s="57"/>
      <c r="C99" s="57"/>
      <c r="D99" s="57"/>
      <c r="E99" s="3"/>
      <c r="F99" s="57"/>
      <c r="G99" s="57"/>
      <c r="H99" s="57"/>
      <c r="I99" s="57"/>
      <c r="J99" s="57"/>
      <c r="K99" s="57"/>
      <c r="L99" s="57"/>
      <c r="M99" s="57"/>
      <c r="N99" s="57"/>
      <c r="O99" s="57"/>
      <c r="P99" s="57"/>
      <c r="Q99" s="57"/>
      <c r="R99" s="57"/>
      <c r="S99" s="57"/>
      <c r="T99" s="57"/>
      <c r="U99" s="57"/>
      <c r="V99" s="57"/>
      <c r="W99" s="57"/>
      <c r="X99" s="57"/>
      <c r="Y99" s="57"/>
      <c r="Z99" s="3"/>
      <c r="AA99" s="57"/>
      <c r="AB99" s="3" t="s">
        <v>2511</v>
      </c>
      <c r="AC99" s="57" t="s">
        <v>2163</v>
      </c>
      <c r="AD99" s="3" t="s">
        <v>2512</v>
      </c>
      <c r="AE99" s="674"/>
      <c r="AF99" s="57"/>
      <c r="AG99" s="57"/>
      <c r="AH99" s="57"/>
      <c r="AI99" s="57"/>
      <c r="AJ99" s="57"/>
      <c r="AK99" s="57"/>
      <c r="AL99" s="57"/>
      <c r="AM99" s="57"/>
      <c r="AN99" s="57"/>
      <c r="AO99" s="57"/>
      <c r="AP99" s="57"/>
      <c r="AQ99" s="57"/>
      <c r="AR99" s="57"/>
      <c r="AS99" s="57"/>
      <c r="AT99" s="57"/>
      <c r="AU99" s="57"/>
      <c r="AV99" s="57"/>
      <c r="AW99" s="57"/>
      <c r="AX99" s="57"/>
    </row>
    <row r="100" spans="1:50" ht="15.75" customHeight="1">
      <c r="A100" s="770"/>
      <c r="B100" s="57"/>
      <c r="C100" s="57"/>
      <c r="D100" s="57"/>
      <c r="E100" s="3"/>
      <c r="F100" s="57"/>
      <c r="G100" s="57"/>
      <c r="H100" s="57"/>
      <c r="I100" s="57"/>
      <c r="J100" s="57"/>
      <c r="K100" s="57"/>
      <c r="L100" s="57"/>
      <c r="M100" s="57"/>
      <c r="N100" s="57"/>
      <c r="O100" s="57"/>
      <c r="P100" s="57"/>
      <c r="Q100" s="57"/>
      <c r="R100" s="57"/>
      <c r="S100" s="57"/>
      <c r="T100" s="57"/>
      <c r="U100" s="57"/>
      <c r="V100" s="57"/>
      <c r="W100" s="57"/>
      <c r="X100" s="57"/>
      <c r="Y100" s="57"/>
      <c r="Z100" s="3"/>
      <c r="AA100" s="57"/>
      <c r="AB100" s="3" t="s">
        <v>2513</v>
      </c>
      <c r="AC100" s="57" t="s">
        <v>2163</v>
      </c>
      <c r="AD100" s="3" t="s">
        <v>2514</v>
      </c>
      <c r="AE100" s="674"/>
      <c r="AF100" s="57"/>
      <c r="AG100" s="57"/>
      <c r="AH100" s="57"/>
      <c r="AI100" s="57"/>
      <c r="AJ100" s="57"/>
      <c r="AK100" s="57"/>
      <c r="AL100" s="57"/>
      <c r="AM100" s="57"/>
      <c r="AN100" s="57"/>
      <c r="AO100" s="57"/>
      <c r="AP100" s="57"/>
      <c r="AQ100" s="57"/>
      <c r="AR100" s="57"/>
      <c r="AS100" s="57"/>
      <c r="AT100" s="57"/>
      <c r="AU100" s="57"/>
      <c r="AV100" s="57"/>
      <c r="AW100" s="57"/>
      <c r="AX100" s="57"/>
    </row>
    <row r="101" spans="1:50" ht="15.75" customHeight="1">
      <c r="A101" s="770"/>
      <c r="B101" s="57"/>
      <c r="C101" s="57"/>
      <c r="D101" s="57"/>
      <c r="E101" s="3"/>
      <c r="F101" s="57"/>
      <c r="G101" s="57"/>
      <c r="H101" s="57"/>
      <c r="I101" s="57"/>
      <c r="J101" s="57"/>
      <c r="K101" s="57"/>
      <c r="L101" s="57"/>
      <c r="M101" s="57"/>
      <c r="N101" s="57"/>
      <c r="O101" s="57"/>
      <c r="P101" s="57"/>
      <c r="Q101" s="57"/>
      <c r="R101" s="57"/>
      <c r="S101" s="57"/>
      <c r="T101" s="57"/>
      <c r="U101" s="57"/>
      <c r="V101" s="57"/>
      <c r="W101" s="57"/>
      <c r="X101" s="57"/>
      <c r="Y101" s="57"/>
      <c r="Z101" s="3"/>
      <c r="AA101" s="57"/>
      <c r="AB101" s="3" t="s">
        <v>2515</v>
      </c>
      <c r="AC101" s="57" t="s">
        <v>2163</v>
      </c>
      <c r="AD101" s="3" t="s">
        <v>2516</v>
      </c>
      <c r="AE101" s="674"/>
      <c r="AF101" s="57"/>
      <c r="AG101" s="57"/>
      <c r="AH101" s="57"/>
      <c r="AI101" s="57"/>
      <c r="AJ101" s="57"/>
      <c r="AK101" s="57"/>
      <c r="AL101" s="57"/>
      <c r="AM101" s="57"/>
      <c r="AN101" s="57"/>
      <c r="AO101" s="57"/>
      <c r="AP101" s="57"/>
      <c r="AQ101" s="57"/>
      <c r="AR101" s="57"/>
      <c r="AS101" s="57"/>
      <c r="AT101" s="57"/>
      <c r="AU101" s="57"/>
      <c r="AV101" s="57"/>
      <c r="AW101" s="57"/>
      <c r="AX101" s="57"/>
    </row>
    <row r="102" spans="1:50" ht="15.75" customHeight="1">
      <c r="A102" s="770"/>
      <c r="B102" s="57"/>
      <c r="C102" s="57"/>
      <c r="D102" s="57"/>
      <c r="E102" s="3"/>
      <c r="F102" s="57"/>
      <c r="G102" s="57"/>
      <c r="H102" s="57"/>
      <c r="I102" s="57"/>
      <c r="J102" s="57"/>
      <c r="K102" s="57"/>
      <c r="L102" s="57"/>
      <c r="M102" s="57"/>
      <c r="N102" s="57"/>
      <c r="O102" s="57"/>
      <c r="P102" s="57"/>
      <c r="Q102" s="57"/>
      <c r="R102" s="57"/>
      <c r="S102" s="57"/>
      <c r="T102" s="57"/>
      <c r="U102" s="57"/>
      <c r="V102" s="57"/>
      <c r="W102" s="57"/>
      <c r="X102" s="57"/>
      <c r="Y102" s="57"/>
      <c r="Z102" s="3"/>
      <c r="AA102" s="57"/>
      <c r="AB102" s="3" t="s">
        <v>2517</v>
      </c>
      <c r="AC102" s="57" t="s">
        <v>2163</v>
      </c>
      <c r="AD102" s="3" t="s">
        <v>2518</v>
      </c>
      <c r="AE102" s="674"/>
      <c r="AF102" s="57"/>
      <c r="AG102" s="57"/>
      <c r="AH102" s="57"/>
      <c r="AI102" s="57"/>
      <c r="AJ102" s="57"/>
      <c r="AK102" s="57"/>
      <c r="AL102" s="57"/>
      <c r="AM102" s="57"/>
      <c r="AN102" s="57"/>
      <c r="AO102" s="57"/>
      <c r="AP102" s="57"/>
      <c r="AQ102" s="57"/>
      <c r="AR102" s="57"/>
      <c r="AS102" s="57"/>
      <c r="AT102" s="57"/>
      <c r="AU102" s="57"/>
      <c r="AV102" s="57"/>
      <c r="AW102" s="57"/>
      <c r="AX102" s="57"/>
    </row>
    <row r="103" spans="1:50" ht="15.75" customHeight="1">
      <c r="A103" s="770"/>
      <c r="B103" s="57"/>
      <c r="C103" s="57"/>
      <c r="D103" s="57"/>
      <c r="E103" s="3"/>
      <c r="F103" s="57"/>
      <c r="G103" s="57"/>
      <c r="H103" s="57"/>
      <c r="I103" s="57"/>
      <c r="J103" s="57"/>
      <c r="K103" s="57"/>
      <c r="L103" s="57"/>
      <c r="M103" s="57"/>
      <c r="N103" s="57"/>
      <c r="O103" s="57"/>
      <c r="P103" s="57"/>
      <c r="Q103" s="57"/>
      <c r="R103" s="57"/>
      <c r="S103" s="57"/>
      <c r="T103" s="57"/>
      <c r="U103" s="57"/>
      <c r="V103" s="57"/>
      <c r="W103" s="57"/>
      <c r="X103" s="57"/>
      <c r="Y103" s="57"/>
      <c r="Z103" s="3"/>
      <c r="AA103" s="57"/>
      <c r="AB103" s="3" t="s">
        <v>2519</v>
      </c>
      <c r="AC103" s="57" t="s">
        <v>2163</v>
      </c>
      <c r="AD103" s="3" t="s">
        <v>2520</v>
      </c>
      <c r="AE103" s="674"/>
      <c r="AF103" s="57"/>
      <c r="AG103" s="57"/>
      <c r="AH103" s="57"/>
      <c r="AI103" s="57"/>
      <c r="AJ103" s="57"/>
      <c r="AK103" s="57"/>
      <c r="AL103" s="57"/>
      <c r="AM103" s="57"/>
      <c r="AN103" s="57"/>
      <c r="AO103" s="57"/>
      <c r="AP103" s="57"/>
      <c r="AQ103" s="57"/>
      <c r="AR103" s="57"/>
      <c r="AS103" s="57"/>
      <c r="AT103" s="57"/>
      <c r="AU103" s="57"/>
      <c r="AV103" s="57"/>
      <c r="AW103" s="57"/>
      <c r="AX103" s="57"/>
    </row>
    <row r="104" spans="1:50" ht="15.75" customHeight="1">
      <c r="A104" s="770"/>
      <c r="B104" s="57"/>
      <c r="C104" s="57"/>
      <c r="D104" s="57"/>
      <c r="E104" s="3"/>
      <c r="F104" s="57"/>
      <c r="G104" s="57"/>
      <c r="H104" s="57"/>
      <c r="I104" s="57"/>
      <c r="J104" s="57"/>
      <c r="K104" s="57"/>
      <c r="L104" s="57"/>
      <c r="M104" s="57"/>
      <c r="N104" s="57"/>
      <c r="O104" s="57"/>
      <c r="P104" s="57"/>
      <c r="Q104" s="57"/>
      <c r="R104" s="57"/>
      <c r="S104" s="57"/>
      <c r="T104" s="57"/>
      <c r="U104" s="57"/>
      <c r="V104" s="57"/>
      <c r="W104" s="57"/>
      <c r="X104" s="57"/>
      <c r="Y104" s="57"/>
      <c r="Z104" s="3"/>
      <c r="AA104" s="57"/>
      <c r="AB104" s="3" t="s">
        <v>2521</v>
      </c>
      <c r="AC104" s="57" t="s">
        <v>2163</v>
      </c>
      <c r="AD104" s="3" t="s">
        <v>2522</v>
      </c>
      <c r="AE104" s="674"/>
      <c r="AF104" s="57"/>
      <c r="AG104" s="57"/>
      <c r="AH104" s="57"/>
      <c r="AI104" s="57"/>
      <c r="AJ104" s="57"/>
      <c r="AK104" s="57"/>
      <c r="AL104" s="57"/>
      <c r="AM104" s="57"/>
      <c r="AN104" s="57"/>
      <c r="AO104" s="57"/>
      <c r="AP104" s="57"/>
      <c r="AQ104" s="57"/>
      <c r="AR104" s="57"/>
      <c r="AS104" s="57"/>
      <c r="AT104" s="57"/>
      <c r="AU104" s="57"/>
      <c r="AV104" s="57"/>
      <c r="AW104" s="57"/>
      <c r="AX104" s="57"/>
    </row>
    <row r="105" spans="1:50" ht="15.75" customHeight="1">
      <c r="A105" s="770"/>
      <c r="B105" s="57"/>
      <c r="C105" s="57"/>
      <c r="D105" s="57"/>
      <c r="E105" s="3"/>
      <c r="F105" s="57"/>
      <c r="G105" s="57"/>
      <c r="H105" s="57"/>
      <c r="I105" s="57"/>
      <c r="J105" s="57"/>
      <c r="K105" s="57"/>
      <c r="L105" s="57"/>
      <c r="M105" s="57"/>
      <c r="N105" s="57"/>
      <c r="O105" s="57"/>
      <c r="P105" s="57"/>
      <c r="Q105" s="57"/>
      <c r="R105" s="57"/>
      <c r="S105" s="57"/>
      <c r="T105" s="57"/>
      <c r="U105" s="57"/>
      <c r="V105" s="57"/>
      <c r="W105" s="57"/>
      <c r="X105" s="57"/>
      <c r="Y105" s="57"/>
      <c r="Z105" s="3"/>
      <c r="AA105" s="57"/>
      <c r="AB105" s="3" t="s">
        <v>2523</v>
      </c>
      <c r="AC105" s="57" t="s">
        <v>2180</v>
      </c>
      <c r="AD105" s="674"/>
      <c r="AE105" s="674"/>
      <c r="AF105" s="57"/>
      <c r="AG105" s="57"/>
      <c r="AH105" s="57"/>
      <c r="AI105" s="57"/>
      <c r="AJ105" s="57"/>
      <c r="AK105" s="57"/>
      <c r="AL105" s="57"/>
      <c r="AM105" s="57"/>
      <c r="AN105" s="57"/>
      <c r="AO105" s="57"/>
      <c r="AP105" s="57"/>
      <c r="AQ105" s="57"/>
      <c r="AR105" s="57"/>
      <c r="AS105" s="57"/>
      <c r="AT105" s="57"/>
      <c r="AU105" s="57"/>
      <c r="AV105" s="57"/>
      <c r="AW105" s="57"/>
      <c r="AX105" s="57"/>
    </row>
    <row r="106" spans="1:50" ht="15.75" customHeight="1">
      <c r="A106" s="770"/>
      <c r="B106" s="57"/>
      <c r="C106" s="57"/>
      <c r="D106" s="57"/>
      <c r="E106" s="3"/>
      <c r="F106" s="57"/>
      <c r="G106" s="57"/>
      <c r="H106" s="57"/>
      <c r="I106" s="57"/>
      <c r="J106" s="57"/>
      <c r="K106" s="57"/>
      <c r="L106" s="57"/>
      <c r="M106" s="57"/>
      <c r="N106" s="57"/>
      <c r="O106" s="57"/>
      <c r="P106" s="57"/>
      <c r="Q106" s="57"/>
      <c r="R106" s="57"/>
      <c r="S106" s="57"/>
      <c r="T106" s="57"/>
      <c r="U106" s="57"/>
      <c r="V106" s="57"/>
      <c r="W106" s="57"/>
      <c r="X106" s="57"/>
      <c r="Y106" s="57"/>
      <c r="Z106" s="3"/>
      <c r="AA106" s="57"/>
      <c r="AB106" s="3" t="s">
        <v>2524</v>
      </c>
      <c r="AC106" s="57" t="s">
        <v>2163</v>
      </c>
      <c r="AD106" s="3" t="s">
        <v>2525</v>
      </c>
      <c r="AE106" s="674"/>
      <c r="AF106" s="57"/>
      <c r="AG106" s="57"/>
      <c r="AH106" s="57"/>
      <c r="AI106" s="57"/>
      <c r="AJ106" s="57"/>
      <c r="AK106" s="57"/>
      <c r="AL106" s="57"/>
      <c r="AM106" s="57"/>
      <c r="AN106" s="57"/>
      <c r="AO106" s="57"/>
      <c r="AP106" s="57"/>
      <c r="AQ106" s="57"/>
      <c r="AR106" s="57"/>
      <c r="AS106" s="57"/>
      <c r="AT106" s="57"/>
      <c r="AU106" s="57"/>
      <c r="AV106" s="57"/>
      <c r="AW106" s="57"/>
      <c r="AX106" s="57"/>
    </row>
    <row r="107" spans="1:50" ht="15.75" customHeight="1">
      <c r="A107" s="770"/>
      <c r="B107" s="57"/>
      <c r="C107" s="57"/>
      <c r="D107" s="57"/>
      <c r="E107" s="3"/>
      <c r="F107" s="57"/>
      <c r="G107" s="57"/>
      <c r="H107" s="57"/>
      <c r="I107" s="57"/>
      <c r="J107" s="57"/>
      <c r="K107" s="57"/>
      <c r="L107" s="57"/>
      <c r="M107" s="57"/>
      <c r="N107" s="57"/>
      <c r="O107" s="57"/>
      <c r="P107" s="57"/>
      <c r="Q107" s="57"/>
      <c r="R107" s="57"/>
      <c r="S107" s="57"/>
      <c r="T107" s="57"/>
      <c r="U107" s="57"/>
      <c r="V107" s="57"/>
      <c r="W107" s="57"/>
      <c r="X107" s="57"/>
      <c r="Y107" s="57"/>
      <c r="Z107" s="3"/>
      <c r="AA107" s="57"/>
      <c r="AB107" s="3" t="s">
        <v>2526</v>
      </c>
      <c r="AC107" s="57" t="s">
        <v>2180</v>
      </c>
      <c r="AD107" s="3" t="s">
        <v>2527</v>
      </c>
      <c r="AE107" s="674"/>
      <c r="AF107" s="57"/>
      <c r="AG107" s="57"/>
      <c r="AH107" s="57"/>
      <c r="AI107" s="57"/>
      <c r="AJ107" s="57"/>
      <c r="AK107" s="57"/>
      <c r="AL107" s="57"/>
      <c r="AM107" s="57"/>
      <c r="AN107" s="57"/>
      <c r="AO107" s="57"/>
      <c r="AP107" s="57"/>
      <c r="AQ107" s="57"/>
      <c r="AR107" s="57"/>
      <c r="AS107" s="57"/>
      <c r="AT107" s="57"/>
      <c r="AU107" s="57"/>
      <c r="AV107" s="57"/>
      <c r="AW107" s="57"/>
      <c r="AX107" s="57"/>
    </row>
    <row r="108" spans="1:50" ht="15.75" customHeight="1">
      <c r="A108" s="770"/>
      <c r="B108" s="57"/>
      <c r="C108" s="57"/>
      <c r="D108" s="57"/>
      <c r="E108" s="3"/>
      <c r="F108" s="57"/>
      <c r="G108" s="57"/>
      <c r="H108" s="57"/>
      <c r="I108" s="57"/>
      <c r="J108" s="57"/>
      <c r="K108" s="57"/>
      <c r="L108" s="57"/>
      <c r="M108" s="57"/>
      <c r="N108" s="57"/>
      <c r="O108" s="57"/>
      <c r="P108" s="57"/>
      <c r="Q108" s="57"/>
      <c r="R108" s="57"/>
      <c r="S108" s="57"/>
      <c r="T108" s="57"/>
      <c r="U108" s="57"/>
      <c r="V108" s="57"/>
      <c r="W108" s="57"/>
      <c r="X108" s="57"/>
      <c r="Y108" s="57"/>
      <c r="Z108" s="3"/>
      <c r="AA108" s="57"/>
      <c r="AB108" s="3" t="s">
        <v>2528</v>
      </c>
      <c r="AC108" s="57" t="s">
        <v>2163</v>
      </c>
      <c r="AD108" s="3" t="s">
        <v>2529</v>
      </c>
      <c r="AE108" s="674"/>
      <c r="AF108" s="57"/>
      <c r="AG108" s="57"/>
      <c r="AH108" s="57"/>
      <c r="AI108" s="57"/>
      <c r="AJ108" s="57"/>
      <c r="AK108" s="57"/>
      <c r="AL108" s="57"/>
      <c r="AM108" s="57"/>
      <c r="AN108" s="57"/>
      <c r="AO108" s="57"/>
      <c r="AP108" s="57"/>
      <c r="AQ108" s="57"/>
      <c r="AR108" s="57"/>
      <c r="AS108" s="57"/>
      <c r="AT108" s="57"/>
      <c r="AU108" s="57"/>
      <c r="AV108" s="57"/>
      <c r="AW108" s="57"/>
      <c r="AX108" s="57"/>
    </row>
    <row r="109" spans="1:50" ht="15.75" customHeight="1">
      <c r="A109" s="770"/>
      <c r="B109" s="57"/>
      <c r="C109" s="57"/>
      <c r="D109" s="57"/>
      <c r="E109" s="3"/>
      <c r="F109" s="57"/>
      <c r="G109" s="57"/>
      <c r="H109" s="57"/>
      <c r="I109" s="57"/>
      <c r="J109" s="57"/>
      <c r="K109" s="57"/>
      <c r="L109" s="57"/>
      <c r="M109" s="57"/>
      <c r="N109" s="57"/>
      <c r="O109" s="57"/>
      <c r="P109" s="57"/>
      <c r="Q109" s="57"/>
      <c r="R109" s="57"/>
      <c r="S109" s="57"/>
      <c r="T109" s="57"/>
      <c r="U109" s="57"/>
      <c r="V109" s="57"/>
      <c r="W109" s="57"/>
      <c r="X109" s="57"/>
      <c r="Y109" s="57"/>
      <c r="Z109" s="3"/>
      <c r="AA109" s="57"/>
      <c r="AB109" s="3" t="s">
        <v>2530</v>
      </c>
      <c r="AC109" s="57" t="s">
        <v>2163</v>
      </c>
      <c r="AD109" s="3" t="s">
        <v>2531</v>
      </c>
      <c r="AE109" s="674"/>
      <c r="AF109" s="57"/>
      <c r="AG109" s="57"/>
      <c r="AH109" s="57"/>
      <c r="AI109" s="57"/>
      <c r="AJ109" s="57"/>
      <c r="AK109" s="57"/>
      <c r="AL109" s="57"/>
      <c r="AM109" s="57"/>
      <c r="AN109" s="57"/>
      <c r="AO109" s="57"/>
      <c r="AP109" s="57"/>
      <c r="AQ109" s="57"/>
      <c r="AR109" s="57"/>
      <c r="AS109" s="57"/>
      <c r="AT109" s="57"/>
      <c r="AU109" s="57"/>
      <c r="AV109" s="57"/>
      <c r="AW109" s="57"/>
      <c r="AX109" s="57"/>
    </row>
    <row r="110" spans="1:50" ht="15.75" customHeight="1">
      <c r="A110" s="770"/>
      <c r="B110" s="57"/>
      <c r="C110" s="57"/>
      <c r="D110" s="57"/>
      <c r="E110" s="3"/>
      <c r="F110" s="57"/>
      <c r="G110" s="57"/>
      <c r="H110" s="57"/>
      <c r="I110" s="57"/>
      <c r="J110" s="57"/>
      <c r="K110" s="57"/>
      <c r="L110" s="57"/>
      <c r="M110" s="57"/>
      <c r="N110" s="57"/>
      <c r="O110" s="57"/>
      <c r="P110" s="57"/>
      <c r="Q110" s="57"/>
      <c r="R110" s="57"/>
      <c r="S110" s="57"/>
      <c r="T110" s="57"/>
      <c r="U110" s="57"/>
      <c r="V110" s="57"/>
      <c r="W110" s="57"/>
      <c r="X110" s="57"/>
      <c r="Y110" s="57"/>
      <c r="Z110" s="3"/>
      <c r="AA110" s="57"/>
      <c r="AB110" s="3" t="s">
        <v>2532</v>
      </c>
      <c r="AC110" s="57" t="s">
        <v>2163</v>
      </c>
      <c r="AD110" s="3" t="s">
        <v>2533</v>
      </c>
      <c r="AE110" s="674"/>
      <c r="AF110" s="57"/>
      <c r="AG110" s="57"/>
      <c r="AH110" s="57"/>
      <c r="AI110" s="57"/>
      <c r="AJ110" s="57"/>
      <c r="AK110" s="57"/>
      <c r="AL110" s="57"/>
      <c r="AM110" s="57"/>
      <c r="AN110" s="57"/>
      <c r="AO110" s="57"/>
      <c r="AP110" s="57"/>
      <c r="AQ110" s="57"/>
      <c r="AR110" s="57"/>
      <c r="AS110" s="57"/>
      <c r="AT110" s="57"/>
      <c r="AU110" s="57"/>
      <c r="AV110" s="57"/>
      <c r="AW110" s="57"/>
      <c r="AX110" s="57"/>
    </row>
    <row r="111" spans="1:50" ht="15.75" customHeight="1">
      <c r="A111" s="770"/>
      <c r="B111" s="57"/>
      <c r="C111" s="57"/>
      <c r="D111" s="57"/>
      <c r="E111" s="3"/>
      <c r="F111" s="57"/>
      <c r="G111" s="57"/>
      <c r="H111" s="57"/>
      <c r="I111" s="57"/>
      <c r="J111" s="57"/>
      <c r="K111" s="57"/>
      <c r="L111" s="57"/>
      <c r="M111" s="57"/>
      <c r="N111" s="57"/>
      <c r="O111" s="57"/>
      <c r="P111" s="57"/>
      <c r="Q111" s="57"/>
      <c r="R111" s="57"/>
      <c r="S111" s="57"/>
      <c r="T111" s="57"/>
      <c r="U111" s="57"/>
      <c r="V111" s="57"/>
      <c r="W111" s="57"/>
      <c r="X111" s="57"/>
      <c r="Y111" s="57"/>
      <c r="Z111" s="3"/>
      <c r="AA111" s="57"/>
      <c r="AB111" s="3" t="s">
        <v>2534</v>
      </c>
      <c r="AC111" s="57" t="s">
        <v>2163</v>
      </c>
      <c r="AD111" s="3" t="s">
        <v>2535</v>
      </c>
      <c r="AE111" s="674"/>
      <c r="AF111" s="57"/>
      <c r="AG111" s="57"/>
      <c r="AH111" s="57"/>
      <c r="AI111" s="57"/>
      <c r="AJ111" s="57"/>
      <c r="AK111" s="57"/>
      <c r="AL111" s="57"/>
      <c r="AM111" s="57"/>
      <c r="AN111" s="57"/>
      <c r="AO111" s="57"/>
      <c r="AP111" s="57"/>
      <c r="AQ111" s="57"/>
      <c r="AR111" s="57"/>
      <c r="AS111" s="57"/>
      <c r="AT111" s="57"/>
      <c r="AU111" s="57"/>
      <c r="AV111" s="57"/>
      <c r="AW111" s="57"/>
      <c r="AX111" s="57"/>
    </row>
    <row r="112" spans="1:50" ht="15.75" customHeight="1">
      <c r="A112" s="770"/>
      <c r="B112" s="57"/>
      <c r="C112" s="57"/>
      <c r="D112" s="57"/>
      <c r="E112" s="3"/>
      <c r="F112" s="57"/>
      <c r="G112" s="57"/>
      <c r="H112" s="57"/>
      <c r="I112" s="57"/>
      <c r="J112" s="57"/>
      <c r="K112" s="57"/>
      <c r="L112" s="57"/>
      <c r="M112" s="57"/>
      <c r="N112" s="57"/>
      <c r="O112" s="57"/>
      <c r="P112" s="57"/>
      <c r="Q112" s="57"/>
      <c r="R112" s="57"/>
      <c r="S112" s="57"/>
      <c r="T112" s="57"/>
      <c r="U112" s="57"/>
      <c r="V112" s="57"/>
      <c r="W112" s="57"/>
      <c r="X112" s="57"/>
      <c r="Y112" s="57"/>
      <c r="Z112" s="3"/>
      <c r="AA112" s="57"/>
      <c r="AB112" s="3" t="s">
        <v>2536</v>
      </c>
      <c r="AC112" s="57" t="s">
        <v>2163</v>
      </c>
      <c r="AD112" s="3" t="s">
        <v>2537</v>
      </c>
      <c r="AE112" s="674"/>
      <c r="AF112" s="57"/>
      <c r="AG112" s="57"/>
      <c r="AH112" s="57"/>
      <c r="AI112" s="57"/>
      <c r="AJ112" s="57"/>
      <c r="AK112" s="57"/>
      <c r="AL112" s="57"/>
      <c r="AM112" s="57"/>
      <c r="AN112" s="57"/>
      <c r="AO112" s="57"/>
      <c r="AP112" s="57"/>
      <c r="AQ112" s="57"/>
      <c r="AR112" s="57"/>
      <c r="AS112" s="57"/>
      <c r="AT112" s="57"/>
      <c r="AU112" s="57"/>
      <c r="AV112" s="57"/>
      <c r="AW112" s="57"/>
      <c r="AX112" s="57"/>
    </row>
    <row r="113" spans="1:50" ht="15.75" customHeight="1">
      <c r="A113" s="770"/>
      <c r="B113" s="57"/>
      <c r="C113" s="57"/>
      <c r="D113" s="57"/>
      <c r="E113" s="3"/>
      <c r="F113" s="57"/>
      <c r="G113" s="57"/>
      <c r="H113" s="57"/>
      <c r="I113" s="57"/>
      <c r="J113" s="57"/>
      <c r="K113" s="57"/>
      <c r="L113" s="57"/>
      <c r="M113" s="57"/>
      <c r="N113" s="57"/>
      <c r="O113" s="57"/>
      <c r="P113" s="57"/>
      <c r="Q113" s="57"/>
      <c r="R113" s="57"/>
      <c r="S113" s="57"/>
      <c r="T113" s="57"/>
      <c r="U113" s="57"/>
      <c r="V113" s="57"/>
      <c r="W113" s="57"/>
      <c r="X113" s="57"/>
      <c r="Y113" s="57"/>
      <c r="Z113" s="3"/>
      <c r="AA113" s="57"/>
      <c r="AB113" s="21" t="s">
        <v>2538</v>
      </c>
      <c r="AC113" s="57" t="s">
        <v>2180</v>
      </c>
      <c r="AD113" s="3" t="s">
        <v>2539</v>
      </c>
      <c r="AE113" s="57" t="s">
        <v>1314</v>
      </c>
      <c r="AF113" s="57"/>
      <c r="AG113" s="57"/>
      <c r="AH113" s="57"/>
      <c r="AI113" s="57"/>
      <c r="AJ113" s="57"/>
      <c r="AK113" s="57"/>
      <c r="AL113" s="57"/>
      <c r="AM113" s="57"/>
      <c r="AN113" s="57"/>
      <c r="AO113" s="57"/>
      <c r="AP113" s="57"/>
      <c r="AQ113" s="57"/>
      <c r="AR113" s="57"/>
      <c r="AS113" s="57"/>
      <c r="AT113" s="57"/>
      <c r="AU113" s="57"/>
      <c r="AV113" s="57"/>
      <c r="AW113" s="57"/>
      <c r="AX113" s="57"/>
    </row>
    <row r="114" spans="1:50" ht="15.75" customHeight="1">
      <c r="A114" s="770"/>
      <c r="B114" s="57"/>
      <c r="C114" s="57"/>
      <c r="D114" s="57"/>
      <c r="E114" s="3"/>
      <c r="F114" s="57"/>
      <c r="G114" s="57"/>
      <c r="H114" s="57"/>
      <c r="I114" s="57"/>
      <c r="J114" s="57"/>
      <c r="K114" s="57"/>
      <c r="L114" s="57"/>
      <c r="M114" s="57"/>
      <c r="N114" s="57"/>
      <c r="O114" s="57"/>
      <c r="P114" s="57"/>
      <c r="Q114" s="57"/>
      <c r="R114" s="57"/>
      <c r="S114" s="57"/>
      <c r="T114" s="57"/>
      <c r="U114" s="57"/>
      <c r="V114" s="57"/>
      <c r="W114" s="57"/>
      <c r="X114" s="57"/>
      <c r="Y114" s="57"/>
      <c r="Z114" s="3"/>
      <c r="AA114" s="57"/>
      <c r="AB114" s="34" t="s">
        <v>2540</v>
      </c>
      <c r="AC114" s="57" t="s">
        <v>2163</v>
      </c>
      <c r="AD114" s="3" t="s">
        <v>2541</v>
      </c>
      <c r="AE114" s="674"/>
      <c r="AF114" s="57"/>
      <c r="AG114" s="57"/>
      <c r="AH114" s="57"/>
      <c r="AI114" s="57"/>
      <c r="AJ114" s="57"/>
      <c r="AK114" s="57"/>
      <c r="AL114" s="57"/>
      <c r="AM114" s="57"/>
      <c r="AN114" s="57"/>
      <c r="AO114" s="57"/>
      <c r="AP114" s="57"/>
      <c r="AQ114" s="57"/>
      <c r="AR114" s="57"/>
      <c r="AS114" s="57"/>
      <c r="AT114" s="57"/>
      <c r="AU114" s="57"/>
      <c r="AV114" s="57"/>
      <c r="AW114" s="57"/>
      <c r="AX114" s="57"/>
    </row>
    <row r="115" spans="1:50" ht="15.75" customHeight="1">
      <c r="A115" s="770"/>
      <c r="B115" s="57"/>
      <c r="C115" s="57"/>
      <c r="D115" s="57"/>
      <c r="E115" s="3"/>
      <c r="F115" s="57"/>
      <c r="G115" s="57"/>
      <c r="H115" s="57"/>
      <c r="I115" s="57"/>
      <c r="J115" s="57"/>
      <c r="K115" s="57"/>
      <c r="L115" s="57"/>
      <c r="M115" s="57"/>
      <c r="N115" s="57"/>
      <c r="O115" s="57"/>
      <c r="P115" s="57"/>
      <c r="Q115" s="57"/>
      <c r="R115" s="57"/>
      <c r="S115" s="57"/>
      <c r="T115" s="57"/>
      <c r="U115" s="57"/>
      <c r="V115" s="57"/>
      <c r="W115" s="57"/>
      <c r="X115" s="57"/>
      <c r="Y115" s="57"/>
      <c r="Z115" s="3"/>
      <c r="AA115" s="57"/>
      <c r="AB115" s="239" t="s">
        <v>2542</v>
      </c>
      <c r="AC115" s="57" t="s">
        <v>2180</v>
      </c>
      <c r="AD115" s="3" t="s">
        <v>2543</v>
      </c>
      <c r="AE115" s="674"/>
      <c r="AF115" s="57"/>
      <c r="AG115" s="57"/>
      <c r="AH115" s="57"/>
      <c r="AI115" s="57"/>
      <c r="AJ115" s="57"/>
      <c r="AK115" s="57"/>
      <c r="AL115" s="57"/>
      <c r="AM115" s="57"/>
      <c r="AN115" s="57"/>
      <c r="AO115" s="57"/>
      <c r="AP115" s="57"/>
      <c r="AQ115" s="57"/>
      <c r="AR115" s="57"/>
      <c r="AS115" s="57"/>
      <c r="AT115" s="57"/>
      <c r="AU115" s="57"/>
      <c r="AV115" s="57"/>
      <c r="AW115" s="57"/>
      <c r="AX115" s="57"/>
    </row>
    <row r="116" spans="1:50" ht="15.75" customHeight="1">
      <c r="A116" s="770"/>
      <c r="B116" s="57"/>
      <c r="C116" s="57"/>
      <c r="D116" s="57"/>
      <c r="E116" s="3"/>
      <c r="F116" s="57"/>
      <c r="G116" s="57"/>
      <c r="H116" s="57"/>
      <c r="I116" s="57"/>
      <c r="J116" s="57"/>
      <c r="K116" s="57"/>
      <c r="L116" s="57"/>
      <c r="M116" s="57"/>
      <c r="N116" s="57"/>
      <c r="O116" s="57"/>
      <c r="P116" s="57"/>
      <c r="Q116" s="57"/>
      <c r="R116" s="57"/>
      <c r="S116" s="57"/>
      <c r="T116" s="57"/>
      <c r="U116" s="57"/>
      <c r="V116" s="57"/>
      <c r="W116" s="57"/>
      <c r="X116" s="57"/>
      <c r="Y116" s="57"/>
      <c r="Z116" s="3"/>
      <c r="AA116" s="57"/>
      <c r="AB116" s="239" t="s">
        <v>2544</v>
      </c>
      <c r="AC116" s="57" t="s">
        <v>2180</v>
      </c>
      <c r="AD116" s="3" t="s">
        <v>2493</v>
      </c>
      <c r="AE116" s="674"/>
      <c r="AF116" s="57"/>
      <c r="AG116" s="57"/>
      <c r="AH116" s="57"/>
      <c r="AI116" s="57"/>
      <c r="AJ116" s="57"/>
      <c r="AK116" s="57"/>
      <c r="AL116" s="57"/>
      <c r="AM116" s="57"/>
      <c r="AN116" s="57"/>
      <c r="AO116" s="57"/>
      <c r="AP116" s="57"/>
      <c r="AQ116" s="57"/>
      <c r="AR116" s="57"/>
      <c r="AS116" s="57"/>
      <c r="AT116" s="57"/>
      <c r="AU116" s="57"/>
      <c r="AV116" s="57"/>
      <c r="AW116" s="57"/>
      <c r="AX116" s="57"/>
    </row>
    <row r="117" spans="1:50" ht="15.75" customHeight="1">
      <c r="A117" s="770"/>
      <c r="B117" s="57"/>
      <c r="C117" s="57"/>
      <c r="D117" s="57"/>
      <c r="E117" s="3"/>
      <c r="F117" s="57"/>
      <c r="G117" s="57"/>
      <c r="H117" s="57"/>
      <c r="I117" s="57"/>
      <c r="J117" s="57"/>
      <c r="K117" s="57"/>
      <c r="L117" s="57"/>
      <c r="M117" s="57"/>
      <c r="N117" s="57"/>
      <c r="O117" s="57"/>
      <c r="P117" s="57"/>
      <c r="Q117" s="57"/>
      <c r="R117" s="57"/>
      <c r="S117" s="57"/>
      <c r="T117" s="57"/>
      <c r="U117" s="57"/>
      <c r="V117" s="57"/>
      <c r="W117" s="57"/>
      <c r="X117" s="57"/>
      <c r="Y117" s="57"/>
      <c r="Z117" s="3"/>
      <c r="AA117" s="57"/>
      <c r="AB117" s="239" t="s">
        <v>2545</v>
      </c>
      <c r="AC117" s="57" t="s">
        <v>2180</v>
      </c>
      <c r="AD117" s="3" t="s">
        <v>2314</v>
      </c>
      <c r="AE117" s="674"/>
      <c r="AF117" s="57"/>
      <c r="AG117" s="57"/>
      <c r="AH117" s="57"/>
      <c r="AI117" s="57"/>
      <c r="AJ117" s="57"/>
      <c r="AK117" s="57"/>
      <c r="AL117" s="57"/>
      <c r="AM117" s="57"/>
      <c r="AN117" s="57"/>
      <c r="AO117" s="57"/>
      <c r="AP117" s="57"/>
      <c r="AQ117" s="57"/>
      <c r="AR117" s="57"/>
      <c r="AS117" s="57"/>
      <c r="AT117" s="57"/>
      <c r="AU117" s="57"/>
      <c r="AV117" s="57"/>
      <c r="AW117" s="57"/>
      <c r="AX117" s="57"/>
    </row>
    <row r="118" spans="1:50" ht="15.75" customHeight="1">
      <c r="A118" s="770"/>
      <c r="B118" s="57"/>
      <c r="C118" s="57"/>
      <c r="D118" s="57"/>
      <c r="E118" s="3"/>
      <c r="F118" s="57"/>
      <c r="G118" s="57"/>
      <c r="H118" s="57"/>
      <c r="I118" s="57"/>
      <c r="J118" s="57"/>
      <c r="K118" s="57"/>
      <c r="L118" s="57"/>
      <c r="M118" s="57"/>
      <c r="N118" s="57"/>
      <c r="O118" s="57"/>
      <c r="P118" s="57"/>
      <c r="Q118" s="57"/>
      <c r="R118" s="57"/>
      <c r="S118" s="57"/>
      <c r="T118" s="57"/>
      <c r="U118" s="57"/>
      <c r="V118" s="57"/>
      <c r="W118" s="57"/>
      <c r="X118" s="57"/>
      <c r="Y118" s="57"/>
      <c r="Z118" s="3"/>
      <c r="AA118" s="57"/>
      <c r="AB118" s="44" t="s">
        <v>2546</v>
      </c>
      <c r="AC118" s="57" t="s">
        <v>2163</v>
      </c>
      <c r="AD118" s="3" t="s">
        <v>2547</v>
      </c>
      <c r="AE118" s="674"/>
      <c r="AF118" s="57"/>
      <c r="AG118" s="57"/>
      <c r="AH118" s="57"/>
      <c r="AI118" s="57"/>
      <c r="AJ118" s="57"/>
      <c r="AK118" s="57"/>
      <c r="AL118" s="57"/>
      <c r="AM118" s="57"/>
      <c r="AN118" s="57"/>
      <c r="AO118" s="57"/>
      <c r="AP118" s="57"/>
      <c r="AQ118" s="57"/>
      <c r="AR118" s="57"/>
      <c r="AS118" s="57"/>
      <c r="AT118" s="57"/>
      <c r="AU118" s="57"/>
      <c r="AV118" s="57"/>
      <c r="AW118" s="57"/>
      <c r="AX118" s="57"/>
    </row>
    <row r="119" spans="1:50" ht="15.75" customHeight="1">
      <c r="A119" s="770"/>
      <c r="B119" s="57"/>
      <c r="C119" s="57"/>
      <c r="D119" s="57"/>
      <c r="E119" s="3"/>
      <c r="F119" s="57"/>
      <c r="G119" s="57"/>
      <c r="H119" s="57"/>
      <c r="I119" s="57"/>
      <c r="J119" s="57"/>
      <c r="K119" s="57"/>
      <c r="L119" s="57"/>
      <c r="M119" s="57"/>
      <c r="N119" s="57"/>
      <c r="O119" s="57"/>
      <c r="P119" s="57"/>
      <c r="Q119" s="57"/>
      <c r="R119" s="57"/>
      <c r="S119" s="57"/>
      <c r="T119" s="57"/>
      <c r="U119" s="57"/>
      <c r="V119" s="57"/>
      <c r="W119" s="57"/>
      <c r="X119" s="57"/>
      <c r="Y119" s="57"/>
      <c r="Z119" s="3"/>
      <c r="AA119" s="57"/>
      <c r="AB119" s="44" t="s">
        <v>2548</v>
      </c>
      <c r="AC119" s="57" t="s">
        <v>2163</v>
      </c>
      <c r="AD119" s="3" t="s">
        <v>2453</v>
      </c>
      <c r="AE119" s="674"/>
      <c r="AF119" s="57"/>
      <c r="AG119" s="57"/>
      <c r="AH119" s="57"/>
      <c r="AI119" s="57"/>
      <c r="AJ119" s="57"/>
      <c r="AK119" s="57"/>
      <c r="AL119" s="57"/>
      <c r="AM119" s="57"/>
      <c r="AN119" s="57"/>
      <c r="AO119" s="57"/>
      <c r="AP119" s="57"/>
      <c r="AQ119" s="57"/>
      <c r="AR119" s="57"/>
      <c r="AS119" s="57"/>
      <c r="AT119" s="57"/>
      <c r="AU119" s="57"/>
      <c r="AV119" s="57"/>
      <c r="AW119" s="57"/>
      <c r="AX119" s="57"/>
    </row>
    <row r="120" spans="1:50" ht="15.75" customHeight="1">
      <c r="A120" s="770"/>
      <c r="B120" s="57"/>
      <c r="C120" s="57"/>
      <c r="D120" s="57"/>
      <c r="E120" s="3"/>
      <c r="F120" s="57"/>
      <c r="G120" s="57"/>
      <c r="H120" s="57"/>
      <c r="I120" s="57"/>
      <c r="J120" s="57"/>
      <c r="K120" s="57"/>
      <c r="L120" s="57"/>
      <c r="M120" s="57"/>
      <c r="N120" s="57"/>
      <c r="O120" s="57"/>
      <c r="P120" s="57"/>
      <c r="Q120" s="57"/>
      <c r="R120" s="57"/>
      <c r="S120" s="57"/>
      <c r="T120" s="57"/>
      <c r="U120" s="57"/>
      <c r="V120" s="57"/>
      <c r="W120" s="57"/>
      <c r="X120" s="57"/>
      <c r="Y120" s="57"/>
      <c r="Z120" s="3"/>
      <c r="AA120" s="57"/>
      <c r="AB120" s="44" t="s">
        <v>2549</v>
      </c>
      <c r="AC120" s="57" t="s">
        <v>2180</v>
      </c>
      <c r="AD120" s="3" t="s">
        <v>2550</v>
      </c>
      <c r="AE120" s="674"/>
      <c r="AF120" s="57"/>
      <c r="AG120" s="57"/>
      <c r="AH120" s="57"/>
      <c r="AI120" s="57"/>
      <c r="AJ120" s="57"/>
      <c r="AK120" s="57"/>
      <c r="AL120" s="57"/>
      <c r="AM120" s="57"/>
      <c r="AN120" s="57"/>
      <c r="AO120" s="57"/>
      <c r="AP120" s="57"/>
      <c r="AQ120" s="57"/>
      <c r="AR120" s="57"/>
      <c r="AS120" s="57"/>
      <c r="AT120" s="57"/>
      <c r="AU120" s="57"/>
      <c r="AV120" s="57"/>
      <c r="AW120" s="57"/>
      <c r="AX120" s="57"/>
    </row>
    <row r="121" spans="1:50" ht="15.75" customHeight="1">
      <c r="A121" s="770"/>
      <c r="B121" s="57"/>
      <c r="C121" s="57"/>
      <c r="D121" s="57"/>
      <c r="E121" s="3"/>
      <c r="F121" s="57"/>
      <c r="G121" s="57"/>
      <c r="H121" s="57"/>
      <c r="I121" s="57"/>
      <c r="J121" s="57"/>
      <c r="K121" s="57"/>
      <c r="L121" s="57"/>
      <c r="M121" s="57"/>
      <c r="N121" s="57"/>
      <c r="O121" s="57"/>
      <c r="P121" s="57"/>
      <c r="Q121" s="57"/>
      <c r="R121" s="57"/>
      <c r="S121" s="57"/>
      <c r="T121" s="57"/>
      <c r="U121" s="57"/>
      <c r="V121" s="57"/>
      <c r="W121" s="57"/>
      <c r="X121" s="57"/>
      <c r="Y121" s="57"/>
      <c r="Z121" s="3"/>
      <c r="AA121" s="57"/>
      <c r="AB121" s="44" t="s">
        <v>2551</v>
      </c>
      <c r="AC121" s="57" t="s">
        <v>2180</v>
      </c>
      <c r="AD121" s="3" t="s">
        <v>2552</v>
      </c>
      <c r="AE121" s="674"/>
      <c r="AF121" s="57"/>
      <c r="AG121" s="57"/>
      <c r="AH121" s="57"/>
      <c r="AI121" s="57"/>
      <c r="AJ121" s="57"/>
      <c r="AK121" s="57"/>
      <c r="AL121" s="57"/>
      <c r="AM121" s="57"/>
      <c r="AN121" s="57"/>
      <c r="AO121" s="57"/>
      <c r="AP121" s="57"/>
      <c r="AQ121" s="57"/>
      <c r="AR121" s="57"/>
      <c r="AS121" s="57"/>
      <c r="AT121" s="57"/>
      <c r="AU121" s="57"/>
      <c r="AV121" s="57"/>
      <c r="AW121" s="57"/>
      <c r="AX121" s="57"/>
    </row>
    <row r="122" spans="1:50" ht="15.75" customHeight="1">
      <c r="A122" s="770"/>
      <c r="B122" s="57"/>
      <c r="C122" s="57"/>
      <c r="D122" s="57"/>
      <c r="E122" s="3"/>
      <c r="F122" s="57"/>
      <c r="G122" s="57"/>
      <c r="H122" s="57"/>
      <c r="I122" s="57"/>
      <c r="J122" s="57"/>
      <c r="K122" s="57"/>
      <c r="L122" s="57"/>
      <c r="M122" s="57"/>
      <c r="N122" s="57"/>
      <c r="O122" s="57"/>
      <c r="P122" s="57"/>
      <c r="Q122" s="57"/>
      <c r="R122" s="57"/>
      <c r="S122" s="57"/>
      <c r="T122" s="57"/>
      <c r="U122" s="57"/>
      <c r="V122" s="57"/>
      <c r="W122" s="57"/>
      <c r="X122" s="57"/>
      <c r="Y122" s="57"/>
      <c r="Z122" s="3"/>
      <c r="AA122" s="57"/>
      <c r="AB122" s="21" t="s">
        <v>2553</v>
      </c>
      <c r="AC122" s="57" t="s">
        <v>2180</v>
      </c>
      <c r="AD122" s="3" t="s">
        <v>2318</v>
      </c>
      <c r="AE122" s="674"/>
      <c r="AF122" s="57"/>
      <c r="AG122" s="57"/>
      <c r="AH122" s="57"/>
      <c r="AI122" s="57"/>
      <c r="AJ122" s="57"/>
      <c r="AK122" s="57"/>
      <c r="AL122" s="57"/>
      <c r="AM122" s="57"/>
      <c r="AN122" s="57"/>
      <c r="AO122" s="57"/>
      <c r="AP122" s="57"/>
      <c r="AQ122" s="57"/>
      <c r="AR122" s="57"/>
      <c r="AS122" s="57"/>
      <c r="AT122" s="57"/>
      <c r="AU122" s="57"/>
      <c r="AV122" s="57"/>
      <c r="AW122" s="57"/>
      <c r="AX122" s="57"/>
    </row>
    <row r="123" spans="1:50" ht="15.75" customHeight="1">
      <c r="A123" s="770"/>
      <c r="B123" s="57"/>
      <c r="C123" s="57"/>
      <c r="D123" s="57"/>
      <c r="E123" s="3"/>
      <c r="F123" s="57"/>
      <c r="G123" s="57"/>
      <c r="H123" s="57"/>
      <c r="I123" s="57"/>
      <c r="J123" s="57"/>
      <c r="K123" s="57"/>
      <c r="L123" s="57"/>
      <c r="M123" s="57"/>
      <c r="N123" s="57"/>
      <c r="O123" s="57"/>
      <c r="P123" s="57"/>
      <c r="Q123" s="57"/>
      <c r="R123" s="57"/>
      <c r="S123" s="57"/>
      <c r="T123" s="57"/>
      <c r="U123" s="57"/>
      <c r="V123" s="57"/>
      <c r="W123" s="57"/>
      <c r="X123" s="57"/>
      <c r="Y123" s="57"/>
      <c r="Z123" s="3"/>
      <c r="AA123" s="57"/>
      <c r="AB123" s="771" t="s">
        <v>2554</v>
      </c>
      <c r="AC123" s="57" t="s">
        <v>2180</v>
      </c>
      <c r="AD123" s="3" t="s">
        <v>2555</v>
      </c>
      <c r="AE123" s="674"/>
      <c r="AF123" s="57"/>
      <c r="AG123" s="57"/>
      <c r="AH123" s="57"/>
      <c r="AI123" s="57"/>
      <c r="AJ123" s="57"/>
      <c r="AK123" s="57"/>
      <c r="AL123" s="57"/>
      <c r="AM123" s="57"/>
      <c r="AN123" s="57"/>
      <c r="AO123" s="57"/>
      <c r="AP123" s="57"/>
      <c r="AQ123" s="57"/>
      <c r="AR123" s="57"/>
      <c r="AS123" s="57"/>
      <c r="AT123" s="57"/>
      <c r="AU123" s="57"/>
      <c r="AV123" s="57"/>
      <c r="AW123" s="57"/>
      <c r="AX123" s="57"/>
    </row>
    <row r="124" spans="1:50" ht="15.75" customHeight="1">
      <c r="A124" s="770"/>
      <c r="B124" s="57"/>
      <c r="C124" s="57"/>
      <c r="D124" s="57"/>
      <c r="E124" s="3"/>
      <c r="F124" s="57"/>
      <c r="G124" s="57"/>
      <c r="H124" s="57"/>
      <c r="I124" s="57"/>
      <c r="J124" s="57"/>
      <c r="K124" s="57"/>
      <c r="L124" s="57"/>
      <c r="M124" s="57"/>
      <c r="N124" s="57"/>
      <c r="O124" s="57"/>
      <c r="P124" s="57"/>
      <c r="Q124" s="57"/>
      <c r="R124" s="57"/>
      <c r="S124" s="57"/>
      <c r="T124" s="57"/>
      <c r="U124" s="57"/>
      <c r="V124" s="57"/>
      <c r="W124" s="57"/>
      <c r="X124" s="57"/>
      <c r="Y124" s="57"/>
      <c r="Z124" s="3"/>
      <c r="AA124" s="57"/>
      <c r="AB124" s="21" t="s">
        <v>2556</v>
      </c>
      <c r="AC124" s="57" t="s">
        <v>2180</v>
      </c>
      <c r="AD124" s="3" t="s">
        <v>2557</v>
      </c>
      <c r="AE124" s="674"/>
      <c r="AF124" s="57"/>
      <c r="AG124" s="57"/>
      <c r="AH124" s="57"/>
      <c r="AI124" s="57"/>
      <c r="AJ124" s="57"/>
      <c r="AK124" s="57"/>
      <c r="AL124" s="57"/>
      <c r="AM124" s="57"/>
      <c r="AN124" s="57"/>
      <c r="AO124" s="57"/>
      <c r="AP124" s="57"/>
      <c r="AQ124" s="57"/>
      <c r="AR124" s="57"/>
      <c r="AS124" s="57"/>
      <c r="AT124" s="57"/>
      <c r="AU124" s="57"/>
      <c r="AV124" s="57"/>
      <c r="AW124" s="57"/>
      <c r="AX124" s="57"/>
    </row>
    <row r="125" spans="1:50" ht="15.75" customHeight="1">
      <c r="A125" s="770"/>
      <c r="B125" s="57"/>
      <c r="C125" s="57"/>
      <c r="D125" s="57"/>
      <c r="E125" s="3"/>
      <c r="F125" s="57"/>
      <c r="G125" s="57"/>
      <c r="H125" s="57"/>
      <c r="I125" s="57"/>
      <c r="J125" s="57"/>
      <c r="K125" s="57"/>
      <c r="L125" s="57"/>
      <c r="M125" s="57"/>
      <c r="N125" s="57"/>
      <c r="O125" s="57"/>
      <c r="P125" s="57"/>
      <c r="Q125" s="57"/>
      <c r="R125" s="57"/>
      <c r="S125" s="57"/>
      <c r="T125" s="57"/>
      <c r="U125" s="57"/>
      <c r="V125" s="57"/>
      <c r="W125" s="57"/>
      <c r="X125" s="57"/>
      <c r="Y125" s="57"/>
      <c r="Z125" s="3"/>
      <c r="AA125" s="57"/>
      <c r="AB125" s="772" t="s">
        <v>2558</v>
      </c>
      <c r="AC125" s="57" t="s">
        <v>2180</v>
      </c>
      <c r="AD125" s="3" t="s">
        <v>2559</v>
      </c>
      <c r="AE125" s="674"/>
      <c r="AF125" s="57"/>
      <c r="AG125" s="57"/>
      <c r="AH125" s="57"/>
      <c r="AI125" s="57"/>
      <c r="AJ125" s="57"/>
      <c r="AK125" s="57"/>
      <c r="AL125" s="57"/>
      <c r="AM125" s="57"/>
      <c r="AN125" s="57"/>
      <c r="AO125" s="57"/>
      <c r="AP125" s="57"/>
      <c r="AQ125" s="57"/>
      <c r="AR125" s="57"/>
      <c r="AS125" s="57"/>
      <c r="AT125" s="57"/>
      <c r="AU125" s="57"/>
      <c r="AV125" s="57"/>
      <c r="AW125" s="57"/>
      <c r="AX125" s="57"/>
    </row>
    <row r="126" spans="1:50" ht="15.75" customHeight="1">
      <c r="A126" s="770"/>
      <c r="B126" s="57"/>
      <c r="C126" s="57"/>
      <c r="D126" s="57"/>
      <c r="E126" s="3"/>
      <c r="F126" s="57"/>
      <c r="G126" s="57"/>
      <c r="H126" s="57"/>
      <c r="I126" s="57"/>
      <c r="J126" s="57"/>
      <c r="K126" s="57"/>
      <c r="L126" s="57"/>
      <c r="M126" s="57"/>
      <c r="N126" s="57"/>
      <c r="O126" s="57"/>
      <c r="P126" s="57"/>
      <c r="Q126" s="57"/>
      <c r="R126" s="57"/>
      <c r="S126" s="57"/>
      <c r="T126" s="57"/>
      <c r="U126" s="57"/>
      <c r="V126" s="57"/>
      <c r="W126" s="57"/>
      <c r="X126" s="57"/>
      <c r="Y126" s="57"/>
      <c r="Z126" s="3"/>
      <c r="AA126" s="57"/>
      <c r="AB126" s="21" t="s">
        <v>2560</v>
      </c>
      <c r="AC126" s="57" t="s">
        <v>2180</v>
      </c>
      <c r="AD126" s="3" t="s">
        <v>2561</v>
      </c>
      <c r="AE126" s="674"/>
      <c r="AF126" s="57"/>
      <c r="AG126" s="57"/>
      <c r="AH126" s="57"/>
      <c r="AI126" s="57"/>
      <c r="AJ126" s="57"/>
      <c r="AK126" s="57"/>
      <c r="AL126" s="57"/>
      <c r="AM126" s="57"/>
      <c r="AN126" s="57"/>
      <c r="AO126" s="57"/>
      <c r="AP126" s="57"/>
      <c r="AQ126" s="57"/>
      <c r="AR126" s="57"/>
      <c r="AS126" s="57"/>
      <c r="AT126" s="57"/>
      <c r="AU126" s="57"/>
      <c r="AV126" s="57"/>
      <c r="AW126" s="57"/>
      <c r="AX126" s="57"/>
    </row>
    <row r="127" spans="1:50" ht="15.75" customHeight="1">
      <c r="A127" s="770"/>
      <c r="B127" s="57"/>
      <c r="C127" s="57"/>
      <c r="D127" s="57"/>
      <c r="E127" s="3"/>
      <c r="F127" s="57"/>
      <c r="G127" s="57"/>
      <c r="H127" s="57"/>
      <c r="I127" s="57"/>
      <c r="J127" s="57"/>
      <c r="K127" s="57"/>
      <c r="L127" s="57"/>
      <c r="M127" s="57"/>
      <c r="N127" s="57"/>
      <c r="O127" s="57"/>
      <c r="P127" s="57"/>
      <c r="Q127" s="57"/>
      <c r="R127" s="57"/>
      <c r="S127" s="57"/>
      <c r="T127" s="57"/>
      <c r="U127" s="57"/>
      <c r="V127" s="57"/>
      <c r="W127" s="57"/>
      <c r="X127" s="57"/>
      <c r="Y127" s="57"/>
      <c r="Z127" s="3"/>
      <c r="AA127" s="57"/>
      <c r="AB127" s="21" t="s">
        <v>2562</v>
      </c>
      <c r="AC127" s="57" t="s">
        <v>2180</v>
      </c>
      <c r="AD127" s="3" t="s">
        <v>2563</v>
      </c>
      <c r="AE127" s="674"/>
      <c r="AF127" s="57"/>
      <c r="AG127" s="57"/>
      <c r="AH127" s="57"/>
      <c r="AI127" s="57"/>
      <c r="AJ127" s="57"/>
      <c r="AK127" s="57"/>
      <c r="AL127" s="57"/>
      <c r="AM127" s="57"/>
      <c r="AN127" s="57"/>
      <c r="AO127" s="57"/>
      <c r="AP127" s="57"/>
      <c r="AQ127" s="57"/>
      <c r="AR127" s="57"/>
      <c r="AS127" s="57"/>
      <c r="AT127" s="57"/>
      <c r="AU127" s="57"/>
      <c r="AV127" s="57"/>
      <c r="AW127" s="57"/>
      <c r="AX127" s="57"/>
    </row>
    <row r="128" spans="1:50" ht="15.75" customHeight="1">
      <c r="A128" s="770"/>
      <c r="B128" s="57"/>
      <c r="C128" s="57"/>
      <c r="D128" s="57"/>
      <c r="E128" s="3"/>
      <c r="F128" s="57"/>
      <c r="G128" s="57"/>
      <c r="H128" s="57"/>
      <c r="I128" s="57"/>
      <c r="J128" s="57"/>
      <c r="K128" s="57"/>
      <c r="L128" s="57"/>
      <c r="M128" s="57"/>
      <c r="N128" s="57"/>
      <c r="O128" s="57"/>
      <c r="P128" s="57"/>
      <c r="Q128" s="57"/>
      <c r="R128" s="57"/>
      <c r="S128" s="57"/>
      <c r="T128" s="57"/>
      <c r="U128" s="57"/>
      <c r="V128" s="57"/>
      <c r="W128" s="57"/>
      <c r="X128" s="57"/>
      <c r="Y128" s="57"/>
      <c r="Z128" s="3"/>
      <c r="AA128" s="57"/>
      <c r="AB128" s="21" t="s">
        <v>2564</v>
      </c>
      <c r="AC128" s="57" t="s">
        <v>2180</v>
      </c>
      <c r="AD128" s="3" t="s">
        <v>2565</v>
      </c>
      <c r="AE128" s="674"/>
      <c r="AF128" s="57"/>
      <c r="AG128" s="57"/>
      <c r="AH128" s="57"/>
      <c r="AI128" s="57"/>
      <c r="AJ128" s="57"/>
      <c r="AK128" s="57"/>
      <c r="AL128" s="57"/>
      <c r="AM128" s="57"/>
      <c r="AN128" s="57"/>
      <c r="AO128" s="57"/>
      <c r="AP128" s="57"/>
      <c r="AQ128" s="57"/>
      <c r="AR128" s="57"/>
      <c r="AS128" s="57"/>
      <c r="AT128" s="57"/>
      <c r="AU128" s="57"/>
      <c r="AV128" s="57"/>
      <c r="AW128" s="57"/>
      <c r="AX128" s="57"/>
    </row>
    <row r="129" spans="1:50" ht="15.75" customHeight="1">
      <c r="A129" s="770"/>
      <c r="B129" s="57"/>
      <c r="C129" s="57"/>
      <c r="D129" s="57"/>
      <c r="E129" s="3"/>
      <c r="F129" s="57"/>
      <c r="G129" s="57"/>
      <c r="H129" s="57"/>
      <c r="I129" s="57"/>
      <c r="J129" s="57"/>
      <c r="K129" s="57"/>
      <c r="L129" s="57"/>
      <c r="M129" s="57"/>
      <c r="N129" s="57"/>
      <c r="O129" s="57"/>
      <c r="P129" s="57"/>
      <c r="Q129" s="57"/>
      <c r="R129" s="57"/>
      <c r="S129" s="57"/>
      <c r="T129" s="57"/>
      <c r="U129" s="57"/>
      <c r="V129" s="57"/>
      <c r="W129" s="57"/>
      <c r="X129" s="57"/>
      <c r="Y129" s="57"/>
      <c r="Z129" s="3"/>
      <c r="AA129" s="57"/>
      <c r="AB129" s="21" t="s">
        <v>2566</v>
      </c>
      <c r="AC129" s="57" t="s">
        <v>2163</v>
      </c>
      <c r="AD129" s="3" t="s">
        <v>2567</v>
      </c>
      <c r="AE129" s="674"/>
      <c r="AF129" s="57"/>
      <c r="AG129" s="57"/>
      <c r="AH129" s="57"/>
      <c r="AI129" s="57"/>
      <c r="AJ129" s="57"/>
      <c r="AK129" s="57"/>
      <c r="AL129" s="57"/>
      <c r="AM129" s="57"/>
      <c r="AN129" s="57"/>
      <c r="AO129" s="57"/>
      <c r="AP129" s="57"/>
      <c r="AQ129" s="57"/>
      <c r="AR129" s="57"/>
      <c r="AS129" s="57"/>
      <c r="AT129" s="57"/>
      <c r="AU129" s="57"/>
      <c r="AV129" s="57"/>
      <c r="AW129" s="57"/>
      <c r="AX129" s="57"/>
    </row>
    <row r="130" spans="1:50" ht="15.75" customHeight="1">
      <c r="A130" s="770"/>
      <c r="B130" s="57"/>
      <c r="C130" s="57"/>
      <c r="D130" s="57"/>
      <c r="E130" s="3"/>
      <c r="F130" s="57"/>
      <c r="G130" s="57"/>
      <c r="H130" s="57"/>
      <c r="I130" s="57"/>
      <c r="J130" s="57"/>
      <c r="K130" s="57"/>
      <c r="L130" s="57"/>
      <c r="M130" s="57"/>
      <c r="N130" s="57"/>
      <c r="O130" s="57"/>
      <c r="P130" s="57"/>
      <c r="Q130" s="57"/>
      <c r="R130" s="57"/>
      <c r="S130" s="57"/>
      <c r="T130" s="57"/>
      <c r="U130" s="57"/>
      <c r="V130" s="57"/>
      <c r="W130" s="57"/>
      <c r="X130" s="57"/>
      <c r="Y130" s="57"/>
      <c r="Z130" s="3"/>
      <c r="AA130" s="57"/>
      <c r="AB130" s="34" t="s">
        <v>2568</v>
      </c>
      <c r="AC130" s="57" t="s">
        <v>2180</v>
      </c>
      <c r="AD130" s="3" t="s">
        <v>2569</v>
      </c>
      <c r="AE130" s="674"/>
      <c r="AF130" s="57"/>
      <c r="AG130" s="57"/>
      <c r="AH130" s="57"/>
      <c r="AI130" s="57"/>
      <c r="AJ130" s="57"/>
      <c r="AK130" s="57"/>
      <c r="AL130" s="57"/>
      <c r="AM130" s="57"/>
      <c r="AN130" s="57"/>
      <c r="AO130" s="57"/>
      <c r="AP130" s="57"/>
      <c r="AQ130" s="57"/>
      <c r="AR130" s="57"/>
      <c r="AS130" s="57"/>
      <c r="AT130" s="57"/>
      <c r="AU130" s="57"/>
      <c r="AV130" s="57"/>
      <c r="AW130" s="57"/>
      <c r="AX130" s="57"/>
    </row>
    <row r="131" spans="1:50" ht="15.75" customHeight="1">
      <c r="A131" s="770"/>
      <c r="B131" s="57"/>
      <c r="C131" s="57"/>
      <c r="D131" s="57"/>
      <c r="E131" s="3"/>
      <c r="F131" s="57"/>
      <c r="G131" s="57"/>
      <c r="H131" s="57"/>
      <c r="I131" s="57"/>
      <c r="J131" s="57"/>
      <c r="K131" s="57"/>
      <c r="L131" s="57"/>
      <c r="M131" s="57"/>
      <c r="N131" s="57"/>
      <c r="O131" s="57"/>
      <c r="P131" s="57"/>
      <c r="Q131" s="57"/>
      <c r="R131" s="57"/>
      <c r="S131" s="57"/>
      <c r="T131" s="57"/>
      <c r="U131" s="57"/>
      <c r="V131" s="57"/>
      <c r="W131" s="57"/>
      <c r="X131" s="57"/>
      <c r="Y131" s="57"/>
      <c r="Z131" s="3"/>
      <c r="AA131" s="57"/>
      <c r="AB131" s="398" t="s">
        <v>2570</v>
      </c>
      <c r="AC131" s="57" t="s">
        <v>2163</v>
      </c>
      <c r="AD131" s="3" t="s">
        <v>2571</v>
      </c>
      <c r="AE131" s="674"/>
      <c r="AF131" s="57"/>
      <c r="AG131" s="57"/>
      <c r="AH131" s="57"/>
      <c r="AI131" s="57"/>
      <c r="AJ131" s="57"/>
      <c r="AK131" s="57"/>
      <c r="AL131" s="57"/>
      <c r="AM131" s="57"/>
      <c r="AN131" s="57"/>
      <c r="AO131" s="57"/>
      <c r="AP131" s="57"/>
      <c r="AQ131" s="57"/>
      <c r="AR131" s="57"/>
      <c r="AS131" s="57"/>
      <c r="AT131" s="57"/>
      <c r="AU131" s="57"/>
      <c r="AV131" s="57"/>
      <c r="AW131" s="57"/>
      <c r="AX131" s="57"/>
    </row>
    <row r="132" spans="1:50" ht="15.75" customHeight="1">
      <c r="A132" s="770"/>
      <c r="B132" s="57"/>
      <c r="C132" s="57"/>
      <c r="D132" s="57"/>
      <c r="E132" s="3"/>
      <c r="F132" s="57"/>
      <c r="G132" s="57"/>
      <c r="H132" s="57"/>
      <c r="I132" s="57"/>
      <c r="J132" s="57"/>
      <c r="K132" s="57"/>
      <c r="L132" s="57"/>
      <c r="M132" s="57"/>
      <c r="N132" s="57"/>
      <c r="O132" s="57"/>
      <c r="P132" s="57"/>
      <c r="Q132" s="57"/>
      <c r="R132" s="57"/>
      <c r="S132" s="57"/>
      <c r="T132" s="57"/>
      <c r="U132" s="57"/>
      <c r="V132" s="57"/>
      <c r="W132" s="57"/>
      <c r="X132" s="57"/>
      <c r="Y132" s="57"/>
      <c r="Z132" s="3"/>
      <c r="AA132" s="57"/>
      <c r="AB132" s="773" t="s">
        <v>2572</v>
      </c>
      <c r="AC132" s="57" t="s">
        <v>2180</v>
      </c>
      <c r="AD132" s="772" t="s">
        <v>2491</v>
      </c>
      <c r="AE132" s="674"/>
      <c r="AF132" s="57"/>
      <c r="AG132" s="57"/>
      <c r="AH132" s="57"/>
      <c r="AI132" s="57"/>
      <c r="AJ132" s="57"/>
      <c r="AK132" s="57"/>
      <c r="AL132" s="57"/>
      <c r="AM132" s="57"/>
      <c r="AN132" s="57"/>
      <c r="AO132" s="57"/>
      <c r="AP132" s="57"/>
      <c r="AQ132" s="57"/>
      <c r="AR132" s="57"/>
      <c r="AS132" s="57"/>
      <c r="AT132" s="57"/>
      <c r="AU132" s="57"/>
      <c r="AV132" s="57"/>
      <c r="AW132" s="57"/>
      <c r="AX132" s="57"/>
    </row>
    <row r="133" spans="1:50" ht="15.75" customHeight="1">
      <c r="A133" s="770"/>
      <c r="B133" s="57"/>
      <c r="C133" s="57"/>
      <c r="D133" s="57"/>
      <c r="E133" s="3"/>
      <c r="F133" s="57"/>
      <c r="G133" s="57"/>
      <c r="H133" s="57"/>
      <c r="I133" s="57"/>
      <c r="J133" s="57"/>
      <c r="K133" s="57"/>
      <c r="L133" s="57"/>
      <c r="M133" s="57"/>
      <c r="N133" s="57"/>
      <c r="O133" s="57"/>
      <c r="P133" s="57"/>
      <c r="Q133" s="57"/>
      <c r="R133" s="57"/>
      <c r="S133" s="57"/>
      <c r="T133" s="57"/>
      <c r="U133" s="57"/>
      <c r="V133" s="57"/>
      <c r="W133" s="57"/>
      <c r="X133" s="57"/>
      <c r="Y133" s="57"/>
      <c r="Z133" s="3"/>
      <c r="AA133" s="57"/>
      <c r="AB133" s="772" t="s">
        <v>2573</v>
      </c>
      <c r="AC133" s="57" t="s">
        <v>2163</v>
      </c>
      <c r="AD133" s="774" t="s">
        <v>2574</v>
      </c>
      <c r="AE133" s="674"/>
      <c r="AF133" s="57"/>
      <c r="AG133" s="57"/>
      <c r="AH133" s="57"/>
      <c r="AI133" s="57"/>
      <c r="AJ133" s="57"/>
      <c r="AK133" s="57"/>
      <c r="AL133" s="57"/>
      <c r="AM133" s="57"/>
      <c r="AN133" s="57"/>
      <c r="AO133" s="57"/>
      <c r="AP133" s="57"/>
      <c r="AQ133" s="57"/>
      <c r="AR133" s="57"/>
      <c r="AS133" s="57"/>
      <c r="AT133" s="57"/>
      <c r="AU133" s="57"/>
      <c r="AV133" s="57"/>
      <c r="AW133" s="57"/>
      <c r="AX133" s="57"/>
    </row>
    <row r="134" spans="1:50" ht="15.75" customHeight="1">
      <c r="A134" s="770"/>
      <c r="B134" s="57"/>
      <c r="C134" s="57"/>
      <c r="D134" s="57"/>
      <c r="E134" s="3"/>
      <c r="F134" s="57"/>
      <c r="G134" s="57"/>
      <c r="H134" s="57"/>
      <c r="I134" s="57"/>
      <c r="J134" s="57"/>
      <c r="K134" s="57"/>
      <c r="L134" s="57"/>
      <c r="M134" s="57"/>
      <c r="N134" s="57"/>
      <c r="O134" s="57"/>
      <c r="P134" s="57"/>
      <c r="Q134" s="57"/>
      <c r="R134" s="57"/>
      <c r="S134" s="57"/>
      <c r="T134" s="57"/>
      <c r="U134" s="57"/>
      <c r="V134" s="57"/>
      <c r="W134" s="57"/>
      <c r="X134" s="57"/>
      <c r="Y134" s="57"/>
      <c r="Z134" s="3"/>
      <c r="AA134" s="57"/>
      <c r="AB134" s="21" t="s">
        <v>2575</v>
      </c>
      <c r="AC134" s="57" t="s">
        <v>2180</v>
      </c>
      <c r="AD134" s="775" t="s">
        <v>2576</v>
      </c>
      <c r="AE134" s="674"/>
      <c r="AF134" s="57"/>
      <c r="AG134" s="57"/>
      <c r="AH134" s="57"/>
      <c r="AI134" s="57"/>
      <c r="AJ134" s="57"/>
      <c r="AK134" s="57"/>
      <c r="AL134" s="57"/>
      <c r="AM134" s="57"/>
      <c r="AN134" s="57"/>
      <c r="AO134" s="57"/>
      <c r="AP134" s="57"/>
      <c r="AQ134" s="57"/>
      <c r="AR134" s="57"/>
      <c r="AS134" s="57"/>
      <c r="AT134" s="57"/>
      <c r="AU134" s="57"/>
      <c r="AV134" s="57"/>
      <c r="AW134" s="57"/>
      <c r="AX134" s="57"/>
    </row>
    <row r="135" spans="1:50" ht="15.75" customHeight="1">
      <c r="A135" s="770"/>
      <c r="B135" s="57"/>
      <c r="C135" s="57"/>
      <c r="D135" s="57"/>
      <c r="E135" s="3"/>
      <c r="F135" s="57"/>
      <c r="G135" s="57"/>
      <c r="H135" s="57"/>
      <c r="I135" s="57"/>
      <c r="J135" s="57"/>
      <c r="K135" s="57"/>
      <c r="L135" s="57"/>
      <c r="M135" s="57"/>
      <c r="N135" s="57"/>
      <c r="O135" s="57"/>
      <c r="P135" s="57"/>
      <c r="Q135" s="57"/>
      <c r="R135" s="57"/>
      <c r="S135" s="57"/>
      <c r="T135" s="57"/>
      <c r="U135" s="57"/>
      <c r="V135" s="57"/>
      <c r="W135" s="57"/>
      <c r="X135" s="57"/>
      <c r="Y135" s="57"/>
      <c r="Z135" s="3"/>
      <c r="AA135" s="57"/>
      <c r="AB135" s="21" t="s">
        <v>2577</v>
      </c>
      <c r="AC135" s="57" t="s">
        <v>2180</v>
      </c>
      <c r="AD135" s="776" t="s">
        <v>2578</v>
      </c>
      <c r="AE135" s="674"/>
      <c r="AF135" s="57"/>
      <c r="AG135" s="57"/>
      <c r="AH135" s="57"/>
      <c r="AI135" s="57"/>
      <c r="AJ135" s="57"/>
      <c r="AK135" s="57"/>
      <c r="AL135" s="57"/>
      <c r="AM135" s="57"/>
      <c r="AN135" s="57"/>
      <c r="AO135" s="57"/>
      <c r="AP135" s="57"/>
      <c r="AQ135" s="57"/>
      <c r="AR135" s="57"/>
      <c r="AS135" s="57"/>
      <c r="AT135" s="57"/>
      <c r="AU135" s="57"/>
      <c r="AV135" s="57"/>
      <c r="AW135" s="57"/>
      <c r="AX135" s="57"/>
    </row>
    <row r="136" spans="1:50" ht="15.75" customHeight="1">
      <c r="A136" s="770"/>
      <c r="B136" s="57"/>
      <c r="C136" s="57"/>
      <c r="D136" s="57"/>
      <c r="E136" s="3"/>
      <c r="F136" s="57"/>
      <c r="G136" s="57"/>
      <c r="H136" s="57"/>
      <c r="I136" s="57"/>
      <c r="J136" s="57"/>
      <c r="K136" s="57"/>
      <c r="L136" s="57"/>
      <c r="M136" s="57"/>
      <c r="N136" s="57"/>
      <c r="O136" s="57"/>
      <c r="P136" s="57"/>
      <c r="Q136" s="57"/>
      <c r="R136" s="57"/>
      <c r="S136" s="57"/>
      <c r="T136" s="57"/>
      <c r="U136" s="57"/>
      <c r="V136" s="57"/>
      <c r="W136" s="57"/>
      <c r="X136" s="57"/>
      <c r="Y136" s="57"/>
      <c r="Z136" s="3"/>
      <c r="AA136" s="57"/>
      <c r="AB136" s="21" t="s">
        <v>2579</v>
      </c>
      <c r="AC136" s="57" t="s">
        <v>2180</v>
      </c>
      <c r="AD136" s="3" t="s">
        <v>2580</v>
      </c>
      <c r="AE136" s="674"/>
      <c r="AF136" s="57"/>
      <c r="AG136" s="57"/>
      <c r="AH136" s="57"/>
      <c r="AI136" s="57"/>
      <c r="AJ136" s="57"/>
      <c r="AK136" s="57"/>
      <c r="AL136" s="57"/>
      <c r="AM136" s="57"/>
      <c r="AN136" s="57"/>
      <c r="AO136" s="57"/>
      <c r="AP136" s="57"/>
      <c r="AQ136" s="57"/>
      <c r="AR136" s="57"/>
      <c r="AS136" s="57"/>
      <c r="AT136" s="57"/>
      <c r="AU136" s="57"/>
      <c r="AV136" s="57"/>
      <c r="AW136" s="57"/>
      <c r="AX136" s="57"/>
    </row>
    <row r="137" spans="1:50" ht="15.75" customHeight="1">
      <c r="A137" s="770"/>
      <c r="B137" s="57"/>
      <c r="C137" s="57"/>
      <c r="D137" s="57"/>
      <c r="E137" s="3"/>
      <c r="F137" s="57"/>
      <c r="G137" s="57"/>
      <c r="H137" s="57"/>
      <c r="I137" s="57"/>
      <c r="J137" s="57"/>
      <c r="K137" s="57"/>
      <c r="L137" s="57"/>
      <c r="M137" s="57"/>
      <c r="N137" s="57"/>
      <c r="O137" s="57"/>
      <c r="P137" s="57"/>
      <c r="Q137" s="57"/>
      <c r="R137" s="57"/>
      <c r="S137" s="57"/>
      <c r="T137" s="57"/>
      <c r="U137" s="57"/>
      <c r="V137" s="57"/>
      <c r="W137" s="57"/>
      <c r="X137" s="57"/>
      <c r="Y137" s="57"/>
      <c r="Z137" s="3"/>
      <c r="AA137" s="57"/>
      <c r="AB137" s="34" t="s">
        <v>2581</v>
      </c>
      <c r="AC137" s="57" t="s">
        <v>2180</v>
      </c>
      <c r="AD137" s="3" t="s">
        <v>2582</v>
      </c>
      <c r="AE137" s="674"/>
      <c r="AF137" s="57"/>
      <c r="AG137" s="57"/>
      <c r="AH137" s="57"/>
      <c r="AI137" s="57"/>
      <c r="AJ137" s="57"/>
      <c r="AK137" s="57"/>
      <c r="AL137" s="57"/>
      <c r="AM137" s="57"/>
      <c r="AN137" s="57"/>
      <c r="AO137" s="57"/>
      <c r="AP137" s="57"/>
      <c r="AQ137" s="57"/>
      <c r="AR137" s="57"/>
      <c r="AS137" s="57"/>
      <c r="AT137" s="57"/>
      <c r="AU137" s="57"/>
      <c r="AV137" s="57"/>
      <c r="AW137" s="57"/>
      <c r="AX137" s="57"/>
    </row>
    <row r="138" spans="1:50" ht="15.75" customHeight="1">
      <c r="A138" s="770"/>
      <c r="B138" s="57"/>
      <c r="C138" s="57"/>
      <c r="D138" s="57"/>
      <c r="E138" s="3"/>
      <c r="F138" s="57"/>
      <c r="G138" s="57"/>
      <c r="H138" s="57"/>
      <c r="I138" s="57"/>
      <c r="J138" s="57"/>
      <c r="K138" s="57"/>
      <c r="L138" s="57"/>
      <c r="M138" s="57"/>
      <c r="N138" s="57"/>
      <c r="O138" s="57"/>
      <c r="P138" s="57"/>
      <c r="Q138" s="57"/>
      <c r="R138" s="57"/>
      <c r="S138" s="57"/>
      <c r="T138" s="57"/>
      <c r="U138" s="57"/>
      <c r="V138" s="57"/>
      <c r="W138" s="57"/>
      <c r="X138" s="57"/>
      <c r="Y138" s="57"/>
      <c r="Z138" s="3"/>
      <c r="AA138" s="57"/>
      <c r="AB138" s="777" t="s">
        <v>2583</v>
      </c>
      <c r="AC138" s="57" t="s">
        <v>2163</v>
      </c>
      <c r="AD138" s="774" t="s">
        <v>2584</v>
      </c>
      <c r="AE138" s="674"/>
      <c r="AF138" s="57"/>
      <c r="AG138" s="57"/>
      <c r="AH138" s="57"/>
      <c r="AI138" s="57"/>
      <c r="AJ138" s="57"/>
      <c r="AK138" s="57"/>
      <c r="AL138" s="57"/>
      <c r="AM138" s="57"/>
      <c r="AN138" s="57"/>
      <c r="AO138" s="57"/>
      <c r="AP138" s="57"/>
      <c r="AQ138" s="57"/>
      <c r="AR138" s="57"/>
      <c r="AS138" s="57"/>
      <c r="AT138" s="57"/>
      <c r="AU138" s="57"/>
      <c r="AV138" s="57"/>
      <c r="AW138" s="57"/>
      <c r="AX138" s="57"/>
    </row>
    <row r="139" spans="1:50" ht="15.75" customHeight="1">
      <c r="A139" s="770"/>
      <c r="B139" s="57"/>
      <c r="C139" s="57"/>
      <c r="D139" s="57"/>
      <c r="E139" s="3"/>
      <c r="F139" s="57"/>
      <c r="G139" s="57"/>
      <c r="H139" s="57"/>
      <c r="I139" s="57"/>
      <c r="J139" s="57"/>
      <c r="K139" s="57"/>
      <c r="L139" s="57"/>
      <c r="M139" s="57"/>
      <c r="N139" s="57"/>
      <c r="O139" s="57"/>
      <c r="P139" s="57"/>
      <c r="Q139" s="57"/>
      <c r="R139" s="57"/>
      <c r="S139" s="57"/>
      <c r="T139" s="57"/>
      <c r="U139" s="57"/>
      <c r="V139" s="57"/>
      <c r="W139" s="57"/>
      <c r="X139" s="57"/>
      <c r="Y139" s="57"/>
      <c r="Z139" s="3"/>
      <c r="AA139" s="57"/>
      <c r="AB139" s="778" t="s">
        <v>2484</v>
      </c>
      <c r="AC139" s="57" t="s">
        <v>2163</v>
      </c>
      <c r="AD139" s="774" t="s">
        <v>2485</v>
      </c>
      <c r="AE139" s="674"/>
      <c r="AF139" s="57"/>
      <c r="AG139" s="57"/>
      <c r="AH139" s="57"/>
      <c r="AI139" s="57"/>
      <c r="AJ139" s="57"/>
      <c r="AK139" s="57"/>
      <c r="AL139" s="57"/>
      <c r="AM139" s="57"/>
      <c r="AN139" s="57"/>
      <c r="AO139" s="57"/>
      <c r="AP139" s="57"/>
      <c r="AQ139" s="57"/>
      <c r="AR139" s="57"/>
      <c r="AS139" s="57"/>
      <c r="AT139" s="57"/>
      <c r="AU139" s="57"/>
      <c r="AV139" s="57"/>
      <c r="AW139" s="57"/>
      <c r="AX139" s="57"/>
    </row>
    <row r="140" spans="1:50" ht="15.75" customHeight="1">
      <c r="A140" s="770"/>
      <c r="B140" s="57"/>
      <c r="C140" s="57"/>
      <c r="D140" s="57"/>
      <c r="E140" s="3"/>
      <c r="F140" s="57"/>
      <c r="G140" s="57"/>
      <c r="H140" s="57"/>
      <c r="I140" s="57"/>
      <c r="J140" s="57"/>
      <c r="K140" s="57"/>
      <c r="L140" s="57"/>
      <c r="M140" s="57"/>
      <c r="N140" s="57"/>
      <c r="O140" s="57"/>
      <c r="P140" s="57"/>
      <c r="Q140" s="57"/>
      <c r="R140" s="57"/>
      <c r="S140" s="57"/>
      <c r="T140" s="57"/>
      <c r="U140" s="57"/>
      <c r="V140" s="57"/>
      <c r="W140" s="57"/>
      <c r="X140" s="57"/>
      <c r="Y140" s="57"/>
      <c r="Z140" s="3"/>
      <c r="AA140" s="57"/>
      <c r="AB140" s="21" t="s">
        <v>2585</v>
      </c>
      <c r="AC140" s="57" t="s">
        <v>2180</v>
      </c>
      <c r="AD140" s="772" t="s">
        <v>2421</v>
      </c>
      <c r="AE140" s="674"/>
      <c r="AF140" s="57"/>
      <c r="AG140" s="57"/>
      <c r="AH140" s="57"/>
      <c r="AI140" s="57"/>
      <c r="AJ140" s="57"/>
      <c r="AK140" s="57"/>
      <c r="AL140" s="57"/>
      <c r="AM140" s="57"/>
      <c r="AN140" s="57"/>
      <c r="AO140" s="57"/>
      <c r="AP140" s="57"/>
      <c r="AQ140" s="57"/>
      <c r="AR140" s="57"/>
      <c r="AS140" s="57"/>
      <c r="AT140" s="57"/>
      <c r="AU140" s="57"/>
      <c r="AV140" s="57"/>
      <c r="AW140" s="57"/>
      <c r="AX140" s="57"/>
    </row>
    <row r="141" spans="1:50" ht="15.75" customHeight="1">
      <c r="A141" s="770"/>
      <c r="B141" s="57"/>
      <c r="C141" s="57"/>
      <c r="D141" s="57"/>
      <c r="E141" s="3"/>
      <c r="F141" s="57"/>
      <c r="G141" s="57"/>
      <c r="H141" s="57"/>
      <c r="I141" s="57"/>
      <c r="J141" s="57"/>
      <c r="K141" s="57"/>
      <c r="L141" s="57"/>
      <c r="M141" s="57"/>
      <c r="N141" s="57"/>
      <c r="O141" s="57"/>
      <c r="P141" s="57"/>
      <c r="Q141" s="57"/>
      <c r="R141" s="57"/>
      <c r="S141" s="57"/>
      <c r="T141" s="57"/>
      <c r="U141" s="57"/>
      <c r="V141" s="57"/>
      <c r="W141" s="57"/>
      <c r="X141" s="57"/>
      <c r="Y141" s="57"/>
      <c r="Z141" s="3"/>
      <c r="AA141" s="57"/>
      <c r="AB141" s="21" t="s">
        <v>2586</v>
      </c>
      <c r="AC141" s="57" t="s">
        <v>2180</v>
      </c>
      <c r="AD141" s="779" t="s">
        <v>2587</v>
      </c>
      <c r="AE141" s="674"/>
      <c r="AF141" s="57"/>
      <c r="AG141" s="57"/>
      <c r="AH141" s="57"/>
      <c r="AI141" s="57"/>
      <c r="AJ141" s="57"/>
      <c r="AK141" s="57"/>
      <c r="AL141" s="57"/>
      <c r="AM141" s="57"/>
      <c r="AN141" s="57"/>
      <c r="AO141" s="57"/>
      <c r="AP141" s="57"/>
      <c r="AQ141" s="57"/>
      <c r="AR141" s="57"/>
      <c r="AS141" s="57"/>
      <c r="AT141" s="57"/>
      <c r="AU141" s="57"/>
      <c r="AV141" s="57"/>
      <c r="AW141" s="57"/>
      <c r="AX141" s="57"/>
    </row>
    <row r="142" spans="1:50" ht="15.75" customHeight="1">
      <c r="A142" s="770"/>
      <c r="B142" s="57"/>
      <c r="C142" s="57"/>
      <c r="D142" s="57"/>
      <c r="E142" s="3"/>
      <c r="F142" s="57"/>
      <c r="G142" s="57"/>
      <c r="H142" s="57"/>
      <c r="I142" s="57"/>
      <c r="J142" s="57"/>
      <c r="K142" s="57"/>
      <c r="L142" s="57"/>
      <c r="M142" s="57"/>
      <c r="N142" s="57"/>
      <c r="O142" s="57"/>
      <c r="P142" s="57"/>
      <c r="Q142" s="57"/>
      <c r="R142" s="57"/>
      <c r="S142" s="57"/>
      <c r="T142" s="57"/>
      <c r="U142" s="57"/>
      <c r="V142" s="57"/>
      <c r="W142" s="57"/>
      <c r="X142" s="57"/>
      <c r="Y142" s="57"/>
      <c r="Z142" s="3"/>
      <c r="AA142" s="57"/>
      <c r="AB142" s="21" t="s">
        <v>2588</v>
      </c>
      <c r="AC142" s="57" t="s">
        <v>2163</v>
      </c>
      <c r="AD142" s="21" t="s">
        <v>2589</v>
      </c>
      <c r="AE142" s="674"/>
      <c r="AF142" s="57"/>
      <c r="AG142" s="57"/>
      <c r="AH142" s="57"/>
      <c r="AI142" s="57"/>
      <c r="AJ142" s="57"/>
      <c r="AK142" s="57"/>
      <c r="AL142" s="57"/>
      <c r="AM142" s="57"/>
      <c r="AN142" s="57"/>
      <c r="AO142" s="57"/>
      <c r="AP142" s="57"/>
      <c r="AQ142" s="57"/>
      <c r="AR142" s="57"/>
      <c r="AS142" s="57"/>
      <c r="AT142" s="57"/>
      <c r="AU142" s="57"/>
      <c r="AV142" s="57"/>
      <c r="AW142" s="57"/>
      <c r="AX142" s="57"/>
    </row>
    <row r="143" spans="1:50" ht="15.75" customHeight="1">
      <c r="A143" s="770"/>
      <c r="B143" s="57"/>
      <c r="C143" s="57"/>
      <c r="D143" s="57"/>
      <c r="E143" s="3"/>
      <c r="F143" s="57"/>
      <c r="G143" s="57"/>
      <c r="H143" s="57"/>
      <c r="I143" s="57"/>
      <c r="J143" s="57"/>
      <c r="K143" s="57"/>
      <c r="L143" s="57"/>
      <c r="M143" s="57"/>
      <c r="N143" s="57"/>
      <c r="O143" s="57"/>
      <c r="P143" s="57"/>
      <c r="Q143" s="57"/>
      <c r="R143" s="57"/>
      <c r="S143" s="57"/>
      <c r="T143" s="57"/>
      <c r="U143" s="57"/>
      <c r="V143" s="57"/>
      <c r="W143" s="57"/>
      <c r="X143" s="57"/>
      <c r="Y143" s="57"/>
      <c r="Z143" s="3"/>
      <c r="AA143" s="57"/>
      <c r="AB143" s="702" t="s">
        <v>2590</v>
      </c>
      <c r="AC143" s="57" t="s">
        <v>2163</v>
      </c>
      <c r="AD143" s="21" t="s">
        <v>2591</v>
      </c>
      <c r="AE143" s="674"/>
      <c r="AF143" s="57"/>
      <c r="AG143" s="57"/>
      <c r="AH143" s="57"/>
      <c r="AI143" s="57"/>
      <c r="AJ143" s="57"/>
      <c r="AK143" s="57"/>
      <c r="AL143" s="57"/>
      <c r="AM143" s="57"/>
      <c r="AN143" s="57"/>
      <c r="AO143" s="57"/>
      <c r="AP143" s="57"/>
      <c r="AQ143" s="57"/>
      <c r="AR143" s="57"/>
      <c r="AS143" s="57"/>
      <c r="AT143" s="57"/>
      <c r="AU143" s="57"/>
      <c r="AV143" s="57"/>
      <c r="AW143" s="57"/>
      <c r="AX143" s="57"/>
    </row>
    <row r="144" spans="1:50" ht="15.75" customHeight="1">
      <c r="A144" s="770"/>
      <c r="B144" s="57"/>
      <c r="C144" s="57"/>
      <c r="D144" s="57"/>
      <c r="E144" s="3"/>
      <c r="F144" s="57"/>
      <c r="G144" s="57"/>
      <c r="H144" s="57"/>
      <c r="I144" s="57"/>
      <c r="J144" s="57"/>
      <c r="K144" s="57"/>
      <c r="L144" s="57"/>
      <c r="M144" s="57"/>
      <c r="N144" s="57"/>
      <c r="O144" s="57"/>
      <c r="P144" s="57"/>
      <c r="Q144" s="57"/>
      <c r="R144" s="57"/>
      <c r="S144" s="57"/>
      <c r="T144" s="57"/>
      <c r="U144" s="57"/>
      <c r="V144" s="57"/>
      <c r="W144" s="57"/>
      <c r="X144" s="57"/>
      <c r="Y144" s="57"/>
      <c r="Z144" s="3"/>
      <c r="AA144" s="57"/>
      <c r="AB144" s="21" t="s">
        <v>2592</v>
      </c>
      <c r="AC144" s="57" t="s">
        <v>2180</v>
      </c>
      <c r="AD144" s="21" t="s">
        <v>2593</v>
      </c>
      <c r="AE144" s="674"/>
      <c r="AF144" s="57"/>
      <c r="AG144" s="57"/>
      <c r="AH144" s="57"/>
      <c r="AI144" s="57"/>
      <c r="AJ144" s="57"/>
      <c r="AK144" s="57"/>
      <c r="AL144" s="57"/>
      <c r="AM144" s="57"/>
      <c r="AN144" s="57"/>
      <c r="AO144" s="57"/>
      <c r="AP144" s="57"/>
      <c r="AQ144" s="57"/>
      <c r="AR144" s="57"/>
      <c r="AS144" s="57"/>
      <c r="AT144" s="57"/>
      <c r="AU144" s="57"/>
      <c r="AV144" s="57"/>
      <c r="AW144" s="57"/>
      <c r="AX144" s="57"/>
    </row>
    <row r="145" spans="1:50" ht="15.75" customHeight="1">
      <c r="A145" s="770"/>
      <c r="B145" s="57"/>
      <c r="C145" s="57"/>
      <c r="D145" s="57"/>
      <c r="E145" s="3"/>
      <c r="F145" s="57"/>
      <c r="G145" s="57"/>
      <c r="H145" s="57"/>
      <c r="I145" s="57"/>
      <c r="J145" s="57"/>
      <c r="K145" s="57"/>
      <c r="L145" s="57"/>
      <c r="M145" s="57"/>
      <c r="N145" s="57"/>
      <c r="O145" s="57"/>
      <c r="P145" s="57"/>
      <c r="Q145" s="57"/>
      <c r="R145" s="57"/>
      <c r="S145" s="57"/>
      <c r="T145" s="57"/>
      <c r="U145" s="57"/>
      <c r="V145" s="57"/>
      <c r="W145" s="57"/>
      <c r="X145" s="57"/>
      <c r="Y145" s="57"/>
      <c r="Z145" s="3"/>
      <c r="AA145" s="57"/>
      <c r="AB145" s="21" t="s">
        <v>2594</v>
      </c>
      <c r="AC145" s="57" t="s">
        <v>2180</v>
      </c>
      <c r="AD145" s="772" t="s">
        <v>2595</v>
      </c>
      <c r="AE145" s="674"/>
      <c r="AF145" s="57"/>
      <c r="AG145" s="57"/>
      <c r="AH145" s="57"/>
      <c r="AI145" s="57"/>
      <c r="AJ145" s="57"/>
      <c r="AK145" s="57"/>
      <c r="AL145" s="57"/>
      <c r="AM145" s="57"/>
      <c r="AN145" s="57"/>
      <c r="AO145" s="57"/>
      <c r="AP145" s="57"/>
      <c r="AQ145" s="57"/>
      <c r="AR145" s="57"/>
      <c r="AS145" s="57"/>
      <c r="AT145" s="57"/>
      <c r="AU145" s="57"/>
      <c r="AV145" s="57"/>
      <c r="AW145" s="57"/>
      <c r="AX145" s="57"/>
    </row>
    <row r="146" spans="1:50" ht="15.75" customHeight="1">
      <c r="A146" s="770"/>
      <c r="B146" s="57"/>
      <c r="C146" s="57"/>
      <c r="D146" s="57"/>
      <c r="E146" s="3"/>
      <c r="F146" s="57"/>
      <c r="G146" s="57"/>
      <c r="H146" s="57"/>
      <c r="I146" s="57"/>
      <c r="J146" s="57"/>
      <c r="K146" s="57"/>
      <c r="L146" s="57"/>
      <c r="M146" s="57"/>
      <c r="N146" s="57"/>
      <c r="O146" s="57"/>
      <c r="P146" s="57"/>
      <c r="Q146" s="57"/>
      <c r="R146" s="57"/>
      <c r="S146" s="57"/>
      <c r="T146" s="57"/>
      <c r="U146" s="57"/>
      <c r="V146" s="57"/>
      <c r="W146" s="57"/>
      <c r="X146" s="57"/>
      <c r="Y146" s="57"/>
      <c r="Z146" s="3"/>
      <c r="AA146" s="57"/>
      <c r="AB146" s="21" t="s">
        <v>2596</v>
      </c>
      <c r="AC146" s="57" t="s">
        <v>2163</v>
      </c>
      <c r="AD146" s="21" t="s">
        <v>2597</v>
      </c>
      <c r="AE146" s="674"/>
      <c r="AF146" s="57"/>
      <c r="AG146" s="57"/>
      <c r="AH146" s="57"/>
      <c r="AI146" s="57"/>
      <c r="AJ146" s="57"/>
      <c r="AK146" s="57"/>
      <c r="AL146" s="57"/>
      <c r="AM146" s="57"/>
      <c r="AN146" s="57"/>
      <c r="AO146" s="57"/>
      <c r="AP146" s="57"/>
      <c r="AQ146" s="57"/>
      <c r="AR146" s="57"/>
      <c r="AS146" s="57"/>
      <c r="AT146" s="57"/>
      <c r="AU146" s="57"/>
      <c r="AV146" s="57"/>
      <c r="AW146" s="57"/>
      <c r="AX146" s="57"/>
    </row>
    <row r="147" spans="1:50" ht="15.75" customHeight="1">
      <c r="A147" s="770"/>
      <c r="B147" s="57"/>
      <c r="C147" s="57"/>
      <c r="D147" s="57"/>
      <c r="E147" s="3"/>
      <c r="F147" s="57"/>
      <c r="G147" s="57"/>
      <c r="H147" s="57"/>
      <c r="I147" s="57"/>
      <c r="J147" s="57"/>
      <c r="K147" s="57"/>
      <c r="L147" s="57"/>
      <c r="M147" s="57"/>
      <c r="N147" s="57"/>
      <c r="O147" s="57"/>
      <c r="P147" s="57"/>
      <c r="Q147" s="57"/>
      <c r="R147" s="57"/>
      <c r="S147" s="57"/>
      <c r="T147" s="57"/>
      <c r="U147" s="57"/>
      <c r="V147" s="57"/>
      <c r="W147" s="57"/>
      <c r="X147" s="57"/>
      <c r="Y147" s="57"/>
      <c r="Z147" s="3"/>
      <c r="AA147" s="57"/>
      <c r="AB147" s="780" t="s">
        <v>2598</v>
      </c>
      <c r="AC147" s="57" t="s">
        <v>2163</v>
      </c>
      <c r="AD147" s="781" t="s">
        <v>2489</v>
      </c>
      <c r="AE147" s="674"/>
      <c r="AF147" s="57"/>
      <c r="AG147" s="57"/>
      <c r="AH147" s="57"/>
      <c r="AI147" s="57"/>
      <c r="AJ147" s="57"/>
      <c r="AK147" s="57"/>
      <c r="AL147" s="57"/>
      <c r="AM147" s="57"/>
      <c r="AN147" s="57"/>
      <c r="AO147" s="57"/>
      <c r="AP147" s="57"/>
      <c r="AQ147" s="57"/>
      <c r="AR147" s="57"/>
      <c r="AS147" s="57"/>
      <c r="AT147" s="57"/>
      <c r="AU147" s="57"/>
      <c r="AV147" s="57"/>
      <c r="AW147" s="57"/>
      <c r="AX147" s="57"/>
    </row>
    <row r="148" spans="1:50" ht="15.75" customHeight="1">
      <c r="A148" s="770"/>
      <c r="B148" s="57"/>
      <c r="C148" s="57"/>
      <c r="D148" s="57"/>
      <c r="E148" s="3"/>
      <c r="F148" s="57"/>
      <c r="G148" s="57"/>
      <c r="H148" s="57"/>
      <c r="I148" s="57"/>
      <c r="J148" s="57"/>
      <c r="K148" s="57"/>
      <c r="L148" s="57"/>
      <c r="M148" s="57"/>
      <c r="N148" s="57"/>
      <c r="O148" s="57"/>
      <c r="P148" s="57"/>
      <c r="Q148" s="57"/>
      <c r="R148" s="57"/>
      <c r="S148" s="57"/>
      <c r="T148" s="57"/>
      <c r="U148" s="57"/>
      <c r="V148" s="57"/>
      <c r="W148" s="57"/>
      <c r="X148" s="57"/>
      <c r="Y148" s="57"/>
      <c r="Z148" s="3"/>
      <c r="AA148" s="57"/>
      <c r="AB148" s="52" t="s">
        <v>2599</v>
      </c>
      <c r="AC148" s="57" t="s">
        <v>2180</v>
      </c>
      <c r="AD148" s="782" t="s">
        <v>2600</v>
      </c>
      <c r="AE148" s="674"/>
      <c r="AF148" s="57"/>
      <c r="AG148" s="57"/>
      <c r="AH148" s="57"/>
      <c r="AI148" s="57"/>
      <c r="AJ148" s="57"/>
      <c r="AK148" s="57"/>
      <c r="AL148" s="57"/>
      <c r="AM148" s="57"/>
      <c r="AN148" s="57"/>
      <c r="AO148" s="57"/>
      <c r="AP148" s="57"/>
      <c r="AQ148" s="57"/>
      <c r="AR148" s="57"/>
      <c r="AS148" s="57"/>
      <c r="AT148" s="57"/>
      <c r="AU148" s="57"/>
      <c r="AV148" s="57"/>
      <c r="AW148" s="57"/>
      <c r="AX148" s="57"/>
    </row>
    <row r="149" spans="1:50" ht="15.75" customHeight="1">
      <c r="A149" s="770"/>
      <c r="B149" s="57"/>
      <c r="C149" s="57"/>
      <c r="D149" s="57"/>
      <c r="E149" s="3"/>
      <c r="F149" s="57"/>
      <c r="G149" s="57"/>
      <c r="H149" s="57"/>
      <c r="I149" s="57"/>
      <c r="J149" s="57"/>
      <c r="K149" s="57"/>
      <c r="L149" s="57"/>
      <c r="M149" s="57"/>
      <c r="N149" s="57"/>
      <c r="O149" s="57"/>
      <c r="P149" s="57"/>
      <c r="Q149" s="57"/>
      <c r="R149" s="57"/>
      <c r="S149" s="57"/>
      <c r="T149" s="57"/>
      <c r="U149" s="57"/>
      <c r="V149" s="57"/>
      <c r="W149" s="57"/>
      <c r="X149" s="57"/>
      <c r="Y149" s="57"/>
      <c r="Z149" s="3"/>
      <c r="AA149" s="57"/>
      <c r="AB149" s="52" t="s">
        <v>2601</v>
      </c>
      <c r="AC149" s="57" t="s">
        <v>2180</v>
      </c>
      <c r="AD149" s="783" t="s">
        <v>2602</v>
      </c>
      <c r="AE149" s="674"/>
      <c r="AF149" s="57"/>
      <c r="AG149" s="57"/>
      <c r="AH149" s="57"/>
      <c r="AI149" s="57"/>
      <c r="AJ149" s="57"/>
      <c r="AK149" s="57"/>
      <c r="AL149" s="57"/>
      <c r="AM149" s="57"/>
      <c r="AN149" s="57"/>
      <c r="AO149" s="57"/>
      <c r="AP149" s="57"/>
      <c r="AQ149" s="57"/>
      <c r="AR149" s="57"/>
      <c r="AS149" s="57"/>
      <c r="AT149" s="57"/>
      <c r="AU149" s="57"/>
      <c r="AV149" s="57"/>
      <c r="AW149" s="57"/>
      <c r="AX149" s="57"/>
    </row>
    <row r="150" spans="1:50" ht="15.75" customHeight="1">
      <c r="A150" s="770"/>
      <c r="B150" s="57"/>
      <c r="C150" s="57"/>
      <c r="D150" s="57"/>
      <c r="E150" s="3"/>
      <c r="F150" s="57"/>
      <c r="G150" s="57"/>
      <c r="H150" s="57"/>
      <c r="I150" s="57"/>
      <c r="J150" s="57"/>
      <c r="K150" s="57"/>
      <c r="L150" s="57"/>
      <c r="M150" s="57"/>
      <c r="N150" s="57"/>
      <c r="O150" s="57"/>
      <c r="P150" s="57"/>
      <c r="Q150" s="57"/>
      <c r="R150" s="57"/>
      <c r="S150" s="57"/>
      <c r="T150" s="57"/>
      <c r="U150" s="57"/>
      <c r="V150" s="57"/>
      <c r="W150" s="57"/>
      <c r="X150" s="57"/>
      <c r="Y150" s="57"/>
      <c r="Z150" s="3"/>
      <c r="AA150" s="57"/>
      <c r="AB150" s="52" t="s">
        <v>2603</v>
      </c>
      <c r="AC150" s="57" t="s">
        <v>2180</v>
      </c>
      <c r="AD150" s="783" t="s">
        <v>2604</v>
      </c>
      <c r="AE150" s="674"/>
      <c r="AF150" s="57"/>
      <c r="AG150" s="57"/>
      <c r="AH150" s="57"/>
      <c r="AI150" s="57"/>
      <c r="AJ150" s="57"/>
      <c r="AK150" s="57"/>
      <c r="AL150" s="57"/>
      <c r="AM150" s="57"/>
      <c r="AN150" s="57"/>
      <c r="AO150" s="57"/>
      <c r="AP150" s="57"/>
      <c r="AQ150" s="57"/>
      <c r="AR150" s="57"/>
      <c r="AS150" s="57"/>
      <c r="AT150" s="57"/>
      <c r="AU150" s="57"/>
      <c r="AV150" s="57"/>
      <c r="AW150" s="57"/>
      <c r="AX150" s="57"/>
    </row>
    <row r="151" spans="1:50" ht="15.75" customHeight="1">
      <c r="A151" s="770"/>
      <c r="B151" s="57"/>
      <c r="C151" s="57"/>
      <c r="D151" s="57"/>
      <c r="E151" s="3"/>
      <c r="F151" s="57"/>
      <c r="G151" s="57"/>
      <c r="H151" s="57"/>
      <c r="I151" s="57"/>
      <c r="J151" s="57"/>
      <c r="K151" s="57"/>
      <c r="L151" s="57"/>
      <c r="M151" s="57"/>
      <c r="N151" s="57"/>
      <c r="O151" s="57"/>
      <c r="P151" s="57"/>
      <c r="Q151" s="57"/>
      <c r="R151" s="57"/>
      <c r="S151" s="57"/>
      <c r="T151" s="57"/>
      <c r="U151" s="57"/>
      <c r="V151" s="57"/>
      <c r="W151" s="57"/>
      <c r="X151" s="57"/>
      <c r="Y151" s="57"/>
      <c r="Z151" s="3"/>
      <c r="AA151" s="57"/>
      <c r="AB151" s="52" t="s">
        <v>2605</v>
      </c>
      <c r="AC151" s="57" t="s">
        <v>2180</v>
      </c>
      <c r="AD151" s="783" t="s">
        <v>2606</v>
      </c>
      <c r="AE151" s="674"/>
      <c r="AF151" s="57"/>
      <c r="AG151" s="57"/>
      <c r="AH151" s="57"/>
      <c r="AI151" s="57"/>
      <c r="AJ151" s="57"/>
      <c r="AK151" s="57"/>
      <c r="AL151" s="57"/>
      <c r="AM151" s="57"/>
      <c r="AN151" s="57"/>
      <c r="AO151" s="57"/>
      <c r="AP151" s="57"/>
      <c r="AQ151" s="57"/>
      <c r="AR151" s="57"/>
      <c r="AS151" s="57"/>
      <c r="AT151" s="57"/>
      <c r="AU151" s="57"/>
      <c r="AV151" s="57"/>
      <c r="AW151" s="57"/>
      <c r="AX151" s="57"/>
    </row>
    <row r="152" spans="1:50" ht="15.75" customHeight="1">
      <c r="A152" s="770"/>
      <c r="B152" s="57"/>
      <c r="C152" s="57"/>
      <c r="D152" s="57"/>
      <c r="E152" s="3"/>
      <c r="F152" s="57"/>
      <c r="G152" s="57"/>
      <c r="H152" s="57"/>
      <c r="I152" s="57"/>
      <c r="J152" s="57"/>
      <c r="K152" s="57"/>
      <c r="L152" s="57"/>
      <c r="M152" s="57"/>
      <c r="N152" s="57"/>
      <c r="O152" s="57"/>
      <c r="P152" s="57"/>
      <c r="Q152" s="57"/>
      <c r="R152" s="57"/>
      <c r="S152" s="57"/>
      <c r="T152" s="57"/>
      <c r="U152" s="57"/>
      <c r="V152" s="57"/>
      <c r="W152" s="57"/>
      <c r="X152" s="57"/>
      <c r="Y152" s="57"/>
      <c r="Z152" s="3"/>
      <c r="AA152" s="57"/>
      <c r="AB152" s="21" t="s">
        <v>2607</v>
      </c>
      <c r="AC152" s="57" t="s">
        <v>2180</v>
      </c>
      <c r="AD152" s="772" t="s">
        <v>2608</v>
      </c>
      <c r="AE152" s="674"/>
      <c r="AF152" s="57"/>
      <c r="AG152" s="57"/>
      <c r="AH152" s="57"/>
      <c r="AI152" s="57"/>
      <c r="AJ152" s="57"/>
      <c r="AK152" s="57"/>
      <c r="AL152" s="57"/>
      <c r="AM152" s="57"/>
      <c r="AN152" s="57"/>
      <c r="AO152" s="57"/>
      <c r="AP152" s="57"/>
      <c r="AQ152" s="57"/>
      <c r="AR152" s="57"/>
      <c r="AS152" s="57"/>
      <c r="AT152" s="57"/>
      <c r="AU152" s="57"/>
      <c r="AV152" s="57"/>
      <c r="AW152" s="57"/>
      <c r="AX152" s="57"/>
    </row>
    <row r="153" spans="1:50" ht="15.75" customHeight="1">
      <c r="A153" s="770"/>
      <c r="B153" s="57"/>
      <c r="C153" s="57"/>
      <c r="D153" s="57"/>
      <c r="E153" s="3"/>
      <c r="F153" s="57"/>
      <c r="G153" s="57"/>
      <c r="H153" s="57"/>
      <c r="I153" s="57"/>
      <c r="J153" s="57"/>
      <c r="K153" s="57"/>
      <c r="L153" s="57"/>
      <c r="M153" s="57"/>
      <c r="N153" s="57"/>
      <c r="O153" s="57"/>
      <c r="P153" s="57"/>
      <c r="Q153" s="57"/>
      <c r="R153" s="57"/>
      <c r="S153" s="57"/>
      <c r="T153" s="57"/>
      <c r="U153" s="57"/>
      <c r="V153" s="57"/>
      <c r="W153" s="57"/>
      <c r="X153" s="57"/>
      <c r="Y153" s="57"/>
      <c r="Z153" s="3"/>
      <c r="AA153" s="57"/>
      <c r="AB153" s="21" t="s">
        <v>2609</v>
      </c>
      <c r="AC153" s="57" t="s">
        <v>2180</v>
      </c>
      <c r="AD153" s="772" t="s">
        <v>2610</v>
      </c>
      <c r="AE153" s="674"/>
      <c r="AF153" s="57"/>
      <c r="AG153" s="57"/>
      <c r="AH153" s="57"/>
      <c r="AI153" s="57"/>
      <c r="AJ153" s="57"/>
      <c r="AK153" s="57"/>
      <c r="AL153" s="57"/>
      <c r="AM153" s="57"/>
      <c r="AN153" s="57"/>
      <c r="AO153" s="57"/>
      <c r="AP153" s="57"/>
      <c r="AQ153" s="57"/>
      <c r="AR153" s="57"/>
      <c r="AS153" s="57"/>
      <c r="AT153" s="57"/>
      <c r="AU153" s="57"/>
      <c r="AV153" s="57"/>
      <c r="AW153" s="57"/>
      <c r="AX153" s="57"/>
    </row>
    <row r="154" spans="1:50" ht="15.75" customHeight="1">
      <c r="A154" s="770"/>
      <c r="B154" s="57"/>
      <c r="C154" s="57"/>
      <c r="D154" s="57"/>
      <c r="E154" s="3"/>
      <c r="F154" s="57"/>
      <c r="G154" s="57"/>
      <c r="H154" s="57"/>
      <c r="I154" s="57"/>
      <c r="J154" s="57"/>
      <c r="K154" s="57"/>
      <c r="L154" s="57"/>
      <c r="M154" s="57"/>
      <c r="N154" s="57"/>
      <c r="O154" s="57"/>
      <c r="P154" s="57"/>
      <c r="Q154" s="57"/>
      <c r="R154" s="57"/>
      <c r="S154" s="57"/>
      <c r="T154" s="57"/>
      <c r="U154" s="57"/>
      <c r="V154" s="57"/>
      <c r="W154" s="57"/>
      <c r="X154" s="57"/>
      <c r="Y154" s="57"/>
      <c r="Z154" s="3"/>
      <c r="AA154" s="57"/>
      <c r="AB154" s="21" t="s">
        <v>2611</v>
      </c>
      <c r="AC154" s="57" t="s">
        <v>2180</v>
      </c>
      <c r="AD154" s="782" t="s">
        <v>2612</v>
      </c>
      <c r="AE154" s="674"/>
      <c r="AF154" s="57"/>
      <c r="AG154" s="57"/>
      <c r="AH154" s="57"/>
      <c r="AI154" s="57"/>
      <c r="AJ154" s="57"/>
      <c r="AK154" s="57"/>
      <c r="AL154" s="57"/>
      <c r="AM154" s="57"/>
      <c r="AN154" s="57"/>
      <c r="AO154" s="57"/>
      <c r="AP154" s="57"/>
      <c r="AQ154" s="57"/>
      <c r="AR154" s="57"/>
      <c r="AS154" s="57"/>
      <c r="AT154" s="57"/>
      <c r="AU154" s="57"/>
      <c r="AV154" s="57"/>
      <c r="AW154" s="57"/>
      <c r="AX154" s="57"/>
    </row>
    <row r="155" spans="1:50" ht="15.75" customHeight="1">
      <c r="A155" s="770"/>
      <c r="B155" s="57"/>
      <c r="C155" s="57"/>
      <c r="D155" s="57"/>
      <c r="E155" s="3"/>
      <c r="F155" s="57"/>
      <c r="G155" s="57"/>
      <c r="H155" s="57"/>
      <c r="I155" s="57"/>
      <c r="J155" s="57"/>
      <c r="K155" s="57"/>
      <c r="L155" s="57"/>
      <c r="M155" s="57"/>
      <c r="N155" s="57"/>
      <c r="O155" s="57"/>
      <c r="P155" s="57"/>
      <c r="Q155" s="57"/>
      <c r="R155" s="57"/>
      <c r="S155" s="57"/>
      <c r="T155" s="57"/>
      <c r="U155" s="57"/>
      <c r="V155" s="57"/>
      <c r="W155" s="57"/>
      <c r="X155" s="57"/>
      <c r="Y155" s="57"/>
      <c r="Z155" s="3"/>
      <c r="AA155" s="57"/>
      <c r="AB155" s="21" t="s">
        <v>2613</v>
      </c>
      <c r="AC155" s="57" t="s">
        <v>2180</v>
      </c>
      <c r="AD155" s="772" t="s">
        <v>2614</v>
      </c>
      <c r="AE155" s="674"/>
      <c r="AF155" s="57"/>
      <c r="AG155" s="57"/>
      <c r="AH155" s="57"/>
      <c r="AI155" s="57"/>
      <c r="AJ155" s="57"/>
      <c r="AK155" s="57"/>
      <c r="AL155" s="57"/>
      <c r="AM155" s="57"/>
      <c r="AN155" s="57"/>
      <c r="AO155" s="57"/>
      <c r="AP155" s="57"/>
      <c r="AQ155" s="57"/>
      <c r="AR155" s="57"/>
      <c r="AS155" s="57"/>
      <c r="AT155" s="57"/>
      <c r="AU155" s="57"/>
      <c r="AV155" s="57"/>
      <c r="AW155" s="57"/>
      <c r="AX155" s="57"/>
    </row>
    <row r="156" spans="1:50" ht="15.75" customHeight="1">
      <c r="A156" s="770"/>
      <c r="B156" s="57"/>
      <c r="C156" s="57"/>
      <c r="D156" s="57"/>
      <c r="E156" s="3"/>
      <c r="F156" s="57"/>
      <c r="G156" s="57"/>
      <c r="H156" s="57"/>
      <c r="I156" s="57"/>
      <c r="J156" s="57"/>
      <c r="K156" s="57"/>
      <c r="L156" s="57"/>
      <c r="M156" s="57"/>
      <c r="N156" s="57"/>
      <c r="O156" s="57"/>
      <c r="P156" s="57"/>
      <c r="Q156" s="57"/>
      <c r="R156" s="57"/>
      <c r="S156" s="57"/>
      <c r="T156" s="57"/>
      <c r="U156" s="57"/>
      <c r="V156" s="57"/>
      <c r="W156" s="57"/>
      <c r="X156" s="57"/>
      <c r="Y156" s="57"/>
      <c r="Z156" s="3"/>
      <c r="AA156" s="57"/>
      <c r="AB156" s="21" t="s">
        <v>2615</v>
      </c>
      <c r="AC156" s="57" t="s">
        <v>2163</v>
      </c>
      <c r="AD156" s="784" t="s">
        <v>2616</v>
      </c>
      <c r="AE156" s="674"/>
      <c r="AF156" s="57"/>
      <c r="AG156" s="57"/>
      <c r="AH156" s="57"/>
      <c r="AI156" s="57"/>
      <c r="AJ156" s="57"/>
      <c r="AK156" s="57"/>
      <c r="AL156" s="57"/>
      <c r="AM156" s="57"/>
      <c r="AN156" s="57"/>
      <c r="AO156" s="57"/>
      <c r="AP156" s="57"/>
      <c r="AQ156" s="57"/>
      <c r="AR156" s="57"/>
      <c r="AS156" s="57"/>
      <c r="AT156" s="57"/>
      <c r="AU156" s="57"/>
      <c r="AV156" s="57"/>
      <c r="AW156" s="57"/>
      <c r="AX156" s="57"/>
    </row>
    <row r="157" spans="1:50" ht="15.75" customHeight="1">
      <c r="A157" s="770"/>
      <c r="B157" s="57"/>
      <c r="C157" s="57"/>
      <c r="D157" s="57"/>
      <c r="E157" s="3"/>
      <c r="F157" s="57"/>
      <c r="G157" s="57"/>
      <c r="H157" s="57"/>
      <c r="I157" s="57"/>
      <c r="J157" s="57"/>
      <c r="K157" s="57"/>
      <c r="L157" s="57"/>
      <c r="M157" s="57"/>
      <c r="N157" s="57"/>
      <c r="O157" s="57"/>
      <c r="P157" s="57"/>
      <c r="Q157" s="57"/>
      <c r="R157" s="57"/>
      <c r="S157" s="57"/>
      <c r="T157" s="57"/>
      <c r="U157" s="57"/>
      <c r="V157" s="57"/>
      <c r="W157" s="57"/>
      <c r="X157" s="57"/>
      <c r="Y157" s="57"/>
      <c r="Z157" s="3"/>
      <c r="AA157" s="57"/>
      <c r="AB157" s="52" t="s">
        <v>2617</v>
      </c>
      <c r="AC157" s="57" t="s">
        <v>2180</v>
      </c>
      <c r="AD157" s="772" t="s">
        <v>2618</v>
      </c>
      <c r="AE157" s="674"/>
      <c r="AF157" s="57"/>
      <c r="AG157" s="57"/>
      <c r="AH157" s="57"/>
      <c r="AI157" s="57"/>
      <c r="AJ157" s="57"/>
      <c r="AK157" s="57"/>
      <c r="AL157" s="57"/>
      <c r="AM157" s="57"/>
      <c r="AN157" s="57"/>
      <c r="AO157" s="57"/>
      <c r="AP157" s="57"/>
      <c r="AQ157" s="57"/>
      <c r="AR157" s="57"/>
      <c r="AS157" s="57"/>
      <c r="AT157" s="57"/>
      <c r="AU157" s="57"/>
      <c r="AV157" s="57"/>
      <c r="AW157" s="57"/>
      <c r="AX157" s="57"/>
    </row>
    <row r="158" spans="1:50" ht="15.75" customHeight="1">
      <c r="A158" s="770"/>
      <c r="B158" s="57"/>
      <c r="C158" s="57"/>
      <c r="D158" s="57"/>
      <c r="E158" s="3"/>
      <c r="F158" s="57"/>
      <c r="G158" s="57"/>
      <c r="H158" s="57"/>
      <c r="I158" s="57"/>
      <c r="J158" s="57"/>
      <c r="K158" s="57"/>
      <c r="L158" s="57"/>
      <c r="M158" s="57"/>
      <c r="N158" s="57"/>
      <c r="O158" s="57"/>
      <c r="P158" s="57"/>
      <c r="Q158" s="57"/>
      <c r="R158" s="57"/>
      <c r="S158" s="57"/>
      <c r="T158" s="57"/>
      <c r="U158" s="57"/>
      <c r="V158" s="57"/>
      <c r="W158" s="57"/>
      <c r="X158" s="57"/>
      <c r="Y158" s="57"/>
      <c r="Z158" s="3"/>
      <c r="AA158" s="57"/>
      <c r="AB158" s="52" t="s">
        <v>2619</v>
      </c>
      <c r="AC158" s="57" t="s">
        <v>2180</v>
      </c>
      <c r="AD158" s="772" t="s">
        <v>2620</v>
      </c>
      <c r="AE158" s="674"/>
      <c r="AF158" s="57"/>
      <c r="AG158" s="57"/>
      <c r="AH158" s="57"/>
      <c r="AI158" s="57"/>
      <c r="AJ158" s="57"/>
      <c r="AK158" s="57"/>
      <c r="AL158" s="57"/>
      <c r="AM158" s="57"/>
      <c r="AN158" s="57"/>
      <c r="AO158" s="57"/>
      <c r="AP158" s="57"/>
      <c r="AQ158" s="57"/>
      <c r="AR158" s="57"/>
      <c r="AS158" s="57"/>
      <c r="AT158" s="57"/>
      <c r="AU158" s="57"/>
      <c r="AV158" s="57"/>
      <c r="AW158" s="57"/>
      <c r="AX158" s="57"/>
    </row>
    <row r="159" spans="1:50" ht="15.75" customHeight="1">
      <c r="A159" s="770"/>
      <c r="B159" s="57"/>
      <c r="C159" s="57"/>
      <c r="D159" s="57"/>
      <c r="E159" s="3"/>
      <c r="F159" s="57"/>
      <c r="G159" s="57"/>
      <c r="H159" s="57"/>
      <c r="I159" s="57"/>
      <c r="J159" s="57"/>
      <c r="K159" s="57"/>
      <c r="L159" s="57"/>
      <c r="M159" s="57"/>
      <c r="N159" s="57"/>
      <c r="O159" s="57"/>
      <c r="P159" s="57"/>
      <c r="Q159" s="57"/>
      <c r="R159" s="57"/>
      <c r="S159" s="57"/>
      <c r="T159" s="57"/>
      <c r="U159" s="57"/>
      <c r="V159" s="57"/>
      <c r="W159" s="57"/>
      <c r="X159" s="57"/>
      <c r="Y159" s="57"/>
      <c r="Z159" s="3"/>
      <c r="AA159" s="57"/>
      <c r="AB159" s="52" t="s">
        <v>2434</v>
      </c>
      <c r="AC159" s="57" t="s">
        <v>2180</v>
      </c>
      <c r="AD159" s="772" t="s">
        <v>2435</v>
      </c>
      <c r="AE159" s="674"/>
      <c r="AF159" s="57"/>
      <c r="AG159" s="57"/>
      <c r="AH159" s="57"/>
      <c r="AI159" s="57"/>
      <c r="AJ159" s="57"/>
      <c r="AK159" s="57"/>
      <c r="AL159" s="57"/>
      <c r="AM159" s="57"/>
      <c r="AN159" s="57"/>
      <c r="AO159" s="57"/>
      <c r="AP159" s="57"/>
      <c r="AQ159" s="57"/>
      <c r="AR159" s="57"/>
      <c r="AS159" s="57"/>
      <c r="AT159" s="57"/>
      <c r="AU159" s="57"/>
      <c r="AV159" s="57"/>
      <c r="AW159" s="57"/>
      <c r="AX159" s="57"/>
    </row>
    <row r="160" spans="1:50" ht="15.75" customHeight="1">
      <c r="A160" s="770"/>
      <c r="B160" s="57"/>
      <c r="C160" s="57"/>
      <c r="D160" s="57"/>
      <c r="E160" s="3"/>
      <c r="F160" s="57"/>
      <c r="G160" s="57"/>
      <c r="H160" s="57"/>
      <c r="I160" s="57"/>
      <c r="J160" s="57"/>
      <c r="K160" s="57"/>
      <c r="L160" s="57"/>
      <c r="M160" s="57"/>
      <c r="N160" s="57"/>
      <c r="O160" s="57"/>
      <c r="P160" s="57"/>
      <c r="Q160" s="57"/>
      <c r="R160" s="57"/>
      <c r="S160" s="57"/>
      <c r="T160" s="57"/>
      <c r="U160" s="57"/>
      <c r="V160" s="57"/>
      <c r="W160" s="57"/>
      <c r="X160" s="57"/>
      <c r="Y160" s="57"/>
      <c r="Z160" s="3"/>
      <c r="AA160" s="57"/>
      <c r="AB160" s="21" t="s">
        <v>2403</v>
      </c>
      <c r="AC160" s="57" t="s">
        <v>2180</v>
      </c>
      <c r="AD160" s="772" t="s">
        <v>2404</v>
      </c>
      <c r="AE160" s="674"/>
      <c r="AF160" s="57"/>
      <c r="AG160" s="57"/>
      <c r="AH160" s="57"/>
      <c r="AI160" s="57"/>
      <c r="AJ160" s="57"/>
      <c r="AK160" s="57"/>
      <c r="AL160" s="57"/>
      <c r="AM160" s="57"/>
      <c r="AN160" s="57"/>
      <c r="AO160" s="57"/>
      <c r="AP160" s="57"/>
      <c r="AQ160" s="57"/>
      <c r="AR160" s="57"/>
      <c r="AS160" s="57"/>
      <c r="AT160" s="57"/>
      <c r="AU160" s="57"/>
      <c r="AV160" s="57"/>
      <c r="AW160" s="57"/>
      <c r="AX160" s="57"/>
    </row>
    <row r="161" spans="1:50" ht="15.75" customHeight="1">
      <c r="A161" s="770"/>
      <c r="B161" s="57"/>
      <c r="C161" s="57"/>
      <c r="D161" s="57"/>
      <c r="E161" s="3"/>
      <c r="F161" s="57"/>
      <c r="G161" s="57"/>
      <c r="H161" s="57"/>
      <c r="I161" s="57"/>
      <c r="J161" s="57"/>
      <c r="K161" s="57"/>
      <c r="L161" s="57"/>
      <c r="M161" s="57"/>
      <c r="N161" s="57"/>
      <c r="O161" s="57"/>
      <c r="P161" s="57"/>
      <c r="Q161" s="57"/>
      <c r="R161" s="57"/>
      <c r="S161" s="57"/>
      <c r="T161" s="57"/>
      <c r="U161" s="57"/>
      <c r="V161" s="57"/>
      <c r="W161" s="57"/>
      <c r="X161" s="57"/>
      <c r="Y161" s="57"/>
      <c r="Z161" s="3"/>
      <c r="AA161" s="57"/>
      <c r="AB161" s="21" t="s">
        <v>2621</v>
      </c>
      <c r="AC161" s="57" t="s">
        <v>2180</v>
      </c>
      <c r="AD161" s="772" t="s">
        <v>2622</v>
      </c>
      <c r="AE161" s="674"/>
      <c r="AF161" s="57"/>
      <c r="AG161" s="57"/>
      <c r="AH161" s="57"/>
      <c r="AI161" s="57"/>
      <c r="AJ161" s="57"/>
      <c r="AK161" s="57"/>
      <c r="AL161" s="57"/>
      <c r="AM161" s="57"/>
      <c r="AN161" s="57"/>
      <c r="AO161" s="57"/>
      <c r="AP161" s="57"/>
      <c r="AQ161" s="57"/>
      <c r="AR161" s="57"/>
      <c r="AS161" s="57"/>
      <c r="AT161" s="57"/>
      <c r="AU161" s="57"/>
      <c r="AV161" s="57"/>
      <c r="AW161" s="57"/>
      <c r="AX161" s="57"/>
    </row>
    <row r="162" spans="1:50" ht="15.75" customHeight="1">
      <c r="A162" s="770"/>
      <c r="B162" s="57"/>
      <c r="C162" s="57"/>
      <c r="D162" s="57"/>
      <c r="E162" s="3"/>
      <c r="F162" s="57"/>
      <c r="G162" s="57"/>
      <c r="H162" s="57"/>
      <c r="I162" s="57"/>
      <c r="J162" s="57"/>
      <c r="K162" s="57"/>
      <c r="L162" s="57"/>
      <c r="M162" s="57"/>
      <c r="N162" s="57"/>
      <c r="O162" s="57"/>
      <c r="P162" s="57"/>
      <c r="Q162" s="57"/>
      <c r="R162" s="57"/>
      <c r="S162" s="57"/>
      <c r="T162" s="57"/>
      <c r="U162" s="57"/>
      <c r="V162" s="57"/>
      <c r="W162" s="57"/>
      <c r="X162" s="57"/>
      <c r="Y162" s="57"/>
      <c r="Z162" s="3"/>
      <c r="AA162" s="57"/>
      <c r="AB162" s="21" t="s">
        <v>2623</v>
      </c>
      <c r="AC162" s="57" t="s">
        <v>2180</v>
      </c>
      <c r="AD162" s="772" t="s">
        <v>2624</v>
      </c>
      <c r="AE162" s="674"/>
      <c r="AF162" s="57"/>
      <c r="AG162" s="57"/>
      <c r="AH162" s="57"/>
      <c r="AI162" s="57"/>
      <c r="AJ162" s="57"/>
      <c r="AK162" s="57"/>
      <c r="AL162" s="57"/>
      <c r="AM162" s="57"/>
      <c r="AN162" s="57"/>
      <c r="AO162" s="57"/>
      <c r="AP162" s="57"/>
      <c r="AQ162" s="57"/>
      <c r="AR162" s="57"/>
      <c r="AS162" s="57"/>
      <c r="AT162" s="57"/>
      <c r="AU162" s="57"/>
      <c r="AV162" s="57"/>
      <c r="AW162" s="57"/>
      <c r="AX162" s="57"/>
    </row>
    <row r="163" spans="1:50" ht="15.75" customHeight="1">
      <c r="A163" s="770"/>
      <c r="B163" s="57"/>
      <c r="C163" s="57"/>
      <c r="D163" s="57"/>
      <c r="E163" s="3"/>
      <c r="F163" s="57"/>
      <c r="G163" s="57"/>
      <c r="H163" s="57"/>
      <c r="I163" s="57"/>
      <c r="J163" s="57"/>
      <c r="K163" s="57"/>
      <c r="L163" s="57"/>
      <c r="M163" s="57"/>
      <c r="N163" s="57"/>
      <c r="O163" s="57"/>
      <c r="P163" s="57"/>
      <c r="Q163" s="57"/>
      <c r="R163" s="57"/>
      <c r="S163" s="57"/>
      <c r="T163" s="57"/>
      <c r="U163" s="57"/>
      <c r="V163" s="57"/>
      <c r="W163" s="57"/>
      <c r="X163" s="57"/>
      <c r="Y163" s="57"/>
      <c r="Z163" s="3"/>
      <c r="AA163" s="57"/>
      <c r="AB163" s="21" t="s">
        <v>2430</v>
      </c>
      <c r="AC163" s="57" t="s">
        <v>2180</v>
      </c>
      <c r="AD163" s="772" t="s">
        <v>2431</v>
      </c>
      <c r="AE163" s="674"/>
      <c r="AF163" s="57"/>
      <c r="AG163" s="57"/>
      <c r="AH163" s="57"/>
      <c r="AI163" s="57"/>
      <c r="AJ163" s="57"/>
      <c r="AK163" s="57"/>
      <c r="AL163" s="57"/>
      <c r="AM163" s="57"/>
      <c r="AN163" s="57"/>
      <c r="AO163" s="57"/>
      <c r="AP163" s="57"/>
      <c r="AQ163" s="57"/>
      <c r="AR163" s="57"/>
      <c r="AS163" s="57"/>
      <c r="AT163" s="57"/>
      <c r="AU163" s="57"/>
      <c r="AV163" s="57"/>
      <c r="AW163" s="57"/>
      <c r="AX163" s="57"/>
    </row>
    <row r="164" spans="1:50" ht="15.75" customHeight="1">
      <c r="A164" s="770"/>
      <c r="B164" s="57"/>
      <c r="C164" s="57"/>
      <c r="D164" s="57"/>
      <c r="E164" s="3"/>
      <c r="F164" s="57"/>
      <c r="G164" s="57"/>
      <c r="H164" s="57"/>
      <c r="I164" s="57"/>
      <c r="J164" s="57"/>
      <c r="K164" s="57"/>
      <c r="L164" s="57"/>
      <c r="M164" s="57"/>
      <c r="N164" s="57"/>
      <c r="O164" s="57"/>
      <c r="P164" s="57"/>
      <c r="Q164" s="57"/>
      <c r="R164" s="57"/>
      <c r="S164" s="57"/>
      <c r="T164" s="57"/>
      <c r="U164" s="57"/>
      <c r="V164" s="57"/>
      <c r="W164" s="57"/>
      <c r="X164" s="57"/>
      <c r="Y164" s="57"/>
      <c r="Z164" s="3"/>
      <c r="AA164" s="57"/>
      <c r="AB164" s="21" t="s">
        <v>2625</v>
      </c>
      <c r="AC164" s="57" t="s">
        <v>2180</v>
      </c>
      <c r="AD164" s="777" t="s">
        <v>2626</v>
      </c>
      <c r="AE164" s="674"/>
      <c r="AF164" s="57"/>
      <c r="AG164" s="57"/>
      <c r="AH164" s="57"/>
      <c r="AI164" s="57"/>
      <c r="AJ164" s="57"/>
      <c r="AK164" s="57"/>
      <c r="AL164" s="57"/>
      <c r="AM164" s="57"/>
      <c r="AN164" s="57"/>
      <c r="AO164" s="57"/>
      <c r="AP164" s="57"/>
      <c r="AQ164" s="57"/>
      <c r="AR164" s="57"/>
      <c r="AS164" s="57"/>
      <c r="AT164" s="57"/>
      <c r="AU164" s="57"/>
      <c r="AV164" s="57"/>
      <c r="AW164" s="57"/>
      <c r="AX164" s="57"/>
    </row>
    <row r="165" spans="1:50" ht="15.75" customHeight="1">
      <c r="A165" s="770"/>
      <c r="B165" s="57"/>
      <c r="C165" s="57"/>
      <c r="D165" s="57"/>
      <c r="E165" s="3"/>
      <c r="F165" s="57"/>
      <c r="G165" s="57"/>
      <c r="H165" s="57"/>
      <c r="I165" s="57"/>
      <c r="J165" s="57"/>
      <c r="K165" s="57"/>
      <c r="L165" s="57"/>
      <c r="M165" s="57"/>
      <c r="N165" s="57"/>
      <c r="O165" s="57"/>
      <c r="P165" s="57"/>
      <c r="Q165" s="57"/>
      <c r="R165" s="57"/>
      <c r="S165" s="57"/>
      <c r="T165" s="57"/>
      <c r="U165" s="57"/>
      <c r="V165" s="57"/>
      <c r="W165" s="57"/>
      <c r="X165" s="57"/>
      <c r="Y165" s="57"/>
      <c r="Z165" s="3"/>
      <c r="AA165" s="57"/>
      <c r="AB165" s="3" t="s">
        <v>2627</v>
      </c>
      <c r="AC165" s="57" t="s">
        <v>2180</v>
      </c>
      <c r="AD165" s="3" t="s">
        <v>2628</v>
      </c>
      <c r="AE165" s="57" t="s">
        <v>1149</v>
      </c>
      <c r="AF165" s="57"/>
      <c r="AG165" s="57"/>
      <c r="AH165" s="57"/>
      <c r="AI165" s="57"/>
      <c r="AJ165" s="57"/>
      <c r="AK165" s="57"/>
      <c r="AL165" s="57"/>
      <c r="AM165" s="57"/>
      <c r="AN165" s="57"/>
      <c r="AO165" s="57"/>
      <c r="AP165" s="57"/>
      <c r="AQ165" s="57"/>
      <c r="AR165" s="57"/>
      <c r="AS165" s="57"/>
      <c r="AT165" s="57"/>
      <c r="AU165" s="57"/>
      <c r="AV165" s="57"/>
      <c r="AW165" s="57"/>
      <c r="AX165" s="57"/>
    </row>
    <row r="166" spans="1:50" ht="15.75" customHeight="1">
      <c r="A166" s="770"/>
      <c r="B166" s="57"/>
      <c r="C166" s="57"/>
      <c r="D166" s="57"/>
      <c r="E166" s="3"/>
      <c r="F166" s="57"/>
      <c r="G166" s="57"/>
      <c r="H166" s="57"/>
      <c r="I166" s="57"/>
      <c r="J166" s="57"/>
      <c r="K166" s="57"/>
      <c r="L166" s="57"/>
      <c r="M166" s="57"/>
      <c r="N166" s="57"/>
      <c r="O166" s="57"/>
      <c r="P166" s="57"/>
      <c r="Q166" s="57"/>
      <c r="R166" s="57"/>
      <c r="S166" s="57"/>
      <c r="T166" s="57"/>
      <c r="U166" s="57"/>
      <c r="V166" s="57"/>
      <c r="W166" s="57"/>
      <c r="X166" s="57"/>
      <c r="Y166" s="57"/>
      <c r="Z166" s="3"/>
      <c r="AA166" s="57"/>
      <c r="AB166" s="3" t="s">
        <v>2629</v>
      </c>
      <c r="AC166" s="57" t="s">
        <v>2180</v>
      </c>
      <c r="AD166" s="3" t="s">
        <v>2630</v>
      </c>
      <c r="AE166" s="674"/>
      <c r="AF166" s="57"/>
      <c r="AG166" s="57"/>
      <c r="AH166" s="57"/>
      <c r="AI166" s="57"/>
      <c r="AJ166" s="57"/>
      <c r="AK166" s="57"/>
      <c r="AL166" s="57"/>
      <c r="AM166" s="57"/>
      <c r="AN166" s="57"/>
      <c r="AO166" s="57"/>
      <c r="AP166" s="57"/>
      <c r="AQ166" s="57"/>
      <c r="AR166" s="57"/>
      <c r="AS166" s="57"/>
      <c r="AT166" s="57"/>
      <c r="AU166" s="57"/>
      <c r="AV166" s="57"/>
      <c r="AW166" s="57"/>
      <c r="AX166" s="57"/>
    </row>
    <row r="167" spans="1:50" ht="15.75" customHeight="1">
      <c r="A167" s="770"/>
      <c r="B167" s="57"/>
      <c r="C167" s="57"/>
      <c r="D167" s="57"/>
      <c r="E167" s="3"/>
      <c r="F167" s="57"/>
      <c r="G167" s="57"/>
      <c r="H167" s="57"/>
      <c r="I167" s="57"/>
      <c r="J167" s="57"/>
      <c r="K167" s="57"/>
      <c r="L167" s="57"/>
      <c r="M167" s="57"/>
      <c r="N167" s="57"/>
      <c r="O167" s="57"/>
      <c r="P167" s="57"/>
      <c r="Q167" s="57"/>
      <c r="R167" s="57"/>
      <c r="S167" s="57"/>
      <c r="T167" s="57"/>
      <c r="U167" s="57"/>
      <c r="V167" s="57"/>
      <c r="W167" s="57"/>
      <c r="X167" s="57"/>
      <c r="Y167" s="57"/>
      <c r="Z167" s="3"/>
      <c r="AA167" s="57"/>
      <c r="AB167" s="3" t="s">
        <v>2631</v>
      </c>
      <c r="AC167" s="57" t="s">
        <v>2180</v>
      </c>
      <c r="AD167" s="3" t="s">
        <v>2543</v>
      </c>
      <c r="AE167" s="674"/>
      <c r="AF167" s="57"/>
      <c r="AG167" s="57"/>
      <c r="AH167" s="57"/>
      <c r="AI167" s="57"/>
      <c r="AJ167" s="57"/>
      <c r="AK167" s="57"/>
      <c r="AL167" s="57"/>
      <c r="AM167" s="57"/>
      <c r="AN167" s="57"/>
      <c r="AO167" s="57"/>
      <c r="AP167" s="57"/>
      <c r="AQ167" s="57"/>
      <c r="AR167" s="57"/>
      <c r="AS167" s="57"/>
      <c r="AT167" s="57"/>
      <c r="AU167" s="57"/>
      <c r="AV167" s="57"/>
      <c r="AW167" s="57"/>
      <c r="AX167" s="57"/>
    </row>
    <row r="168" spans="1:50" ht="15.75" customHeight="1">
      <c r="A168" s="770"/>
      <c r="B168" s="57"/>
      <c r="C168" s="57"/>
      <c r="D168" s="57"/>
      <c r="E168" s="3"/>
      <c r="F168" s="57"/>
      <c r="G168" s="57"/>
      <c r="H168" s="57"/>
      <c r="I168" s="57"/>
      <c r="J168" s="57"/>
      <c r="K168" s="57"/>
      <c r="L168" s="57"/>
      <c r="M168" s="57"/>
      <c r="N168" s="57"/>
      <c r="O168" s="57"/>
      <c r="P168" s="57"/>
      <c r="Q168" s="57"/>
      <c r="R168" s="57"/>
      <c r="S168" s="57"/>
      <c r="T168" s="57"/>
      <c r="U168" s="57"/>
      <c r="V168" s="57"/>
      <c r="W168" s="57"/>
      <c r="X168" s="57"/>
      <c r="Y168" s="57"/>
      <c r="Z168" s="3"/>
      <c r="AA168" s="57"/>
      <c r="AB168" s="3" t="s">
        <v>2632</v>
      </c>
      <c r="AC168" s="57" t="s">
        <v>2180</v>
      </c>
      <c r="AD168" s="3" t="s">
        <v>2633</v>
      </c>
      <c r="AE168" s="674"/>
      <c r="AF168" s="57"/>
      <c r="AG168" s="57"/>
      <c r="AH168" s="57"/>
      <c r="AI168" s="57"/>
      <c r="AJ168" s="57"/>
      <c r="AK168" s="57"/>
      <c r="AL168" s="57"/>
      <c r="AM168" s="57"/>
      <c r="AN168" s="57"/>
      <c r="AO168" s="57"/>
      <c r="AP168" s="57"/>
      <c r="AQ168" s="57"/>
      <c r="AR168" s="57"/>
      <c r="AS168" s="57"/>
      <c r="AT168" s="57"/>
      <c r="AU168" s="57"/>
      <c r="AV168" s="57"/>
      <c r="AW168" s="57"/>
      <c r="AX168" s="57"/>
    </row>
    <row r="169" spans="1:50" ht="15.75" customHeight="1">
      <c r="A169" s="770"/>
      <c r="B169" s="57"/>
      <c r="C169" s="57"/>
      <c r="D169" s="57"/>
      <c r="E169" s="3"/>
      <c r="F169" s="57"/>
      <c r="G169" s="57"/>
      <c r="H169" s="57"/>
      <c r="I169" s="57"/>
      <c r="J169" s="57"/>
      <c r="K169" s="57"/>
      <c r="L169" s="57"/>
      <c r="M169" s="57"/>
      <c r="N169" s="57"/>
      <c r="O169" s="57"/>
      <c r="P169" s="57"/>
      <c r="Q169" s="57"/>
      <c r="R169" s="57"/>
      <c r="S169" s="57"/>
      <c r="T169" s="57"/>
      <c r="U169" s="57"/>
      <c r="V169" s="57"/>
      <c r="W169" s="57"/>
      <c r="X169" s="57"/>
      <c r="Y169" s="57"/>
      <c r="Z169" s="3"/>
      <c r="AA169" s="57"/>
      <c r="AB169" s="3" t="s">
        <v>2560</v>
      </c>
      <c r="AC169" s="57" t="s">
        <v>2180</v>
      </c>
      <c r="AD169" s="3" t="s">
        <v>2561</v>
      </c>
      <c r="AE169" s="674"/>
      <c r="AF169" s="57"/>
      <c r="AG169" s="57"/>
      <c r="AH169" s="57"/>
      <c r="AI169" s="57"/>
      <c r="AJ169" s="57"/>
      <c r="AK169" s="57"/>
      <c r="AL169" s="57"/>
      <c r="AM169" s="57"/>
      <c r="AN169" s="57"/>
      <c r="AO169" s="57"/>
      <c r="AP169" s="57"/>
      <c r="AQ169" s="57"/>
      <c r="AR169" s="57"/>
      <c r="AS169" s="57"/>
      <c r="AT169" s="57"/>
      <c r="AU169" s="57"/>
      <c r="AV169" s="57"/>
      <c r="AW169" s="57"/>
      <c r="AX169" s="57"/>
    </row>
    <row r="170" spans="1:50" ht="15.75" customHeight="1">
      <c r="A170" s="770"/>
      <c r="B170" s="57"/>
      <c r="C170" s="57"/>
      <c r="D170" s="57"/>
      <c r="E170" s="3"/>
      <c r="F170" s="57"/>
      <c r="G170" s="57"/>
      <c r="H170" s="57"/>
      <c r="I170" s="57"/>
      <c r="J170" s="57"/>
      <c r="K170" s="57"/>
      <c r="L170" s="57"/>
      <c r="M170" s="57"/>
      <c r="N170" s="57"/>
      <c r="O170" s="57"/>
      <c r="P170" s="57"/>
      <c r="Q170" s="57"/>
      <c r="R170" s="57"/>
      <c r="S170" s="57"/>
      <c r="T170" s="57"/>
      <c r="U170" s="57"/>
      <c r="V170" s="57"/>
      <c r="W170" s="57"/>
      <c r="X170" s="57"/>
      <c r="Y170" s="57"/>
      <c r="Z170" s="3"/>
      <c r="AA170" s="57"/>
      <c r="AB170" s="3" t="s">
        <v>2634</v>
      </c>
      <c r="AC170" s="57" t="s">
        <v>2180</v>
      </c>
      <c r="AD170" s="3" t="s">
        <v>2635</v>
      </c>
      <c r="AE170" s="674"/>
      <c r="AF170" s="57"/>
      <c r="AG170" s="57"/>
      <c r="AH170" s="57"/>
      <c r="AI170" s="57"/>
      <c r="AJ170" s="57"/>
      <c r="AK170" s="57"/>
      <c r="AL170" s="57"/>
      <c r="AM170" s="57"/>
      <c r="AN170" s="57"/>
      <c r="AO170" s="57"/>
      <c r="AP170" s="57"/>
      <c r="AQ170" s="57"/>
      <c r="AR170" s="57"/>
      <c r="AS170" s="57"/>
      <c r="AT170" s="57"/>
      <c r="AU170" s="57"/>
      <c r="AV170" s="57"/>
      <c r="AW170" s="57"/>
      <c r="AX170" s="57"/>
    </row>
    <row r="171" spans="1:50" ht="15.75" customHeight="1">
      <c r="A171" s="770"/>
      <c r="B171" s="57"/>
      <c r="C171" s="57"/>
      <c r="D171" s="57"/>
      <c r="E171" s="3"/>
      <c r="F171" s="57"/>
      <c r="G171" s="57"/>
      <c r="H171" s="57"/>
      <c r="I171" s="57"/>
      <c r="J171" s="57"/>
      <c r="K171" s="57"/>
      <c r="L171" s="57"/>
      <c r="M171" s="57"/>
      <c r="N171" s="57"/>
      <c r="O171" s="57"/>
      <c r="P171" s="57"/>
      <c r="Q171" s="57"/>
      <c r="R171" s="57"/>
      <c r="S171" s="57"/>
      <c r="T171" s="57"/>
      <c r="U171" s="57"/>
      <c r="V171" s="57"/>
      <c r="W171" s="57"/>
      <c r="X171" s="57"/>
      <c r="Y171" s="57"/>
      <c r="Z171" s="3"/>
      <c r="AA171" s="57"/>
      <c r="AB171" s="3" t="s">
        <v>2636</v>
      </c>
      <c r="AC171" s="57" t="s">
        <v>2180</v>
      </c>
      <c r="AD171" s="3" t="s">
        <v>2637</v>
      </c>
      <c r="AE171" s="674"/>
      <c r="AF171" s="57"/>
      <c r="AG171" s="57"/>
      <c r="AH171" s="57"/>
      <c r="AI171" s="57"/>
      <c r="AJ171" s="57"/>
      <c r="AK171" s="57"/>
      <c r="AL171" s="57"/>
      <c r="AM171" s="57"/>
      <c r="AN171" s="57"/>
      <c r="AO171" s="57"/>
      <c r="AP171" s="57"/>
      <c r="AQ171" s="57"/>
      <c r="AR171" s="57"/>
      <c r="AS171" s="57"/>
      <c r="AT171" s="57"/>
      <c r="AU171" s="57"/>
      <c r="AV171" s="57"/>
      <c r="AW171" s="57"/>
      <c r="AX171" s="57"/>
    </row>
    <row r="172" spans="1:50" ht="15.75" customHeight="1">
      <c r="A172" s="770"/>
      <c r="B172" s="57"/>
      <c r="C172" s="57"/>
      <c r="D172" s="57"/>
      <c r="E172" s="3"/>
      <c r="F172" s="57"/>
      <c r="G172" s="57"/>
      <c r="H172" s="57"/>
      <c r="I172" s="57"/>
      <c r="J172" s="57"/>
      <c r="K172" s="57"/>
      <c r="L172" s="57"/>
      <c r="M172" s="57"/>
      <c r="N172" s="57"/>
      <c r="O172" s="57"/>
      <c r="P172" s="57"/>
      <c r="Q172" s="57"/>
      <c r="R172" s="57"/>
      <c r="S172" s="57"/>
      <c r="T172" s="57"/>
      <c r="U172" s="57"/>
      <c r="V172" s="57"/>
      <c r="W172" s="57"/>
      <c r="X172" s="57"/>
      <c r="Y172" s="57"/>
      <c r="Z172" s="3"/>
      <c r="AA172" s="57"/>
      <c r="AB172" s="3" t="s">
        <v>2638</v>
      </c>
      <c r="AC172" s="57" t="s">
        <v>2180</v>
      </c>
      <c r="AD172" s="781" t="s">
        <v>2639</v>
      </c>
      <c r="AE172" s="674"/>
      <c r="AF172" s="57"/>
      <c r="AG172" s="57"/>
      <c r="AH172" s="57"/>
      <c r="AI172" s="57"/>
      <c r="AJ172" s="57"/>
      <c r="AK172" s="57"/>
      <c r="AL172" s="57"/>
      <c r="AM172" s="57"/>
      <c r="AN172" s="57"/>
      <c r="AO172" s="57"/>
      <c r="AP172" s="57"/>
      <c r="AQ172" s="57"/>
      <c r="AR172" s="57"/>
      <c r="AS172" s="57"/>
      <c r="AT172" s="57"/>
      <c r="AU172" s="57"/>
      <c r="AV172" s="57"/>
      <c r="AW172" s="57"/>
      <c r="AX172" s="57"/>
    </row>
    <row r="173" spans="1:50" ht="15.75" customHeight="1">
      <c r="A173" s="770"/>
      <c r="B173" s="57"/>
      <c r="C173" s="57"/>
      <c r="D173" s="57"/>
      <c r="E173" s="3"/>
      <c r="F173" s="57"/>
      <c r="G173" s="57"/>
      <c r="H173" s="57"/>
      <c r="I173" s="57"/>
      <c r="J173" s="57"/>
      <c r="K173" s="57"/>
      <c r="L173" s="57"/>
      <c r="M173" s="57"/>
      <c r="N173" s="57"/>
      <c r="O173" s="57"/>
      <c r="P173" s="57"/>
      <c r="Q173" s="57"/>
      <c r="R173" s="57"/>
      <c r="S173" s="57"/>
      <c r="T173" s="57"/>
      <c r="U173" s="57"/>
      <c r="V173" s="57"/>
      <c r="W173" s="57"/>
      <c r="X173" s="57"/>
      <c r="Y173" s="57"/>
      <c r="Z173" s="3"/>
      <c r="AA173" s="57"/>
      <c r="AB173" s="3" t="s">
        <v>2640</v>
      </c>
      <c r="AC173" s="57" t="s">
        <v>2180</v>
      </c>
      <c r="AD173" s="21" t="s">
        <v>2641</v>
      </c>
      <c r="AE173" s="674"/>
      <c r="AF173" s="57"/>
      <c r="AG173" s="57"/>
      <c r="AH173" s="57"/>
      <c r="AI173" s="57"/>
      <c r="AJ173" s="57"/>
      <c r="AK173" s="57"/>
      <c r="AL173" s="57"/>
      <c r="AM173" s="57"/>
      <c r="AN173" s="57"/>
      <c r="AO173" s="57"/>
      <c r="AP173" s="57"/>
      <c r="AQ173" s="57"/>
      <c r="AR173" s="57"/>
      <c r="AS173" s="57"/>
      <c r="AT173" s="57"/>
      <c r="AU173" s="57"/>
      <c r="AV173" s="57"/>
      <c r="AW173" s="57"/>
      <c r="AX173" s="57"/>
    </row>
    <row r="174" spans="1:50" ht="15.75" customHeight="1">
      <c r="A174" s="770"/>
      <c r="B174" s="57"/>
      <c r="C174" s="57"/>
      <c r="D174" s="57"/>
      <c r="E174" s="3"/>
      <c r="F174" s="57"/>
      <c r="G174" s="57"/>
      <c r="H174" s="57"/>
      <c r="I174" s="57"/>
      <c r="J174" s="57"/>
      <c r="K174" s="57"/>
      <c r="L174" s="57"/>
      <c r="M174" s="57"/>
      <c r="N174" s="57"/>
      <c r="O174" s="57"/>
      <c r="P174" s="57"/>
      <c r="Q174" s="57"/>
      <c r="R174" s="57"/>
      <c r="S174" s="57"/>
      <c r="T174" s="57"/>
      <c r="U174" s="57"/>
      <c r="V174" s="57"/>
      <c r="W174" s="57"/>
      <c r="X174" s="57"/>
      <c r="Y174" s="57"/>
      <c r="Z174" s="3"/>
      <c r="AA174" s="57"/>
      <c r="AB174" s="3" t="s">
        <v>2642</v>
      </c>
      <c r="AC174" s="57" t="s">
        <v>2163</v>
      </c>
      <c r="AD174" s="784" t="s">
        <v>2643</v>
      </c>
      <c r="AE174" s="674"/>
      <c r="AF174" s="57"/>
      <c r="AG174" s="57"/>
      <c r="AH174" s="57"/>
      <c r="AI174" s="57"/>
      <c r="AJ174" s="57"/>
      <c r="AK174" s="57"/>
      <c r="AL174" s="57"/>
      <c r="AM174" s="57"/>
      <c r="AN174" s="57"/>
      <c r="AO174" s="57"/>
      <c r="AP174" s="57"/>
      <c r="AQ174" s="57"/>
      <c r="AR174" s="57"/>
      <c r="AS174" s="57"/>
      <c r="AT174" s="57"/>
      <c r="AU174" s="57"/>
      <c r="AV174" s="57"/>
      <c r="AW174" s="57"/>
      <c r="AX174" s="57"/>
    </row>
    <row r="175" spans="1:50" ht="15.75" customHeight="1">
      <c r="A175" s="770"/>
      <c r="B175" s="57"/>
      <c r="C175" s="57"/>
      <c r="D175" s="57"/>
      <c r="E175" s="3"/>
      <c r="F175" s="57"/>
      <c r="G175" s="57"/>
      <c r="H175" s="57"/>
      <c r="I175" s="57"/>
      <c r="J175" s="57"/>
      <c r="K175" s="57"/>
      <c r="L175" s="57"/>
      <c r="M175" s="57"/>
      <c r="N175" s="57"/>
      <c r="O175" s="57"/>
      <c r="P175" s="57"/>
      <c r="Q175" s="57"/>
      <c r="R175" s="57"/>
      <c r="S175" s="57"/>
      <c r="T175" s="57"/>
      <c r="U175" s="57"/>
      <c r="V175" s="57"/>
      <c r="W175" s="57"/>
      <c r="X175" s="57"/>
      <c r="Y175" s="57"/>
      <c r="Z175" s="3"/>
      <c r="AA175" s="57"/>
      <c r="AB175" s="3" t="s">
        <v>2644</v>
      </c>
      <c r="AC175" s="57" t="s">
        <v>2163</v>
      </c>
      <c r="AD175" s="785" t="s">
        <v>2645</v>
      </c>
      <c r="AE175" s="674"/>
      <c r="AF175" s="57"/>
      <c r="AG175" s="57"/>
      <c r="AH175" s="57"/>
      <c r="AI175" s="57"/>
      <c r="AJ175" s="57"/>
      <c r="AK175" s="57"/>
      <c r="AL175" s="57"/>
      <c r="AM175" s="57"/>
      <c r="AN175" s="57"/>
      <c r="AO175" s="57"/>
      <c r="AP175" s="57"/>
      <c r="AQ175" s="57"/>
      <c r="AR175" s="57"/>
      <c r="AS175" s="57"/>
      <c r="AT175" s="57"/>
      <c r="AU175" s="57"/>
      <c r="AV175" s="57"/>
      <c r="AW175" s="57"/>
      <c r="AX175" s="57"/>
    </row>
    <row r="176" spans="1:50" ht="15.75" customHeight="1">
      <c r="A176" s="770"/>
      <c r="B176" s="57"/>
      <c r="C176" s="57"/>
      <c r="D176" s="57"/>
      <c r="E176" s="3"/>
      <c r="F176" s="57"/>
      <c r="G176" s="57"/>
      <c r="H176" s="57"/>
      <c r="I176" s="57"/>
      <c r="J176" s="57"/>
      <c r="K176" s="57"/>
      <c r="L176" s="57"/>
      <c r="M176" s="57"/>
      <c r="N176" s="57"/>
      <c r="O176" s="57"/>
      <c r="P176" s="57"/>
      <c r="Q176" s="57"/>
      <c r="R176" s="57"/>
      <c r="S176" s="57"/>
      <c r="T176" s="57"/>
      <c r="U176" s="57"/>
      <c r="V176" s="57"/>
      <c r="W176" s="57"/>
      <c r="X176" s="57"/>
      <c r="Y176" s="57"/>
      <c r="Z176" s="3"/>
      <c r="AA176" s="57"/>
      <c r="AB176" s="3" t="s">
        <v>2646</v>
      </c>
      <c r="AC176" s="57" t="s">
        <v>2180</v>
      </c>
      <c r="AD176" s="21" t="s">
        <v>2647</v>
      </c>
      <c r="AE176" s="674"/>
      <c r="AF176" s="57"/>
      <c r="AG176" s="57"/>
      <c r="AH176" s="57"/>
      <c r="AI176" s="57"/>
      <c r="AJ176" s="57"/>
      <c r="AK176" s="57"/>
      <c r="AL176" s="57"/>
      <c r="AM176" s="57"/>
      <c r="AN176" s="57"/>
      <c r="AO176" s="57"/>
      <c r="AP176" s="57"/>
      <c r="AQ176" s="57"/>
      <c r="AR176" s="57"/>
      <c r="AS176" s="57"/>
      <c r="AT176" s="57"/>
      <c r="AU176" s="57"/>
      <c r="AV176" s="57"/>
      <c r="AW176" s="57"/>
      <c r="AX176" s="57"/>
    </row>
    <row r="177" spans="1:50" ht="15.75" customHeight="1">
      <c r="A177" s="770"/>
      <c r="B177" s="57"/>
      <c r="C177" s="57"/>
      <c r="D177" s="57"/>
      <c r="E177" s="3"/>
      <c r="F177" s="57"/>
      <c r="G177" s="57"/>
      <c r="H177" s="57"/>
      <c r="I177" s="57"/>
      <c r="J177" s="57"/>
      <c r="K177" s="57"/>
      <c r="L177" s="57"/>
      <c r="M177" s="57"/>
      <c r="N177" s="57"/>
      <c r="O177" s="57"/>
      <c r="P177" s="57"/>
      <c r="Q177" s="57"/>
      <c r="R177" s="57"/>
      <c r="S177" s="57"/>
      <c r="T177" s="57"/>
      <c r="U177" s="57"/>
      <c r="V177" s="57"/>
      <c r="W177" s="57"/>
      <c r="X177" s="57"/>
      <c r="Y177" s="57"/>
      <c r="Z177" s="3"/>
      <c r="AA177" s="57"/>
      <c r="AB177" s="3" t="s">
        <v>2648</v>
      </c>
      <c r="AC177" s="57" t="s">
        <v>2180</v>
      </c>
      <c r="AD177" s="21" t="s">
        <v>2649</v>
      </c>
      <c r="AE177" s="674"/>
      <c r="AF177" s="57"/>
      <c r="AG177" s="57"/>
      <c r="AH177" s="57"/>
      <c r="AI177" s="57"/>
      <c r="AJ177" s="57"/>
      <c r="AK177" s="57"/>
      <c r="AL177" s="57"/>
      <c r="AM177" s="57"/>
      <c r="AN177" s="57"/>
      <c r="AO177" s="57"/>
      <c r="AP177" s="57"/>
      <c r="AQ177" s="57"/>
      <c r="AR177" s="57"/>
      <c r="AS177" s="57"/>
      <c r="AT177" s="57"/>
      <c r="AU177" s="57"/>
      <c r="AV177" s="57"/>
      <c r="AW177" s="57"/>
      <c r="AX177" s="57"/>
    </row>
    <row r="178" spans="1:50" ht="15.75" customHeight="1">
      <c r="A178" s="770"/>
      <c r="B178" s="57"/>
      <c r="C178" s="57"/>
      <c r="D178" s="57"/>
      <c r="E178" s="3"/>
      <c r="F178" s="57"/>
      <c r="G178" s="57"/>
      <c r="H178" s="57"/>
      <c r="I178" s="57"/>
      <c r="J178" s="57"/>
      <c r="K178" s="57"/>
      <c r="L178" s="57"/>
      <c r="M178" s="57"/>
      <c r="N178" s="57"/>
      <c r="O178" s="57"/>
      <c r="P178" s="57"/>
      <c r="Q178" s="57"/>
      <c r="R178" s="57"/>
      <c r="S178" s="57"/>
      <c r="T178" s="57"/>
      <c r="U178" s="57"/>
      <c r="V178" s="57"/>
      <c r="W178" s="57"/>
      <c r="X178" s="57"/>
      <c r="Y178" s="57"/>
      <c r="Z178" s="3"/>
      <c r="AA178" s="57"/>
      <c r="AB178" s="3" t="s">
        <v>2650</v>
      </c>
      <c r="AC178" s="57" t="s">
        <v>2163</v>
      </c>
      <c r="AD178" s="21" t="s">
        <v>2651</v>
      </c>
      <c r="AE178" s="674"/>
      <c r="AF178" s="57"/>
      <c r="AG178" s="57"/>
      <c r="AH178" s="57"/>
      <c r="AI178" s="57"/>
      <c r="AJ178" s="57"/>
      <c r="AK178" s="57"/>
      <c r="AL178" s="57"/>
      <c r="AM178" s="57"/>
      <c r="AN178" s="57"/>
      <c r="AO178" s="57"/>
      <c r="AP178" s="57"/>
      <c r="AQ178" s="57"/>
      <c r="AR178" s="57"/>
      <c r="AS178" s="57"/>
      <c r="AT178" s="57"/>
      <c r="AU178" s="57"/>
      <c r="AV178" s="57"/>
      <c r="AW178" s="57"/>
      <c r="AX178" s="57"/>
    </row>
    <row r="179" spans="1:50" ht="15.75" customHeight="1">
      <c r="A179" s="770"/>
      <c r="B179" s="57"/>
      <c r="C179" s="57"/>
      <c r="D179" s="57"/>
      <c r="E179" s="3"/>
      <c r="F179" s="57"/>
      <c r="G179" s="57"/>
      <c r="H179" s="57"/>
      <c r="I179" s="57"/>
      <c r="J179" s="57"/>
      <c r="K179" s="57"/>
      <c r="L179" s="57"/>
      <c r="M179" s="57"/>
      <c r="N179" s="57"/>
      <c r="O179" s="57"/>
      <c r="P179" s="57"/>
      <c r="Q179" s="57"/>
      <c r="R179" s="57"/>
      <c r="S179" s="57"/>
      <c r="T179" s="57"/>
      <c r="U179" s="57"/>
      <c r="V179" s="57"/>
      <c r="W179" s="57"/>
      <c r="X179" s="57"/>
      <c r="Y179" s="57"/>
      <c r="Z179" s="3"/>
      <c r="AA179" s="57"/>
      <c r="AB179" s="3" t="s">
        <v>2652</v>
      </c>
      <c r="AC179" s="57" t="s">
        <v>2163</v>
      </c>
      <c r="AD179" s="21" t="s">
        <v>2653</v>
      </c>
      <c r="AE179" s="674"/>
      <c r="AF179" s="57"/>
      <c r="AG179" s="57"/>
      <c r="AH179" s="57"/>
      <c r="AI179" s="57"/>
      <c r="AJ179" s="57"/>
      <c r="AK179" s="57"/>
      <c r="AL179" s="57"/>
      <c r="AM179" s="57"/>
      <c r="AN179" s="57"/>
      <c r="AO179" s="57"/>
      <c r="AP179" s="57"/>
      <c r="AQ179" s="57"/>
      <c r="AR179" s="57"/>
      <c r="AS179" s="57"/>
      <c r="AT179" s="57"/>
      <c r="AU179" s="57"/>
      <c r="AV179" s="57"/>
      <c r="AW179" s="57"/>
      <c r="AX179" s="57"/>
    </row>
    <row r="180" spans="1:50" ht="15.75" customHeight="1">
      <c r="A180" s="770"/>
      <c r="B180" s="57"/>
      <c r="C180" s="57"/>
      <c r="D180" s="57"/>
      <c r="E180" s="3"/>
      <c r="F180" s="57"/>
      <c r="G180" s="57"/>
      <c r="H180" s="57"/>
      <c r="I180" s="57"/>
      <c r="J180" s="57"/>
      <c r="K180" s="57"/>
      <c r="L180" s="57"/>
      <c r="M180" s="57"/>
      <c r="N180" s="57"/>
      <c r="O180" s="57"/>
      <c r="P180" s="57"/>
      <c r="Q180" s="57"/>
      <c r="R180" s="57"/>
      <c r="S180" s="57"/>
      <c r="T180" s="57"/>
      <c r="U180" s="57"/>
      <c r="V180" s="57"/>
      <c r="W180" s="57"/>
      <c r="X180" s="57"/>
      <c r="Y180" s="57"/>
      <c r="Z180" s="3"/>
      <c r="AA180" s="57"/>
      <c r="AB180" s="3" t="s">
        <v>2654</v>
      </c>
      <c r="AC180" s="57" t="s">
        <v>2163</v>
      </c>
      <c r="AD180" s="21" t="s">
        <v>2655</v>
      </c>
      <c r="AE180" s="674"/>
      <c r="AF180" s="57"/>
      <c r="AG180" s="57"/>
      <c r="AH180" s="57"/>
      <c r="AI180" s="57"/>
      <c r="AJ180" s="57"/>
      <c r="AK180" s="57"/>
      <c r="AL180" s="57"/>
      <c r="AM180" s="57"/>
      <c r="AN180" s="57"/>
      <c r="AO180" s="57"/>
      <c r="AP180" s="57"/>
      <c r="AQ180" s="57"/>
      <c r="AR180" s="57"/>
      <c r="AS180" s="57"/>
      <c r="AT180" s="57"/>
      <c r="AU180" s="57"/>
      <c r="AV180" s="57"/>
      <c r="AW180" s="57"/>
      <c r="AX180" s="57"/>
    </row>
    <row r="181" spans="1:50" ht="15.75" customHeight="1">
      <c r="A181" s="770"/>
      <c r="B181" s="57"/>
      <c r="C181" s="57"/>
      <c r="D181" s="57"/>
      <c r="E181" s="3"/>
      <c r="F181" s="57"/>
      <c r="G181" s="57"/>
      <c r="H181" s="57"/>
      <c r="I181" s="57"/>
      <c r="J181" s="57"/>
      <c r="K181" s="57"/>
      <c r="L181" s="57"/>
      <c r="M181" s="57"/>
      <c r="N181" s="57"/>
      <c r="O181" s="57"/>
      <c r="P181" s="57"/>
      <c r="Q181" s="57"/>
      <c r="R181" s="57"/>
      <c r="S181" s="57"/>
      <c r="T181" s="57"/>
      <c r="U181" s="57"/>
      <c r="V181" s="57"/>
      <c r="W181" s="57"/>
      <c r="X181" s="57"/>
      <c r="Y181" s="57"/>
      <c r="Z181" s="3"/>
      <c r="AA181" s="57"/>
      <c r="AB181" s="3" t="s">
        <v>2656</v>
      </c>
      <c r="AC181" s="57" t="s">
        <v>2180</v>
      </c>
      <c r="AD181" s="776" t="s">
        <v>2578</v>
      </c>
      <c r="AE181" s="674"/>
      <c r="AF181" s="57"/>
      <c r="AG181" s="57"/>
      <c r="AH181" s="57"/>
      <c r="AI181" s="57"/>
      <c r="AJ181" s="57"/>
      <c r="AK181" s="57"/>
      <c r="AL181" s="57"/>
      <c r="AM181" s="57"/>
      <c r="AN181" s="57"/>
      <c r="AO181" s="57"/>
      <c r="AP181" s="57"/>
      <c r="AQ181" s="57"/>
      <c r="AR181" s="57"/>
      <c r="AS181" s="57"/>
      <c r="AT181" s="57"/>
      <c r="AU181" s="57"/>
      <c r="AV181" s="57"/>
      <c r="AW181" s="57"/>
      <c r="AX181" s="57"/>
    </row>
    <row r="182" spans="1:50" ht="15.75" customHeight="1">
      <c r="A182" s="770"/>
      <c r="B182" s="57"/>
      <c r="C182" s="57"/>
      <c r="D182" s="57"/>
      <c r="E182" s="3"/>
      <c r="F182" s="57"/>
      <c r="G182" s="57"/>
      <c r="H182" s="57"/>
      <c r="I182" s="57"/>
      <c r="J182" s="57"/>
      <c r="K182" s="57"/>
      <c r="L182" s="57"/>
      <c r="M182" s="57"/>
      <c r="N182" s="57"/>
      <c r="O182" s="57"/>
      <c r="P182" s="57"/>
      <c r="Q182" s="57"/>
      <c r="R182" s="57"/>
      <c r="S182" s="57"/>
      <c r="T182" s="57"/>
      <c r="U182" s="57"/>
      <c r="V182" s="57"/>
      <c r="W182" s="57"/>
      <c r="X182" s="57"/>
      <c r="Y182" s="57"/>
      <c r="Z182" s="3"/>
      <c r="AA182" s="57"/>
      <c r="AB182" s="3" t="s">
        <v>2657</v>
      </c>
      <c r="AC182" s="57" t="s">
        <v>2180</v>
      </c>
      <c r="AD182" s="21" t="s">
        <v>2658</v>
      </c>
      <c r="AE182" s="674"/>
      <c r="AF182" s="57"/>
      <c r="AG182" s="57"/>
      <c r="AH182" s="57"/>
      <c r="AI182" s="57"/>
      <c r="AJ182" s="57"/>
      <c r="AK182" s="57"/>
      <c r="AL182" s="57"/>
      <c r="AM182" s="57"/>
      <c r="AN182" s="57"/>
      <c r="AO182" s="57"/>
      <c r="AP182" s="57"/>
      <c r="AQ182" s="57"/>
      <c r="AR182" s="57"/>
      <c r="AS182" s="57"/>
      <c r="AT182" s="57"/>
      <c r="AU182" s="57"/>
      <c r="AV182" s="57"/>
      <c r="AW182" s="57"/>
      <c r="AX182" s="57"/>
    </row>
    <row r="183" spans="1:50" ht="15.75" customHeight="1">
      <c r="A183" s="770"/>
      <c r="B183" s="57"/>
      <c r="C183" s="57"/>
      <c r="D183" s="57"/>
      <c r="E183" s="3"/>
      <c r="F183" s="57"/>
      <c r="G183" s="57"/>
      <c r="H183" s="57"/>
      <c r="I183" s="57"/>
      <c r="J183" s="57"/>
      <c r="K183" s="57"/>
      <c r="L183" s="57"/>
      <c r="M183" s="57"/>
      <c r="N183" s="57"/>
      <c r="O183" s="57"/>
      <c r="P183" s="57"/>
      <c r="Q183" s="57"/>
      <c r="R183" s="57"/>
      <c r="S183" s="57"/>
      <c r="T183" s="57"/>
      <c r="U183" s="57"/>
      <c r="V183" s="57"/>
      <c r="W183" s="57"/>
      <c r="X183" s="57"/>
      <c r="Y183" s="57"/>
      <c r="Z183" s="3"/>
      <c r="AA183" s="57"/>
      <c r="AB183" s="3" t="s">
        <v>2659</v>
      </c>
      <c r="AC183" s="57" t="s">
        <v>2180</v>
      </c>
      <c r="AD183" s="21" t="s">
        <v>2610</v>
      </c>
      <c r="AE183" s="674"/>
      <c r="AF183" s="57"/>
      <c r="AG183" s="57"/>
      <c r="AH183" s="57"/>
      <c r="AI183" s="57"/>
      <c r="AJ183" s="57"/>
      <c r="AK183" s="57"/>
      <c r="AL183" s="57"/>
      <c r="AM183" s="57"/>
      <c r="AN183" s="57"/>
      <c r="AO183" s="57"/>
      <c r="AP183" s="57"/>
      <c r="AQ183" s="57"/>
      <c r="AR183" s="57"/>
      <c r="AS183" s="57"/>
      <c r="AT183" s="57"/>
      <c r="AU183" s="57"/>
      <c r="AV183" s="57"/>
      <c r="AW183" s="57"/>
      <c r="AX183" s="57"/>
    </row>
    <row r="184" spans="1:50" ht="15.75" customHeight="1">
      <c r="A184" s="770"/>
      <c r="B184" s="57"/>
      <c r="C184" s="57"/>
      <c r="D184" s="57"/>
      <c r="E184" s="3"/>
      <c r="F184" s="57"/>
      <c r="G184" s="57"/>
      <c r="H184" s="57"/>
      <c r="I184" s="57"/>
      <c r="J184" s="57"/>
      <c r="K184" s="57"/>
      <c r="L184" s="57"/>
      <c r="M184" s="57"/>
      <c r="N184" s="57"/>
      <c r="O184" s="57"/>
      <c r="P184" s="57"/>
      <c r="Q184" s="57"/>
      <c r="R184" s="57"/>
      <c r="S184" s="57"/>
      <c r="T184" s="57"/>
      <c r="U184" s="57"/>
      <c r="V184" s="57"/>
      <c r="W184" s="57"/>
      <c r="X184" s="57"/>
      <c r="Y184" s="57"/>
      <c r="Z184" s="3"/>
      <c r="AA184" s="57"/>
      <c r="AB184" s="3" t="s">
        <v>2660</v>
      </c>
      <c r="AC184" s="57" t="s">
        <v>2163</v>
      </c>
      <c r="AD184" s="781" t="s">
        <v>2661</v>
      </c>
      <c r="AE184" s="674"/>
      <c r="AF184" s="57"/>
      <c r="AG184" s="57"/>
      <c r="AH184" s="57"/>
      <c r="AI184" s="57"/>
      <c r="AJ184" s="57"/>
      <c r="AK184" s="57"/>
      <c r="AL184" s="57"/>
      <c r="AM184" s="57"/>
      <c r="AN184" s="57"/>
      <c r="AO184" s="57"/>
      <c r="AP184" s="57"/>
      <c r="AQ184" s="57"/>
      <c r="AR184" s="57"/>
      <c r="AS184" s="57"/>
      <c r="AT184" s="57"/>
      <c r="AU184" s="57"/>
      <c r="AV184" s="57"/>
      <c r="AW184" s="57"/>
      <c r="AX184" s="57"/>
    </row>
    <row r="185" spans="1:50" ht="15.75" customHeight="1">
      <c r="A185" s="770"/>
      <c r="B185" s="57"/>
      <c r="C185" s="57"/>
      <c r="D185" s="57"/>
      <c r="E185" s="3"/>
      <c r="F185" s="57"/>
      <c r="G185" s="57"/>
      <c r="H185" s="57"/>
      <c r="I185" s="57"/>
      <c r="J185" s="57"/>
      <c r="K185" s="57"/>
      <c r="L185" s="57"/>
      <c r="M185" s="57"/>
      <c r="N185" s="57"/>
      <c r="O185" s="57"/>
      <c r="P185" s="57"/>
      <c r="Q185" s="57"/>
      <c r="R185" s="57"/>
      <c r="S185" s="57"/>
      <c r="T185" s="57"/>
      <c r="U185" s="57"/>
      <c r="V185" s="57"/>
      <c r="W185" s="57"/>
      <c r="X185" s="57"/>
      <c r="Y185" s="57"/>
      <c r="Z185" s="3"/>
      <c r="AA185" s="57"/>
      <c r="AB185" s="3" t="s">
        <v>2662</v>
      </c>
      <c r="AC185" s="57" t="s">
        <v>2180</v>
      </c>
      <c r="AD185" s="784" t="s">
        <v>2635</v>
      </c>
      <c r="AE185" s="674"/>
      <c r="AF185" s="57"/>
      <c r="AG185" s="57"/>
      <c r="AH185" s="57"/>
      <c r="AI185" s="57"/>
      <c r="AJ185" s="57"/>
      <c r="AK185" s="57"/>
      <c r="AL185" s="57"/>
      <c r="AM185" s="57"/>
      <c r="AN185" s="57"/>
      <c r="AO185" s="57"/>
      <c r="AP185" s="57"/>
      <c r="AQ185" s="57"/>
      <c r="AR185" s="57"/>
      <c r="AS185" s="57"/>
      <c r="AT185" s="57"/>
      <c r="AU185" s="57"/>
      <c r="AV185" s="57"/>
      <c r="AW185" s="57"/>
      <c r="AX185" s="57"/>
    </row>
    <row r="186" spans="1:50" ht="15.75" customHeight="1">
      <c r="A186" s="770"/>
      <c r="B186" s="57"/>
      <c r="C186" s="57"/>
      <c r="D186" s="57"/>
      <c r="E186" s="3"/>
      <c r="F186" s="57"/>
      <c r="G186" s="57"/>
      <c r="H186" s="57"/>
      <c r="I186" s="57"/>
      <c r="J186" s="57"/>
      <c r="K186" s="57"/>
      <c r="L186" s="57"/>
      <c r="M186" s="57"/>
      <c r="N186" s="57"/>
      <c r="O186" s="57"/>
      <c r="P186" s="57"/>
      <c r="Q186" s="57"/>
      <c r="R186" s="57"/>
      <c r="S186" s="57"/>
      <c r="T186" s="57"/>
      <c r="U186" s="57"/>
      <c r="V186" s="57"/>
      <c r="W186" s="57"/>
      <c r="X186" s="57"/>
      <c r="Y186" s="57"/>
      <c r="Z186" s="3"/>
      <c r="AA186" s="57"/>
      <c r="AB186" s="21" t="s">
        <v>2663</v>
      </c>
      <c r="AC186" s="57" t="s">
        <v>2180</v>
      </c>
      <c r="AD186" s="3" t="s">
        <v>2664</v>
      </c>
      <c r="AE186" s="57" t="s">
        <v>969</v>
      </c>
      <c r="AF186" s="57"/>
      <c r="AG186" s="57"/>
      <c r="AH186" s="57"/>
      <c r="AI186" s="57"/>
      <c r="AJ186" s="57"/>
      <c r="AK186" s="57"/>
      <c r="AL186" s="57"/>
      <c r="AM186" s="57"/>
      <c r="AN186" s="57"/>
      <c r="AO186" s="57"/>
      <c r="AP186" s="57"/>
      <c r="AQ186" s="57"/>
      <c r="AR186" s="57"/>
      <c r="AS186" s="57"/>
      <c r="AT186" s="57"/>
      <c r="AU186" s="57"/>
      <c r="AV186" s="57"/>
      <c r="AW186" s="57"/>
      <c r="AX186" s="57"/>
    </row>
    <row r="187" spans="1:50" ht="15.75" customHeight="1">
      <c r="A187" s="770"/>
      <c r="B187" s="57"/>
      <c r="C187" s="57"/>
      <c r="D187" s="57"/>
      <c r="E187" s="3"/>
      <c r="F187" s="57"/>
      <c r="G187" s="57"/>
      <c r="H187" s="57"/>
      <c r="I187" s="57"/>
      <c r="J187" s="57"/>
      <c r="K187" s="57"/>
      <c r="L187" s="57"/>
      <c r="M187" s="57"/>
      <c r="N187" s="57"/>
      <c r="O187" s="57"/>
      <c r="P187" s="57"/>
      <c r="Q187" s="57"/>
      <c r="R187" s="57"/>
      <c r="S187" s="57"/>
      <c r="T187" s="57"/>
      <c r="U187" s="57"/>
      <c r="V187" s="57"/>
      <c r="W187" s="57"/>
      <c r="X187" s="57"/>
      <c r="Y187" s="57"/>
      <c r="Z187" s="3"/>
      <c r="AA187" s="57"/>
      <c r="AB187" s="44" t="s">
        <v>2665</v>
      </c>
      <c r="AC187" s="57" t="s">
        <v>2180</v>
      </c>
      <c r="AD187" s="3" t="s">
        <v>2666</v>
      </c>
      <c r="AE187" s="674"/>
      <c r="AF187" s="57"/>
      <c r="AG187" s="57"/>
      <c r="AH187" s="57"/>
      <c r="AI187" s="57"/>
      <c r="AJ187" s="57"/>
      <c r="AK187" s="57"/>
      <c r="AL187" s="57"/>
      <c r="AM187" s="57"/>
      <c r="AN187" s="57"/>
      <c r="AO187" s="57"/>
      <c r="AP187" s="57"/>
      <c r="AQ187" s="57"/>
      <c r="AR187" s="57"/>
      <c r="AS187" s="57"/>
      <c r="AT187" s="57"/>
      <c r="AU187" s="57"/>
      <c r="AV187" s="57"/>
      <c r="AW187" s="57"/>
      <c r="AX187" s="57"/>
    </row>
    <row r="188" spans="1:50" ht="15.75" customHeight="1">
      <c r="A188" s="770"/>
      <c r="B188" s="57"/>
      <c r="C188" s="57"/>
      <c r="D188" s="57"/>
      <c r="E188" s="3"/>
      <c r="F188" s="57"/>
      <c r="G188" s="57"/>
      <c r="H188" s="57"/>
      <c r="I188" s="57"/>
      <c r="J188" s="57"/>
      <c r="K188" s="57"/>
      <c r="L188" s="57"/>
      <c r="M188" s="57"/>
      <c r="N188" s="57"/>
      <c r="O188" s="57"/>
      <c r="P188" s="57"/>
      <c r="Q188" s="57"/>
      <c r="R188" s="57"/>
      <c r="S188" s="57"/>
      <c r="T188" s="57"/>
      <c r="U188" s="57"/>
      <c r="V188" s="57"/>
      <c r="W188" s="57"/>
      <c r="X188" s="57"/>
      <c r="Y188" s="57"/>
      <c r="Z188" s="3"/>
      <c r="AA188" s="57"/>
      <c r="AB188" s="786" t="s">
        <v>2667</v>
      </c>
      <c r="AC188" s="57" t="s">
        <v>2163</v>
      </c>
      <c r="AD188" s="3" t="s">
        <v>2668</v>
      </c>
      <c r="AE188" s="674"/>
      <c r="AF188" s="57"/>
      <c r="AG188" s="57"/>
      <c r="AH188" s="57"/>
      <c r="AI188" s="57"/>
      <c r="AJ188" s="57"/>
      <c r="AK188" s="57"/>
      <c r="AL188" s="57"/>
      <c r="AM188" s="57"/>
      <c r="AN188" s="57"/>
      <c r="AO188" s="57"/>
      <c r="AP188" s="57"/>
      <c r="AQ188" s="57"/>
      <c r="AR188" s="57"/>
      <c r="AS188" s="57"/>
      <c r="AT188" s="57"/>
      <c r="AU188" s="57"/>
      <c r="AV188" s="57"/>
      <c r="AW188" s="57"/>
      <c r="AX188" s="57"/>
    </row>
    <row r="189" spans="1:50" ht="15.75" customHeight="1">
      <c r="A189" s="770"/>
      <c r="B189" s="57"/>
      <c r="C189" s="57"/>
      <c r="D189" s="57"/>
      <c r="E189" s="3"/>
      <c r="F189" s="57"/>
      <c r="G189" s="57"/>
      <c r="H189" s="57"/>
      <c r="I189" s="57"/>
      <c r="J189" s="57"/>
      <c r="K189" s="57"/>
      <c r="L189" s="57"/>
      <c r="M189" s="57"/>
      <c r="N189" s="57"/>
      <c r="O189" s="57"/>
      <c r="P189" s="57"/>
      <c r="Q189" s="57"/>
      <c r="R189" s="57"/>
      <c r="S189" s="57"/>
      <c r="T189" s="57"/>
      <c r="U189" s="57"/>
      <c r="V189" s="57"/>
      <c r="W189" s="57"/>
      <c r="X189" s="57"/>
      <c r="Y189" s="57"/>
      <c r="Z189" s="3"/>
      <c r="AA189" s="57"/>
      <c r="AB189" s="44" t="s">
        <v>2669</v>
      </c>
      <c r="AC189" s="57" t="s">
        <v>2180</v>
      </c>
      <c r="AD189" s="3" t="s">
        <v>2670</v>
      </c>
      <c r="AE189" s="674"/>
      <c r="AF189" s="57"/>
      <c r="AG189" s="57"/>
      <c r="AH189" s="57"/>
      <c r="AI189" s="57"/>
      <c r="AJ189" s="57"/>
      <c r="AK189" s="57"/>
      <c r="AL189" s="57"/>
      <c r="AM189" s="57"/>
      <c r="AN189" s="57"/>
      <c r="AO189" s="57"/>
      <c r="AP189" s="57"/>
      <c r="AQ189" s="57"/>
      <c r="AR189" s="57"/>
      <c r="AS189" s="57"/>
      <c r="AT189" s="57"/>
      <c r="AU189" s="57"/>
      <c r="AV189" s="57"/>
      <c r="AW189" s="57"/>
      <c r="AX189" s="57"/>
    </row>
    <row r="190" spans="1:50" ht="15.75" customHeight="1">
      <c r="A190" s="770"/>
      <c r="B190" s="57"/>
      <c r="C190" s="57"/>
      <c r="D190" s="57"/>
      <c r="E190" s="3"/>
      <c r="F190" s="57"/>
      <c r="G190" s="57"/>
      <c r="H190" s="57"/>
      <c r="I190" s="57"/>
      <c r="J190" s="57"/>
      <c r="K190" s="57"/>
      <c r="L190" s="57"/>
      <c r="M190" s="57"/>
      <c r="N190" s="57"/>
      <c r="O190" s="57"/>
      <c r="P190" s="57"/>
      <c r="Q190" s="57"/>
      <c r="R190" s="57"/>
      <c r="S190" s="57"/>
      <c r="T190" s="57"/>
      <c r="U190" s="57"/>
      <c r="V190" s="57"/>
      <c r="W190" s="57"/>
      <c r="X190" s="57"/>
      <c r="Y190" s="57"/>
      <c r="Z190" s="3"/>
      <c r="AA190" s="57"/>
      <c r="AB190" s="44" t="s">
        <v>2671</v>
      </c>
      <c r="AC190" s="57" t="s">
        <v>2180</v>
      </c>
      <c r="AD190" s="3" t="s">
        <v>2672</v>
      </c>
      <c r="AE190" s="674"/>
      <c r="AF190" s="57"/>
      <c r="AG190" s="57"/>
      <c r="AH190" s="57"/>
      <c r="AI190" s="57"/>
      <c r="AJ190" s="57"/>
      <c r="AK190" s="57"/>
      <c r="AL190" s="57"/>
      <c r="AM190" s="57"/>
      <c r="AN190" s="57"/>
      <c r="AO190" s="57"/>
      <c r="AP190" s="57"/>
      <c r="AQ190" s="57"/>
      <c r="AR190" s="57"/>
      <c r="AS190" s="57"/>
      <c r="AT190" s="57"/>
      <c r="AU190" s="57"/>
      <c r="AV190" s="57"/>
      <c r="AW190" s="57"/>
      <c r="AX190" s="57"/>
    </row>
    <row r="191" spans="1:50" ht="15.75" customHeight="1">
      <c r="A191" s="770"/>
      <c r="B191" s="57"/>
      <c r="C191" s="57"/>
      <c r="D191" s="57"/>
      <c r="E191" s="3"/>
      <c r="F191" s="57"/>
      <c r="G191" s="57"/>
      <c r="H191" s="57"/>
      <c r="I191" s="57"/>
      <c r="J191" s="57"/>
      <c r="K191" s="57"/>
      <c r="L191" s="57"/>
      <c r="M191" s="57"/>
      <c r="N191" s="57"/>
      <c r="O191" s="57"/>
      <c r="P191" s="57"/>
      <c r="Q191" s="57"/>
      <c r="R191" s="57"/>
      <c r="S191" s="57"/>
      <c r="T191" s="57"/>
      <c r="U191" s="57"/>
      <c r="V191" s="57"/>
      <c r="W191" s="57"/>
      <c r="X191" s="57"/>
      <c r="Y191" s="57"/>
      <c r="Z191" s="3"/>
      <c r="AA191" s="57"/>
      <c r="AB191" s="787" t="s">
        <v>2673</v>
      </c>
      <c r="AC191" s="57" t="s">
        <v>2180</v>
      </c>
      <c r="AD191" s="3" t="s">
        <v>2674</v>
      </c>
      <c r="AE191" s="674"/>
      <c r="AF191" s="57"/>
      <c r="AG191" s="57"/>
      <c r="AH191" s="57"/>
      <c r="AI191" s="57"/>
      <c r="AJ191" s="57"/>
      <c r="AK191" s="57"/>
      <c r="AL191" s="57"/>
      <c r="AM191" s="57"/>
      <c r="AN191" s="57"/>
      <c r="AO191" s="57"/>
      <c r="AP191" s="57"/>
      <c r="AQ191" s="57"/>
      <c r="AR191" s="57"/>
      <c r="AS191" s="57"/>
      <c r="AT191" s="57"/>
      <c r="AU191" s="57"/>
      <c r="AV191" s="57"/>
      <c r="AW191" s="57"/>
      <c r="AX191" s="57"/>
    </row>
    <row r="192" spans="1:50" ht="15.75" customHeight="1">
      <c r="A192" s="770"/>
      <c r="B192" s="57"/>
      <c r="C192" s="57"/>
      <c r="D192" s="57"/>
      <c r="E192" s="3"/>
      <c r="F192" s="57"/>
      <c r="G192" s="57"/>
      <c r="H192" s="57"/>
      <c r="I192" s="57"/>
      <c r="J192" s="57"/>
      <c r="K192" s="57"/>
      <c r="L192" s="57"/>
      <c r="M192" s="57"/>
      <c r="N192" s="57"/>
      <c r="O192" s="57"/>
      <c r="P192" s="57"/>
      <c r="Q192" s="57"/>
      <c r="R192" s="57"/>
      <c r="S192" s="57"/>
      <c r="T192" s="57"/>
      <c r="U192" s="57"/>
      <c r="V192" s="57"/>
      <c r="W192" s="57"/>
      <c r="X192" s="57"/>
      <c r="Y192" s="57"/>
      <c r="Z192" s="3"/>
      <c r="AA192" s="57"/>
      <c r="AB192" s="21" t="s">
        <v>2675</v>
      </c>
      <c r="AC192" s="57" t="s">
        <v>2180</v>
      </c>
      <c r="AD192" s="3" t="s">
        <v>2676</v>
      </c>
      <c r="AE192" s="674"/>
      <c r="AF192" s="57"/>
      <c r="AG192" s="57"/>
      <c r="AH192" s="57"/>
      <c r="AI192" s="57"/>
      <c r="AJ192" s="57"/>
      <c r="AK192" s="57"/>
      <c r="AL192" s="57"/>
      <c r="AM192" s="57"/>
      <c r="AN192" s="57"/>
      <c r="AO192" s="57"/>
      <c r="AP192" s="57"/>
      <c r="AQ192" s="57"/>
      <c r="AR192" s="57"/>
      <c r="AS192" s="57"/>
      <c r="AT192" s="57"/>
      <c r="AU192" s="57"/>
      <c r="AV192" s="57"/>
      <c r="AW192" s="57"/>
      <c r="AX192" s="57"/>
    </row>
    <row r="193" spans="1:50" ht="15.75" customHeight="1">
      <c r="A193" s="770"/>
      <c r="B193" s="57"/>
      <c r="C193" s="57"/>
      <c r="D193" s="57"/>
      <c r="E193" s="3"/>
      <c r="F193" s="57"/>
      <c r="G193" s="57"/>
      <c r="H193" s="57"/>
      <c r="I193" s="57"/>
      <c r="J193" s="57"/>
      <c r="K193" s="57"/>
      <c r="L193" s="57"/>
      <c r="M193" s="57"/>
      <c r="N193" s="57"/>
      <c r="O193" s="57"/>
      <c r="P193" s="57"/>
      <c r="Q193" s="57"/>
      <c r="R193" s="57"/>
      <c r="S193" s="57"/>
      <c r="T193" s="57"/>
      <c r="U193" s="57"/>
      <c r="V193" s="57"/>
      <c r="W193" s="57"/>
      <c r="X193" s="57"/>
      <c r="Y193" s="57"/>
      <c r="Z193" s="3"/>
      <c r="AA193" s="57"/>
      <c r="AB193" s="772" t="s">
        <v>2636</v>
      </c>
      <c r="AC193" s="57" t="s">
        <v>2180</v>
      </c>
      <c r="AD193" s="3" t="s">
        <v>2637</v>
      </c>
      <c r="AE193" s="674"/>
      <c r="AF193" s="57"/>
      <c r="AG193" s="57"/>
      <c r="AH193" s="57"/>
      <c r="AI193" s="57"/>
      <c r="AJ193" s="57"/>
      <c r="AK193" s="57"/>
      <c r="AL193" s="57"/>
      <c r="AM193" s="57"/>
      <c r="AN193" s="57"/>
      <c r="AO193" s="57"/>
      <c r="AP193" s="57"/>
      <c r="AQ193" s="57"/>
      <c r="AR193" s="57"/>
      <c r="AS193" s="57"/>
      <c r="AT193" s="57"/>
      <c r="AU193" s="57"/>
      <c r="AV193" s="57"/>
      <c r="AW193" s="57"/>
      <c r="AX193" s="57"/>
    </row>
    <row r="194" spans="1:50" ht="15.75" customHeight="1">
      <c r="A194" s="770"/>
      <c r="B194" s="57"/>
      <c r="C194" s="57"/>
      <c r="D194" s="57"/>
      <c r="E194" s="3"/>
      <c r="F194" s="57"/>
      <c r="G194" s="57"/>
      <c r="H194" s="57"/>
      <c r="I194" s="57"/>
      <c r="J194" s="57"/>
      <c r="K194" s="57"/>
      <c r="L194" s="57"/>
      <c r="M194" s="57"/>
      <c r="N194" s="57"/>
      <c r="O194" s="57"/>
      <c r="P194" s="57"/>
      <c r="Q194" s="57"/>
      <c r="R194" s="57"/>
      <c r="S194" s="57"/>
      <c r="T194" s="57"/>
      <c r="U194" s="57"/>
      <c r="V194" s="57"/>
      <c r="W194" s="57"/>
      <c r="X194" s="57"/>
      <c r="Y194" s="57"/>
      <c r="Z194" s="3"/>
      <c r="AA194" s="57"/>
      <c r="AB194" s="21" t="s">
        <v>2677</v>
      </c>
      <c r="AC194" s="57" t="s">
        <v>2163</v>
      </c>
      <c r="AD194" s="3" t="s">
        <v>2678</v>
      </c>
      <c r="AE194" s="674"/>
      <c r="AF194" s="57"/>
      <c r="AG194" s="57"/>
      <c r="AH194" s="57"/>
      <c r="AI194" s="57"/>
      <c r="AJ194" s="57"/>
      <c r="AK194" s="57"/>
      <c r="AL194" s="57"/>
      <c r="AM194" s="57"/>
      <c r="AN194" s="57"/>
      <c r="AO194" s="57"/>
      <c r="AP194" s="57"/>
      <c r="AQ194" s="57"/>
      <c r="AR194" s="57"/>
      <c r="AS194" s="57"/>
      <c r="AT194" s="57"/>
      <c r="AU194" s="57"/>
      <c r="AV194" s="57"/>
      <c r="AW194" s="57"/>
      <c r="AX194" s="57"/>
    </row>
    <row r="195" spans="1:50" ht="15.75" customHeight="1">
      <c r="A195" s="770"/>
      <c r="B195" s="57"/>
      <c r="C195" s="57"/>
      <c r="D195" s="57"/>
      <c r="E195" s="3"/>
      <c r="F195" s="57"/>
      <c r="G195" s="57"/>
      <c r="H195" s="57"/>
      <c r="I195" s="57"/>
      <c r="J195" s="57"/>
      <c r="K195" s="57"/>
      <c r="L195" s="57"/>
      <c r="M195" s="57"/>
      <c r="N195" s="57"/>
      <c r="O195" s="57"/>
      <c r="P195" s="57"/>
      <c r="Q195" s="57"/>
      <c r="R195" s="57"/>
      <c r="S195" s="57"/>
      <c r="T195" s="57"/>
      <c r="U195" s="57"/>
      <c r="V195" s="57"/>
      <c r="W195" s="57"/>
      <c r="X195" s="57"/>
      <c r="Y195" s="57"/>
      <c r="Z195" s="3"/>
      <c r="AA195" s="57"/>
      <c r="AB195" s="21" t="s">
        <v>2679</v>
      </c>
      <c r="AC195" s="57" t="s">
        <v>2180</v>
      </c>
      <c r="AD195" s="3" t="s">
        <v>2641</v>
      </c>
      <c r="AE195" s="674"/>
      <c r="AF195" s="57"/>
      <c r="AG195" s="57"/>
      <c r="AH195" s="57"/>
      <c r="AI195" s="57"/>
      <c r="AJ195" s="57"/>
      <c r="AK195" s="57"/>
      <c r="AL195" s="57"/>
      <c r="AM195" s="57"/>
      <c r="AN195" s="57"/>
      <c r="AO195" s="57"/>
      <c r="AP195" s="57"/>
      <c r="AQ195" s="57"/>
      <c r="AR195" s="57"/>
      <c r="AS195" s="57"/>
      <c r="AT195" s="57"/>
      <c r="AU195" s="57"/>
      <c r="AV195" s="57"/>
      <c r="AW195" s="57"/>
      <c r="AX195" s="57"/>
    </row>
    <row r="196" spans="1:50" ht="15.75" customHeight="1">
      <c r="A196" s="770"/>
      <c r="B196" s="57"/>
      <c r="C196" s="57"/>
      <c r="D196" s="57"/>
      <c r="E196" s="3"/>
      <c r="F196" s="57"/>
      <c r="G196" s="57"/>
      <c r="H196" s="57"/>
      <c r="I196" s="57"/>
      <c r="J196" s="57"/>
      <c r="K196" s="57"/>
      <c r="L196" s="57"/>
      <c r="M196" s="57"/>
      <c r="N196" s="57"/>
      <c r="O196" s="57"/>
      <c r="P196" s="57"/>
      <c r="Q196" s="57"/>
      <c r="R196" s="57"/>
      <c r="S196" s="57"/>
      <c r="T196" s="57"/>
      <c r="U196" s="57"/>
      <c r="V196" s="57"/>
      <c r="W196" s="57"/>
      <c r="X196" s="57"/>
      <c r="Y196" s="57"/>
      <c r="Z196" s="3"/>
      <c r="AA196" s="57"/>
      <c r="AB196" s="788" t="s">
        <v>2680</v>
      </c>
      <c r="AC196" s="57" t="s">
        <v>2180</v>
      </c>
      <c r="AD196" s="3" t="s">
        <v>2681</v>
      </c>
      <c r="AE196" s="674"/>
      <c r="AF196" s="57"/>
      <c r="AG196" s="57"/>
      <c r="AH196" s="57"/>
      <c r="AI196" s="57"/>
      <c r="AJ196" s="57"/>
      <c r="AK196" s="57"/>
      <c r="AL196" s="57"/>
      <c r="AM196" s="57"/>
      <c r="AN196" s="57"/>
      <c r="AO196" s="57"/>
      <c r="AP196" s="57"/>
      <c r="AQ196" s="57"/>
      <c r="AR196" s="57"/>
      <c r="AS196" s="57"/>
      <c r="AT196" s="57"/>
      <c r="AU196" s="57"/>
      <c r="AV196" s="57"/>
      <c r="AW196" s="57"/>
      <c r="AX196" s="57"/>
    </row>
    <row r="197" spans="1:50" ht="15.75" customHeight="1">
      <c r="A197" s="770"/>
      <c r="B197" s="57"/>
      <c r="C197" s="57"/>
      <c r="D197" s="57"/>
      <c r="E197" s="3"/>
      <c r="F197" s="57"/>
      <c r="G197" s="57"/>
      <c r="H197" s="57"/>
      <c r="I197" s="57"/>
      <c r="J197" s="57"/>
      <c r="K197" s="57"/>
      <c r="L197" s="57"/>
      <c r="M197" s="57"/>
      <c r="N197" s="57"/>
      <c r="O197" s="57"/>
      <c r="P197" s="57"/>
      <c r="Q197" s="57"/>
      <c r="R197" s="57"/>
      <c r="S197" s="57"/>
      <c r="T197" s="57"/>
      <c r="U197" s="57"/>
      <c r="V197" s="57"/>
      <c r="W197" s="57"/>
      <c r="X197" s="57"/>
      <c r="Y197" s="57"/>
      <c r="Z197" s="3"/>
      <c r="AA197" s="57"/>
      <c r="AB197" s="34" t="s">
        <v>2682</v>
      </c>
      <c r="AC197" s="57" t="s">
        <v>2180</v>
      </c>
      <c r="AD197" s="3" t="s">
        <v>2683</v>
      </c>
      <c r="AE197" s="674"/>
      <c r="AF197" s="57"/>
      <c r="AG197" s="57"/>
      <c r="AH197" s="57"/>
      <c r="AI197" s="57"/>
      <c r="AJ197" s="57"/>
      <c r="AK197" s="57"/>
      <c r="AL197" s="57"/>
      <c r="AM197" s="57"/>
      <c r="AN197" s="57"/>
      <c r="AO197" s="57"/>
      <c r="AP197" s="57"/>
      <c r="AQ197" s="57"/>
      <c r="AR197" s="57"/>
      <c r="AS197" s="57"/>
      <c r="AT197" s="57"/>
      <c r="AU197" s="57"/>
      <c r="AV197" s="57"/>
      <c r="AW197" s="57"/>
      <c r="AX197" s="57"/>
    </row>
    <row r="198" spans="1:50" ht="15.75" customHeight="1">
      <c r="A198" s="770"/>
      <c r="B198" s="57"/>
      <c r="C198" s="57"/>
      <c r="D198" s="57"/>
      <c r="E198" s="3"/>
      <c r="F198" s="57"/>
      <c r="G198" s="57"/>
      <c r="H198" s="57"/>
      <c r="I198" s="57"/>
      <c r="J198" s="57"/>
      <c r="K198" s="57"/>
      <c r="L198" s="57"/>
      <c r="M198" s="57"/>
      <c r="N198" s="57"/>
      <c r="O198" s="57"/>
      <c r="P198" s="57"/>
      <c r="Q198" s="57"/>
      <c r="R198" s="57"/>
      <c r="S198" s="57"/>
      <c r="T198" s="57"/>
      <c r="U198" s="57"/>
      <c r="V198" s="57"/>
      <c r="W198" s="57"/>
      <c r="X198" s="57"/>
      <c r="Y198" s="57"/>
      <c r="Z198" s="3"/>
      <c r="AA198" s="57"/>
      <c r="AB198" s="772" t="s">
        <v>2684</v>
      </c>
      <c r="AC198" s="57" t="s">
        <v>2163</v>
      </c>
      <c r="AD198" s="3" t="s">
        <v>2685</v>
      </c>
      <c r="AE198" s="674"/>
      <c r="AF198" s="57"/>
      <c r="AG198" s="57"/>
      <c r="AH198" s="57"/>
      <c r="AI198" s="57"/>
      <c r="AJ198" s="57"/>
      <c r="AK198" s="57"/>
      <c r="AL198" s="57"/>
      <c r="AM198" s="57"/>
      <c r="AN198" s="57"/>
      <c r="AO198" s="57"/>
      <c r="AP198" s="57"/>
      <c r="AQ198" s="57"/>
      <c r="AR198" s="57"/>
      <c r="AS198" s="57"/>
      <c r="AT198" s="57"/>
      <c r="AU198" s="57"/>
      <c r="AV198" s="57"/>
      <c r="AW198" s="57"/>
      <c r="AX198" s="57"/>
    </row>
    <row r="199" spans="1:50" ht="15.75" customHeight="1">
      <c r="A199" s="770"/>
      <c r="B199" s="57"/>
      <c r="C199" s="57"/>
      <c r="D199" s="57"/>
      <c r="E199" s="3"/>
      <c r="F199" s="57"/>
      <c r="G199" s="57"/>
      <c r="H199" s="57"/>
      <c r="I199" s="57"/>
      <c r="J199" s="57"/>
      <c r="K199" s="57"/>
      <c r="L199" s="57"/>
      <c r="M199" s="57"/>
      <c r="N199" s="57"/>
      <c r="O199" s="57"/>
      <c r="P199" s="57"/>
      <c r="Q199" s="57"/>
      <c r="R199" s="57"/>
      <c r="S199" s="57"/>
      <c r="T199" s="57"/>
      <c r="U199" s="57"/>
      <c r="V199" s="57"/>
      <c r="W199" s="57"/>
      <c r="X199" s="57"/>
      <c r="Y199" s="57"/>
      <c r="Z199" s="3"/>
      <c r="AA199" s="57"/>
      <c r="AB199" s="34" t="s">
        <v>2686</v>
      </c>
      <c r="AC199" s="57" t="s">
        <v>2163</v>
      </c>
      <c r="AD199" s="3" t="s">
        <v>2687</v>
      </c>
      <c r="AE199" s="674"/>
      <c r="AF199" s="57"/>
      <c r="AG199" s="57"/>
      <c r="AH199" s="57"/>
      <c r="AI199" s="57"/>
      <c r="AJ199" s="57"/>
      <c r="AK199" s="57"/>
      <c r="AL199" s="57"/>
      <c r="AM199" s="57"/>
      <c r="AN199" s="57"/>
      <c r="AO199" s="57"/>
      <c r="AP199" s="57"/>
      <c r="AQ199" s="57"/>
      <c r="AR199" s="57"/>
      <c r="AS199" s="57"/>
      <c r="AT199" s="57"/>
      <c r="AU199" s="57"/>
      <c r="AV199" s="57"/>
      <c r="AW199" s="57"/>
      <c r="AX199" s="57"/>
    </row>
    <row r="200" spans="1:50" ht="15.75" customHeight="1">
      <c r="A200" s="770"/>
      <c r="B200" s="57"/>
      <c r="C200" s="57"/>
      <c r="D200" s="57"/>
      <c r="E200" s="3"/>
      <c r="F200" s="57"/>
      <c r="G200" s="57"/>
      <c r="H200" s="57"/>
      <c r="I200" s="57"/>
      <c r="J200" s="57"/>
      <c r="K200" s="57"/>
      <c r="L200" s="57"/>
      <c r="M200" s="57"/>
      <c r="N200" s="57"/>
      <c r="O200" s="57"/>
      <c r="P200" s="57"/>
      <c r="Q200" s="57"/>
      <c r="R200" s="57"/>
      <c r="S200" s="57"/>
      <c r="T200" s="57"/>
      <c r="U200" s="57"/>
      <c r="V200" s="57"/>
      <c r="W200" s="57"/>
      <c r="X200" s="57"/>
      <c r="Y200" s="57"/>
      <c r="Z200" s="3"/>
      <c r="AA200" s="57"/>
      <c r="AB200" s="34" t="s">
        <v>2688</v>
      </c>
      <c r="AC200" s="57" t="s">
        <v>2180</v>
      </c>
      <c r="AD200" s="3" t="s">
        <v>2689</v>
      </c>
      <c r="AE200" s="674"/>
      <c r="AF200" s="57"/>
      <c r="AG200" s="57"/>
      <c r="AH200" s="57"/>
      <c r="AI200" s="57"/>
      <c r="AJ200" s="57"/>
      <c r="AK200" s="57"/>
      <c r="AL200" s="57"/>
      <c r="AM200" s="57"/>
      <c r="AN200" s="57"/>
      <c r="AO200" s="57"/>
      <c r="AP200" s="57"/>
      <c r="AQ200" s="57"/>
      <c r="AR200" s="57"/>
      <c r="AS200" s="57"/>
      <c r="AT200" s="57"/>
      <c r="AU200" s="57"/>
      <c r="AV200" s="57"/>
      <c r="AW200" s="57"/>
      <c r="AX200" s="57"/>
    </row>
    <row r="201" spans="1:50" ht="15.75" customHeight="1">
      <c r="A201" s="770"/>
      <c r="B201" s="57"/>
      <c r="C201" s="57"/>
      <c r="D201" s="57"/>
      <c r="E201" s="3"/>
      <c r="F201" s="57"/>
      <c r="G201" s="57"/>
      <c r="H201" s="57"/>
      <c r="I201" s="57"/>
      <c r="J201" s="57"/>
      <c r="K201" s="57"/>
      <c r="L201" s="57"/>
      <c r="M201" s="57"/>
      <c r="N201" s="57"/>
      <c r="O201" s="57"/>
      <c r="P201" s="57"/>
      <c r="Q201" s="57"/>
      <c r="R201" s="57"/>
      <c r="S201" s="57"/>
      <c r="T201" s="57"/>
      <c r="U201" s="57"/>
      <c r="V201" s="57"/>
      <c r="W201" s="57"/>
      <c r="X201" s="57"/>
      <c r="Y201" s="57"/>
      <c r="Z201" s="3"/>
      <c r="AA201" s="57"/>
      <c r="AB201" s="772" t="s">
        <v>2690</v>
      </c>
      <c r="AC201" s="57" t="s">
        <v>2180</v>
      </c>
      <c r="AD201" s="3" t="s">
        <v>2691</v>
      </c>
      <c r="AE201" s="674"/>
      <c r="AF201" s="57"/>
      <c r="AG201" s="57"/>
      <c r="AH201" s="57"/>
      <c r="AI201" s="57"/>
      <c r="AJ201" s="57"/>
      <c r="AK201" s="57"/>
      <c r="AL201" s="57"/>
      <c r="AM201" s="57"/>
      <c r="AN201" s="57"/>
      <c r="AO201" s="57"/>
      <c r="AP201" s="57"/>
      <c r="AQ201" s="57"/>
      <c r="AR201" s="57"/>
      <c r="AS201" s="57"/>
      <c r="AT201" s="57"/>
      <c r="AU201" s="57"/>
      <c r="AV201" s="57"/>
      <c r="AW201" s="57"/>
      <c r="AX201" s="57"/>
    </row>
    <row r="202" spans="1:50" ht="15.75" customHeight="1">
      <c r="A202" s="770"/>
      <c r="B202" s="57"/>
      <c r="C202" s="57"/>
      <c r="D202" s="57"/>
      <c r="E202" s="3"/>
      <c r="F202" s="57"/>
      <c r="G202" s="57"/>
      <c r="H202" s="57"/>
      <c r="I202" s="57"/>
      <c r="J202" s="57"/>
      <c r="K202" s="57"/>
      <c r="L202" s="57"/>
      <c r="M202" s="57"/>
      <c r="N202" s="57"/>
      <c r="O202" s="57"/>
      <c r="P202" s="57"/>
      <c r="Q202" s="57"/>
      <c r="R202" s="57"/>
      <c r="S202" s="57"/>
      <c r="T202" s="57"/>
      <c r="U202" s="57"/>
      <c r="V202" s="57"/>
      <c r="W202" s="57"/>
      <c r="X202" s="57"/>
      <c r="Y202" s="57"/>
      <c r="Z202" s="3"/>
      <c r="AA202" s="57"/>
      <c r="AB202" s="772" t="s">
        <v>2692</v>
      </c>
      <c r="AC202" s="57" t="s">
        <v>2180</v>
      </c>
      <c r="AD202" s="3" t="s">
        <v>2693</v>
      </c>
      <c r="AE202" s="674"/>
      <c r="AF202" s="57"/>
      <c r="AG202" s="57"/>
      <c r="AH202" s="57"/>
      <c r="AI202" s="57"/>
      <c r="AJ202" s="57"/>
      <c r="AK202" s="57"/>
      <c r="AL202" s="57"/>
      <c r="AM202" s="57"/>
      <c r="AN202" s="57"/>
      <c r="AO202" s="57"/>
      <c r="AP202" s="57"/>
      <c r="AQ202" s="57"/>
      <c r="AR202" s="57"/>
      <c r="AS202" s="57"/>
      <c r="AT202" s="57"/>
      <c r="AU202" s="57"/>
      <c r="AV202" s="57"/>
      <c r="AW202" s="57"/>
      <c r="AX202" s="57"/>
    </row>
    <row r="203" spans="1:50" ht="15.75" customHeight="1">
      <c r="A203" s="770"/>
      <c r="B203" s="57"/>
      <c r="C203" s="57"/>
      <c r="D203" s="57"/>
      <c r="E203" s="3"/>
      <c r="F203" s="57"/>
      <c r="G203" s="57"/>
      <c r="H203" s="57"/>
      <c r="I203" s="57"/>
      <c r="J203" s="57"/>
      <c r="K203" s="57"/>
      <c r="L203" s="57"/>
      <c r="M203" s="57"/>
      <c r="N203" s="57"/>
      <c r="O203" s="57"/>
      <c r="P203" s="57"/>
      <c r="Q203" s="57"/>
      <c r="R203" s="57"/>
      <c r="S203" s="57"/>
      <c r="T203" s="57"/>
      <c r="U203" s="57"/>
      <c r="V203" s="57"/>
      <c r="W203" s="57"/>
      <c r="X203" s="57"/>
      <c r="Y203" s="57"/>
      <c r="Z203" s="3"/>
      <c r="AA203" s="57"/>
      <c r="AB203" s="772" t="s">
        <v>2694</v>
      </c>
      <c r="AC203" s="57" t="s">
        <v>2180</v>
      </c>
      <c r="AD203" s="3" t="s">
        <v>2695</v>
      </c>
      <c r="AE203" s="674"/>
      <c r="AF203" s="57"/>
      <c r="AG203" s="57"/>
      <c r="AH203" s="57"/>
      <c r="AI203" s="57"/>
      <c r="AJ203" s="57"/>
      <c r="AK203" s="57"/>
      <c r="AL203" s="57"/>
      <c r="AM203" s="57"/>
      <c r="AN203" s="57"/>
      <c r="AO203" s="57"/>
      <c r="AP203" s="57"/>
      <c r="AQ203" s="57"/>
      <c r="AR203" s="57"/>
      <c r="AS203" s="57"/>
      <c r="AT203" s="57"/>
      <c r="AU203" s="57"/>
      <c r="AV203" s="57"/>
      <c r="AW203" s="57"/>
      <c r="AX203" s="57"/>
    </row>
    <row r="204" spans="1:50" ht="15.75" customHeight="1">
      <c r="A204" s="770"/>
      <c r="B204" s="57"/>
      <c r="C204" s="57"/>
      <c r="D204" s="57"/>
      <c r="E204" s="3"/>
      <c r="F204" s="57"/>
      <c r="G204" s="57"/>
      <c r="H204" s="57"/>
      <c r="I204" s="57"/>
      <c r="J204" s="57"/>
      <c r="K204" s="57"/>
      <c r="L204" s="57"/>
      <c r="M204" s="57"/>
      <c r="N204" s="57"/>
      <c r="O204" s="57"/>
      <c r="P204" s="57"/>
      <c r="Q204" s="57"/>
      <c r="R204" s="57"/>
      <c r="S204" s="57"/>
      <c r="T204" s="57"/>
      <c r="U204" s="57"/>
      <c r="V204" s="57"/>
      <c r="W204" s="57"/>
      <c r="X204" s="57"/>
      <c r="Y204" s="57"/>
      <c r="Z204" s="3"/>
      <c r="AA204" s="57"/>
      <c r="AB204" s="772" t="s">
        <v>2696</v>
      </c>
      <c r="AC204" s="57" t="s">
        <v>2180</v>
      </c>
      <c r="AD204" s="3" t="s">
        <v>2697</v>
      </c>
      <c r="AE204" s="674"/>
      <c r="AF204" s="57"/>
      <c r="AG204" s="57"/>
      <c r="AH204" s="57"/>
      <c r="AI204" s="57"/>
      <c r="AJ204" s="57"/>
      <c r="AK204" s="57"/>
      <c r="AL204" s="57"/>
      <c r="AM204" s="57"/>
      <c r="AN204" s="57"/>
      <c r="AO204" s="57"/>
      <c r="AP204" s="57"/>
      <c r="AQ204" s="57"/>
      <c r="AR204" s="57"/>
      <c r="AS204" s="57"/>
      <c r="AT204" s="57"/>
      <c r="AU204" s="57"/>
      <c r="AV204" s="57"/>
      <c r="AW204" s="57"/>
      <c r="AX204" s="57"/>
    </row>
    <row r="205" spans="1:50" ht="15.75" customHeight="1">
      <c r="A205" s="770"/>
      <c r="B205" s="57"/>
      <c r="C205" s="57"/>
      <c r="D205" s="57"/>
      <c r="E205" s="3"/>
      <c r="F205" s="57"/>
      <c r="G205" s="57"/>
      <c r="H205" s="57"/>
      <c r="I205" s="57"/>
      <c r="J205" s="57"/>
      <c r="K205" s="57"/>
      <c r="L205" s="57"/>
      <c r="M205" s="57"/>
      <c r="N205" s="57"/>
      <c r="O205" s="57"/>
      <c r="P205" s="57"/>
      <c r="Q205" s="57"/>
      <c r="R205" s="57"/>
      <c r="S205" s="57"/>
      <c r="T205" s="57"/>
      <c r="U205" s="57"/>
      <c r="V205" s="57"/>
      <c r="W205" s="57"/>
      <c r="X205" s="57"/>
      <c r="Y205" s="57"/>
      <c r="Z205" s="3"/>
      <c r="AA205" s="57"/>
      <c r="AB205" s="34" t="s">
        <v>2698</v>
      </c>
      <c r="AC205" s="57" t="s">
        <v>2180</v>
      </c>
      <c r="AD205" s="3" t="s">
        <v>2699</v>
      </c>
      <c r="AE205" s="674"/>
      <c r="AF205" s="57"/>
      <c r="AG205" s="57"/>
      <c r="AH205" s="57"/>
      <c r="AI205" s="57"/>
      <c r="AJ205" s="57"/>
      <c r="AK205" s="57"/>
      <c r="AL205" s="57"/>
      <c r="AM205" s="57"/>
      <c r="AN205" s="57"/>
      <c r="AO205" s="57"/>
      <c r="AP205" s="57"/>
      <c r="AQ205" s="57"/>
      <c r="AR205" s="57"/>
      <c r="AS205" s="57"/>
      <c r="AT205" s="57"/>
      <c r="AU205" s="57"/>
      <c r="AV205" s="57"/>
      <c r="AW205" s="57"/>
      <c r="AX205" s="57"/>
    </row>
    <row r="206" spans="1:50" ht="15.75" customHeight="1">
      <c r="A206" s="770"/>
      <c r="B206" s="57"/>
      <c r="C206" s="57"/>
      <c r="D206" s="57"/>
      <c r="E206" s="3"/>
      <c r="F206" s="57"/>
      <c r="G206" s="57"/>
      <c r="H206" s="57"/>
      <c r="I206" s="57"/>
      <c r="J206" s="57"/>
      <c r="K206" s="57"/>
      <c r="L206" s="57"/>
      <c r="M206" s="57"/>
      <c r="N206" s="57"/>
      <c r="O206" s="57"/>
      <c r="P206" s="57"/>
      <c r="Q206" s="57"/>
      <c r="R206" s="57"/>
      <c r="S206" s="57"/>
      <c r="T206" s="57"/>
      <c r="U206" s="57"/>
      <c r="V206" s="57"/>
      <c r="W206" s="57"/>
      <c r="X206" s="57"/>
      <c r="Y206" s="57"/>
      <c r="Z206" s="3"/>
      <c r="AA206" s="57"/>
      <c r="AB206" s="34" t="s">
        <v>2700</v>
      </c>
      <c r="AC206" s="57" t="s">
        <v>2180</v>
      </c>
      <c r="AD206" s="3" t="s">
        <v>2701</v>
      </c>
      <c r="AE206" s="674"/>
      <c r="AF206" s="57"/>
      <c r="AG206" s="57"/>
      <c r="AH206" s="57"/>
      <c r="AI206" s="57"/>
      <c r="AJ206" s="57"/>
      <c r="AK206" s="57"/>
      <c r="AL206" s="57"/>
      <c r="AM206" s="57"/>
      <c r="AN206" s="57"/>
      <c r="AO206" s="57"/>
      <c r="AP206" s="57"/>
      <c r="AQ206" s="57"/>
      <c r="AR206" s="57"/>
      <c r="AS206" s="57"/>
      <c r="AT206" s="57"/>
      <c r="AU206" s="57"/>
      <c r="AV206" s="57"/>
      <c r="AW206" s="57"/>
      <c r="AX206" s="57"/>
    </row>
    <row r="207" spans="1:50" ht="15.75" customHeight="1">
      <c r="A207" s="770"/>
      <c r="B207" s="57"/>
      <c r="C207" s="57"/>
      <c r="D207" s="57"/>
      <c r="E207" s="3"/>
      <c r="F207" s="57"/>
      <c r="G207" s="57"/>
      <c r="H207" s="57"/>
      <c r="I207" s="57"/>
      <c r="J207" s="57"/>
      <c r="K207" s="57"/>
      <c r="L207" s="57"/>
      <c r="M207" s="57"/>
      <c r="N207" s="57"/>
      <c r="O207" s="57"/>
      <c r="P207" s="57"/>
      <c r="Q207" s="57"/>
      <c r="R207" s="57"/>
      <c r="S207" s="57"/>
      <c r="T207" s="57"/>
      <c r="U207" s="57"/>
      <c r="V207" s="57"/>
      <c r="W207" s="57"/>
      <c r="X207" s="57"/>
      <c r="Y207" s="57"/>
      <c r="Z207" s="3"/>
      <c r="AA207" s="57"/>
      <c r="AB207" s="34" t="s">
        <v>2397</v>
      </c>
      <c r="AC207" s="57" t="s">
        <v>2180</v>
      </c>
      <c r="AD207" s="3" t="s">
        <v>2398</v>
      </c>
      <c r="AE207" s="674"/>
      <c r="AF207" s="57"/>
      <c r="AG207" s="57"/>
      <c r="AH207" s="57"/>
      <c r="AI207" s="57"/>
      <c r="AJ207" s="57"/>
      <c r="AK207" s="57"/>
      <c r="AL207" s="57"/>
      <c r="AM207" s="57"/>
      <c r="AN207" s="57"/>
      <c r="AO207" s="57"/>
      <c r="AP207" s="57"/>
      <c r="AQ207" s="57"/>
      <c r="AR207" s="57"/>
      <c r="AS207" s="57"/>
      <c r="AT207" s="57"/>
      <c r="AU207" s="57"/>
      <c r="AV207" s="57"/>
      <c r="AW207" s="57"/>
      <c r="AX207" s="57"/>
    </row>
    <row r="208" spans="1:50" ht="15.75" customHeight="1">
      <c r="A208" s="770"/>
      <c r="B208" s="57"/>
      <c r="C208" s="57"/>
      <c r="D208" s="57"/>
      <c r="E208" s="3"/>
      <c r="F208" s="57"/>
      <c r="G208" s="57"/>
      <c r="H208" s="57"/>
      <c r="I208" s="57"/>
      <c r="J208" s="57"/>
      <c r="K208" s="57"/>
      <c r="L208" s="57"/>
      <c r="M208" s="57"/>
      <c r="N208" s="57"/>
      <c r="O208" s="57"/>
      <c r="P208" s="57"/>
      <c r="Q208" s="57"/>
      <c r="R208" s="57"/>
      <c r="S208" s="57"/>
      <c r="T208" s="57"/>
      <c r="U208" s="57"/>
      <c r="V208" s="57"/>
      <c r="W208" s="57"/>
      <c r="X208" s="57"/>
      <c r="Y208" s="57"/>
      <c r="Z208" s="3"/>
      <c r="AA208" s="57"/>
      <c r="AB208" s="772" t="s">
        <v>2702</v>
      </c>
      <c r="AC208" s="57" t="s">
        <v>2180</v>
      </c>
      <c r="AD208" s="3" t="s">
        <v>2626</v>
      </c>
      <c r="AE208" s="674"/>
      <c r="AF208" s="57"/>
      <c r="AG208" s="57"/>
      <c r="AH208" s="57"/>
      <c r="AI208" s="57"/>
      <c r="AJ208" s="57"/>
      <c r="AK208" s="57"/>
      <c r="AL208" s="57"/>
      <c r="AM208" s="57"/>
      <c r="AN208" s="57"/>
      <c r="AO208" s="57"/>
      <c r="AP208" s="57"/>
      <c r="AQ208" s="57"/>
      <c r="AR208" s="57"/>
      <c r="AS208" s="57"/>
      <c r="AT208" s="57"/>
      <c r="AU208" s="57"/>
      <c r="AV208" s="57"/>
      <c r="AW208" s="57"/>
      <c r="AX208" s="57"/>
    </row>
    <row r="209" spans="1:50" ht="15.75" customHeight="1">
      <c r="A209" s="770"/>
      <c r="B209" s="57"/>
      <c r="C209" s="57"/>
      <c r="D209" s="57"/>
      <c r="E209" s="3"/>
      <c r="F209" s="57"/>
      <c r="G209" s="57"/>
      <c r="H209" s="57"/>
      <c r="I209" s="57"/>
      <c r="J209" s="57"/>
      <c r="K209" s="57"/>
      <c r="L209" s="57"/>
      <c r="M209" s="57"/>
      <c r="N209" s="57"/>
      <c r="O209" s="57"/>
      <c r="P209" s="57"/>
      <c r="Q209" s="57"/>
      <c r="R209" s="57"/>
      <c r="S209" s="57"/>
      <c r="T209" s="57"/>
      <c r="U209" s="57"/>
      <c r="V209" s="57"/>
      <c r="W209" s="57"/>
      <c r="X209" s="57"/>
      <c r="Y209" s="57"/>
      <c r="Z209" s="3"/>
      <c r="AA209" s="57"/>
      <c r="AB209" s="34" t="s">
        <v>2703</v>
      </c>
      <c r="AC209" s="57" t="s">
        <v>2163</v>
      </c>
      <c r="AD209" s="3" t="s">
        <v>2704</v>
      </c>
      <c r="AE209" s="674"/>
      <c r="AF209" s="57"/>
      <c r="AG209" s="57"/>
      <c r="AH209" s="57"/>
      <c r="AI209" s="57"/>
      <c r="AJ209" s="57"/>
      <c r="AK209" s="57"/>
      <c r="AL209" s="57"/>
      <c r="AM209" s="57"/>
      <c r="AN209" s="57"/>
      <c r="AO209" s="57"/>
      <c r="AP209" s="57"/>
      <c r="AQ209" s="57"/>
      <c r="AR209" s="57"/>
      <c r="AS209" s="57"/>
      <c r="AT209" s="57"/>
      <c r="AU209" s="57"/>
      <c r="AV209" s="57"/>
      <c r="AW209" s="57"/>
      <c r="AX209" s="57"/>
    </row>
    <row r="210" spans="1:50" ht="15.75" customHeight="1">
      <c r="A210" s="770"/>
      <c r="B210" s="57"/>
      <c r="C210" s="57"/>
      <c r="D210" s="57"/>
      <c r="E210" s="3"/>
      <c r="F210" s="57"/>
      <c r="G210" s="57"/>
      <c r="H210" s="57"/>
      <c r="I210" s="57"/>
      <c r="J210" s="57"/>
      <c r="K210" s="57"/>
      <c r="L210" s="57"/>
      <c r="M210" s="57"/>
      <c r="N210" s="57"/>
      <c r="O210" s="57"/>
      <c r="P210" s="57"/>
      <c r="Q210" s="57"/>
      <c r="R210" s="57"/>
      <c r="S210" s="57"/>
      <c r="T210" s="57"/>
      <c r="U210" s="57"/>
      <c r="V210" s="57"/>
      <c r="W210" s="57"/>
      <c r="X210" s="57"/>
      <c r="Y210" s="57"/>
      <c r="Z210" s="3"/>
      <c r="AA210" s="57"/>
      <c r="AB210" s="772" t="s">
        <v>2705</v>
      </c>
      <c r="AC210" s="57" t="s">
        <v>2180</v>
      </c>
      <c r="AD210" s="3" t="s">
        <v>2706</v>
      </c>
      <c r="AE210" s="674"/>
      <c r="AF210" s="57"/>
      <c r="AG210" s="57"/>
      <c r="AH210" s="57"/>
      <c r="AI210" s="57"/>
      <c r="AJ210" s="57"/>
      <c r="AK210" s="57"/>
      <c r="AL210" s="57"/>
      <c r="AM210" s="57"/>
      <c r="AN210" s="57"/>
      <c r="AO210" s="57"/>
      <c r="AP210" s="57"/>
      <c r="AQ210" s="57"/>
      <c r="AR210" s="57"/>
      <c r="AS210" s="57"/>
      <c r="AT210" s="57"/>
      <c r="AU210" s="57"/>
      <c r="AV210" s="57"/>
      <c r="AW210" s="57"/>
      <c r="AX210" s="57"/>
    </row>
    <row r="211" spans="1:50" ht="15.75" customHeight="1">
      <c r="A211" s="770"/>
      <c r="B211" s="57"/>
      <c r="C211" s="57"/>
      <c r="D211" s="57"/>
      <c r="E211" s="3"/>
      <c r="F211" s="57"/>
      <c r="G211" s="57"/>
      <c r="H211" s="57"/>
      <c r="I211" s="57"/>
      <c r="J211" s="57"/>
      <c r="K211" s="57"/>
      <c r="L211" s="57"/>
      <c r="M211" s="57"/>
      <c r="N211" s="57"/>
      <c r="O211" s="57"/>
      <c r="P211" s="57"/>
      <c r="Q211" s="57"/>
      <c r="R211" s="57"/>
      <c r="S211" s="57"/>
      <c r="T211" s="57"/>
      <c r="U211" s="57"/>
      <c r="V211" s="57"/>
      <c r="W211" s="57"/>
      <c r="X211" s="57"/>
      <c r="Y211" s="57"/>
      <c r="Z211" s="3"/>
      <c r="AA211" s="57"/>
      <c r="AB211" s="772" t="s">
        <v>2707</v>
      </c>
      <c r="AC211" s="57" t="s">
        <v>2180</v>
      </c>
      <c r="AD211" s="3" t="s">
        <v>2708</v>
      </c>
      <c r="AE211" s="674"/>
      <c r="AF211" s="57"/>
      <c r="AG211" s="57"/>
      <c r="AH211" s="57"/>
      <c r="AI211" s="57"/>
      <c r="AJ211" s="57"/>
      <c r="AK211" s="57"/>
      <c r="AL211" s="57"/>
      <c r="AM211" s="57"/>
      <c r="AN211" s="57"/>
      <c r="AO211" s="57"/>
      <c r="AP211" s="57"/>
      <c r="AQ211" s="57"/>
      <c r="AR211" s="57"/>
      <c r="AS211" s="57"/>
      <c r="AT211" s="57"/>
      <c r="AU211" s="57"/>
      <c r="AV211" s="57"/>
      <c r="AW211" s="57"/>
      <c r="AX211" s="57"/>
    </row>
    <row r="212" spans="1:50" ht="15.75" customHeight="1">
      <c r="A212" s="770"/>
      <c r="B212" s="57"/>
      <c r="C212" s="57"/>
      <c r="D212" s="57"/>
      <c r="E212" s="3"/>
      <c r="F212" s="57"/>
      <c r="G212" s="57"/>
      <c r="H212" s="57"/>
      <c r="I212" s="57"/>
      <c r="J212" s="57"/>
      <c r="K212" s="57"/>
      <c r="L212" s="57"/>
      <c r="M212" s="57"/>
      <c r="N212" s="57"/>
      <c r="O212" s="57"/>
      <c r="P212" s="57"/>
      <c r="Q212" s="57"/>
      <c r="R212" s="57"/>
      <c r="S212" s="57"/>
      <c r="T212" s="57"/>
      <c r="U212" s="57"/>
      <c r="V212" s="57"/>
      <c r="W212" s="57"/>
      <c r="X212" s="57"/>
      <c r="Y212" s="57"/>
      <c r="Z212" s="3"/>
      <c r="AA212" s="57"/>
      <c r="AB212" s="34" t="s">
        <v>2709</v>
      </c>
      <c r="AC212" s="57" t="s">
        <v>2180</v>
      </c>
      <c r="AD212" s="3" t="s">
        <v>2710</v>
      </c>
      <c r="AE212" s="674"/>
      <c r="AF212" s="57"/>
      <c r="AG212" s="57"/>
      <c r="AH212" s="57"/>
      <c r="AI212" s="57"/>
      <c r="AJ212" s="57"/>
      <c r="AK212" s="57"/>
      <c r="AL212" s="57"/>
      <c r="AM212" s="57"/>
      <c r="AN212" s="57"/>
      <c r="AO212" s="57"/>
      <c r="AP212" s="57"/>
      <c r="AQ212" s="57"/>
      <c r="AR212" s="57"/>
      <c r="AS212" s="57"/>
      <c r="AT212" s="57"/>
      <c r="AU212" s="57"/>
      <c r="AV212" s="57"/>
      <c r="AW212" s="57"/>
      <c r="AX212" s="57"/>
    </row>
    <row r="213" spans="1:50" ht="15.75" customHeight="1">
      <c r="A213" s="770"/>
      <c r="B213" s="57"/>
      <c r="C213" s="57"/>
      <c r="D213" s="57"/>
      <c r="E213" s="3"/>
      <c r="F213" s="57"/>
      <c r="G213" s="57"/>
      <c r="H213" s="57"/>
      <c r="I213" s="57"/>
      <c r="J213" s="57"/>
      <c r="K213" s="57"/>
      <c r="L213" s="57"/>
      <c r="M213" s="57"/>
      <c r="N213" s="57"/>
      <c r="O213" s="57"/>
      <c r="P213" s="57"/>
      <c r="Q213" s="57"/>
      <c r="R213" s="57"/>
      <c r="S213" s="57"/>
      <c r="T213" s="57"/>
      <c r="U213" s="57"/>
      <c r="V213" s="57"/>
      <c r="W213" s="57"/>
      <c r="X213" s="57"/>
      <c r="Y213" s="57"/>
      <c r="Z213" s="3"/>
      <c r="AA213" s="57"/>
      <c r="AB213" s="34" t="s">
        <v>2711</v>
      </c>
      <c r="AC213" s="57" t="s">
        <v>2180</v>
      </c>
      <c r="AD213" s="3" t="s">
        <v>2712</v>
      </c>
      <c r="AE213" s="674"/>
      <c r="AF213" s="57"/>
      <c r="AG213" s="57"/>
      <c r="AH213" s="57"/>
      <c r="AI213" s="57"/>
      <c r="AJ213" s="57"/>
      <c r="AK213" s="57"/>
      <c r="AL213" s="57"/>
      <c r="AM213" s="57"/>
      <c r="AN213" s="57"/>
      <c r="AO213" s="57"/>
      <c r="AP213" s="57"/>
      <c r="AQ213" s="57"/>
      <c r="AR213" s="57"/>
      <c r="AS213" s="57"/>
      <c r="AT213" s="57"/>
      <c r="AU213" s="57"/>
      <c r="AV213" s="57"/>
      <c r="AW213" s="57"/>
      <c r="AX213" s="57"/>
    </row>
    <row r="214" spans="1:50" ht="15.75" customHeight="1">
      <c r="A214" s="770"/>
      <c r="B214" s="57"/>
      <c r="C214" s="57"/>
      <c r="D214" s="57"/>
      <c r="E214" s="3"/>
      <c r="F214" s="57"/>
      <c r="G214" s="57"/>
      <c r="H214" s="57"/>
      <c r="I214" s="57"/>
      <c r="J214" s="57"/>
      <c r="K214" s="57"/>
      <c r="L214" s="57"/>
      <c r="M214" s="57"/>
      <c r="N214" s="57"/>
      <c r="O214" s="57"/>
      <c r="P214" s="57"/>
      <c r="Q214" s="57"/>
      <c r="R214" s="57"/>
      <c r="S214" s="57"/>
      <c r="T214" s="57"/>
      <c r="U214" s="57"/>
      <c r="V214" s="57"/>
      <c r="W214" s="57"/>
      <c r="X214" s="57"/>
      <c r="Y214" s="57"/>
      <c r="Z214" s="3"/>
      <c r="AA214" s="57"/>
      <c r="AB214" s="34" t="s">
        <v>2713</v>
      </c>
      <c r="AC214" s="57" t="s">
        <v>2180</v>
      </c>
      <c r="AD214" s="3" t="s">
        <v>2714</v>
      </c>
      <c r="AE214" s="674"/>
      <c r="AF214" s="57"/>
      <c r="AG214" s="57"/>
      <c r="AH214" s="57"/>
      <c r="AI214" s="57"/>
      <c r="AJ214" s="57"/>
      <c r="AK214" s="57"/>
      <c r="AL214" s="57"/>
      <c r="AM214" s="57"/>
      <c r="AN214" s="57"/>
      <c r="AO214" s="57"/>
      <c r="AP214" s="57"/>
      <c r="AQ214" s="57"/>
      <c r="AR214" s="57"/>
      <c r="AS214" s="57"/>
      <c r="AT214" s="57"/>
      <c r="AU214" s="57"/>
      <c r="AV214" s="57"/>
      <c r="AW214" s="57"/>
      <c r="AX214" s="57"/>
    </row>
    <row r="215" spans="1:50" ht="15.75" customHeight="1">
      <c r="A215" s="770"/>
      <c r="B215" s="57"/>
      <c r="C215" s="57"/>
      <c r="D215" s="57"/>
      <c r="E215" s="3"/>
      <c r="F215" s="57"/>
      <c r="G215" s="57"/>
      <c r="H215" s="57"/>
      <c r="I215" s="57"/>
      <c r="J215" s="57"/>
      <c r="K215" s="57"/>
      <c r="L215" s="57"/>
      <c r="M215" s="57"/>
      <c r="N215" s="57"/>
      <c r="O215" s="57"/>
      <c r="P215" s="57"/>
      <c r="Q215" s="57"/>
      <c r="R215" s="57"/>
      <c r="S215" s="57"/>
      <c r="T215" s="57"/>
      <c r="U215" s="57"/>
      <c r="V215" s="57"/>
      <c r="W215" s="57"/>
      <c r="X215" s="57"/>
      <c r="Y215" s="57"/>
      <c r="Z215" s="3"/>
      <c r="AA215" s="57"/>
      <c r="AB215" s="772" t="s">
        <v>2715</v>
      </c>
      <c r="AC215" s="57" t="s">
        <v>2180</v>
      </c>
      <c r="AD215" s="3" t="s">
        <v>2716</v>
      </c>
      <c r="AE215" s="674"/>
      <c r="AF215" s="57"/>
      <c r="AG215" s="57"/>
      <c r="AH215" s="57"/>
      <c r="AI215" s="57"/>
      <c r="AJ215" s="57"/>
      <c r="AK215" s="57"/>
      <c r="AL215" s="57"/>
      <c r="AM215" s="57"/>
      <c r="AN215" s="57"/>
      <c r="AO215" s="57"/>
      <c r="AP215" s="57"/>
      <c r="AQ215" s="57"/>
      <c r="AR215" s="57"/>
      <c r="AS215" s="57"/>
      <c r="AT215" s="57"/>
      <c r="AU215" s="57"/>
      <c r="AV215" s="57"/>
      <c r="AW215" s="57"/>
      <c r="AX215" s="57"/>
    </row>
    <row r="216" spans="1:50" ht="15.75" customHeight="1">
      <c r="A216" s="770"/>
      <c r="B216" s="57"/>
      <c r="C216" s="57"/>
      <c r="D216" s="57"/>
      <c r="E216" s="3"/>
      <c r="F216" s="57"/>
      <c r="G216" s="57"/>
      <c r="H216" s="57"/>
      <c r="I216" s="57"/>
      <c r="J216" s="57"/>
      <c r="K216" s="57"/>
      <c r="L216" s="57"/>
      <c r="M216" s="57"/>
      <c r="N216" s="57"/>
      <c r="O216" s="57"/>
      <c r="P216" s="57"/>
      <c r="Q216" s="57"/>
      <c r="R216" s="57"/>
      <c r="S216" s="57"/>
      <c r="T216" s="57"/>
      <c r="U216" s="57"/>
      <c r="V216" s="57"/>
      <c r="W216" s="57"/>
      <c r="X216" s="57"/>
      <c r="Y216" s="57"/>
      <c r="Z216" s="3"/>
      <c r="AA216" s="57"/>
      <c r="AB216" s="789" t="s">
        <v>2717</v>
      </c>
      <c r="AC216" s="57" t="s">
        <v>2180</v>
      </c>
      <c r="AD216" s="3" t="s">
        <v>2718</v>
      </c>
      <c r="AE216" s="674"/>
      <c r="AF216" s="57"/>
      <c r="AG216" s="57"/>
      <c r="AH216" s="57"/>
      <c r="AI216" s="57"/>
      <c r="AJ216" s="57"/>
      <c r="AK216" s="57"/>
      <c r="AL216" s="57"/>
      <c r="AM216" s="57"/>
      <c r="AN216" s="57"/>
      <c r="AO216" s="57"/>
      <c r="AP216" s="57"/>
      <c r="AQ216" s="57"/>
      <c r="AR216" s="57"/>
      <c r="AS216" s="57"/>
      <c r="AT216" s="57"/>
      <c r="AU216" s="57"/>
      <c r="AV216" s="57"/>
      <c r="AW216" s="57"/>
      <c r="AX216" s="57"/>
    </row>
    <row r="217" spans="1:50" ht="15.75" customHeight="1">
      <c r="A217" s="770"/>
      <c r="B217" s="57"/>
      <c r="C217" s="57"/>
      <c r="D217" s="57"/>
      <c r="E217" s="3"/>
      <c r="F217" s="57"/>
      <c r="G217" s="57"/>
      <c r="H217" s="57"/>
      <c r="I217" s="57"/>
      <c r="J217" s="57"/>
      <c r="K217" s="57"/>
      <c r="L217" s="57"/>
      <c r="M217" s="57"/>
      <c r="N217" s="57"/>
      <c r="O217" s="57"/>
      <c r="P217" s="57"/>
      <c r="Q217" s="57"/>
      <c r="R217" s="57"/>
      <c r="S217" s="57"/>
      <c r="T217" s="57"/>
      <c r="U217" s="57"/>
      <c r="V217" s="57"/>
      <c r="W217" s="57"/>
      <c r="X217" s="57"/>
      <c r="Y217" s="57"/>
      <c r="Z217" s="3"/>
      <c r="AA217" s="57"/>
      <c r="AB217" s="34" t="s">
        <v>2719</v>
      </c>
      <c r="AC217" s="57" t="s">
        <v>2180</v>
      </c>
      <c r="AD217" s="3" t="s">
        <v>2720</v>
      </c>
      <c r="AE217" s="674"/>
      <c r="AF217" s="57"/>
      <c r="AG217" s="57"/>
      <c r="AH217" s="57"/>
      <c r="AI217" s="57"/>
      <c r="AJ217" s="57"/>
      <c r="AK217" s="57"/>
      <c r="AL217" s="57"/>
      <c r="AM217" s="57"/>
      <c r="AN217" s="57"/>
      <c r="AO217" s="57"/>
      <c r="AP217" s="57"/>
      <c r="AQ217" s="57"/>
      <c r="AR217" s="57"/>
      <c r="AS217" s="57"/>
      <c r="AT217" s="57"/>
      <c r="AU217" s="57"/>
      <c r="AV217" s="57"/>
      <c r="AW217" s="57"/>
      <c r="AX217" s="57"/>
    </row>
    <row r="218" spans="1:50" ht="15.75" customHeight="1">
      <c r="A218" s="770"/>
      <c r="B218" s="57"/>
      <c r="C218" s="57"/>
      <c r="D218" s="57"/>
      <c r="E218" s="3"/>
      <c r="F218" s="57"/>
      <c r="G218" s="57"/>
      <c r="H218" s="57"/>
      <c r="I218" s="57"/>
      <c r="J218" s="57"/>
      <c r="K218" s="57"/>
      <c r="L218" s="57"/>
      <c r="M218" s="57"/>
      <c r="N218" s="57"/>
      <c r="O218" s="57"/>
      <c r="P218" s="57"/>
      <c r="Q218" s="57"/>
      <c r="R218" s="57"/>
      <c r="S218" s="57"/>
      <c r="T218" s="57"/>
      <c r="U218" s="57"/>
      <c r="V218" s="57"/>
      <c r="W218" s="57"/>
      <c r="X218" s="57"/>
      <c r="Y218" s="57"/>
      <c r="Z218" s="3"/>
      <c r="AA218" s="57"/>
      <c r="AB218" s="34" t="s">
        <v>2432</v>
      </c>
      <c r="AC218" s="57" t="s">
        <v>2180</v>
      </c>
      <c r="AD218" s="3" t="s">
        <v>2721</v>
      </c>
      <c r="AE218" s="674"/>
      <c r="AF218" s="57"/>
      <c r="AG218" s="57"/>
      <c r="AH218" s="57"/>
      <c r="AI218" s="57"/>
      <c r="AJ218" s="57"/>
      <c r="AK218" s="57"/>
      <c r="AL218" s="57"/>
      <c r="AM218" s="57"/>
      <c r="AN218" s="57"/>
      <c r="AO218" s="57"/>
      <c r="AP218" s="57"/>
      <c r="AQ218" s="57"/>
      <c r="AR218" s="57"/>
      <c r="AS218" s="57"/>
      <c r="AT218" s="57"/>
      <c r="AU218" s="57"/>
      <c r="AV218" s="57"/>
      <c r="AW218" s="57"/>
      <c r="AX218" s="57"/>
    </row>
    <row r="219" spans="1:50" ht="15.75" customHeight="1">
      <c r="A219" s="770"/>
      <c r="B219" s="57"/>
      <c r="C219" s="57"/>
      <c r="D219" s="57"/>
      <c r="E219" s="3"/>
      <c r="F219" s="57"/>
      <c r="G219" s="57"/>
      <c r="H219" s="57"/>
      <c r="I219" s="57"/>
      <c r="J219" s="57"/>
      <c r="K219" s="57"/>
      <c r="L219" s="57"/>
      <c r="M219" s="57"/>
      <c r="N219" s="57"/>
      <c r="O219" s="57"/>
      <c r="P219" s="57"/>
      <c r="Q219" s="57"/>
      <c r="R219" s="57"/>
      <c r="S219" s="57"/>
      <c r="T219" s="57"/>
      <c r="U219" s="57"/>
      <c r="V219" s="57"/>
      <c r="W219" s="57"/>
      <c r="X219" s="57"/>
      <c r="Y219" s="57"/>
      <c r="Z219" s="3"/>
      <c r="AA219" s="57"/>
      <c r="AB219" s="34" t="s">
        <v>2428</v>
      </c>
      <c r="AC219" s="57" t="s">
        <v>2180</v>
      </c>
      <c r="AD219" s="3" t="s">
        <v>2429</v>
      </c>
      <c r="AE219" s="674"/>
      <c r="AF219" s="57"/>
      <c r="AG219" s="57"/>
      <c r="AH219" s="57"/>
      <c r="AI219" s="57"/>
      <c r="AJ219" s="57"/>
      <c r="AK219" s="57"/>
      <c r="AL219" s="57"/>
      <c r="AM219" s="57"/>
      <c r="AN219" s="57"/>
      <c r="AO219" s="57"/>
      <c r="AP219" s="57"/>
      <c r="AQ219" s="57"/>
      <c r="AR219" s="57"/>
      <c r="AS219" s="57"/>
      <c r="AT219" s="57"/>
      <c r="AU219" s="57"/>
      <c r="AV219" s="57"/>
      <c r="AW219" s="57"/>
      <c r="AX219" s="57"/>
    </row>
    <row r="220" spans="1:50" ht="15.75" customHeight="1">
      <c r="A220" s="770"/>
      <c r="B220" s="57"/>
      <c r="C220" s="57"/>
      <c r="D220" s="57"/>
      <c r="E220" s="3"/>
      <c r="F220" s="57"/>
      <c r="G220" s="57"/>
      <c r="H220" s="57"/>
      <c r="I220" s="57"/>
      <c r="J220" s="57"/>
      <c r="K220" s="57"/>
      <c r="L220" s="57"/>
      <c r="M220" s="57"/>
      <c r="N220" s="57"/>
      <c r="O220" s="57"/>
      <c r="P220" s="57"/>
      <c r="Q220" s="57"/>
      <c r="R220" s="57"/>
      <c r="S220" s="57"/>
      <c r="T220" s="57"/>
      <c r="U220" s="57"/>
      <c r="V220" s="57"/>
      <c r="W220" s="57"/>
      <c r="X220" s="57"/>
      <c r="Y220" s="57"/>
      <c r="Z220" s="3"/>
      <c r="AA220" s="57"/>
      <c r="AB220" s="772" t="s">
        <v>2722</v>
      </c>
      <c r="AC220" s="57" t="s">
        <v>2180</v>
      </c>
      <c r="AD220" s="3" t="s">
        <v>2723</v>
      </c>
      <c r="AE220" s="674"/>
      <c r="AF220" s="57"/>
      <c r="AG220" s="57"/>
      <c r="AH220" s="57"/>
      <c r="AI220" s="57"/>
      <c r="AJ220" s="57"/>
      <c r="AK220" s="57"/>
      <c r="AL220" s="57"/>
      <c r="AM220" s="57"/>
      <c r="AN220" s="57"/>
      <c r="AO220" s="57"/>
      <c r="AP220" s="57"/>
      <c r="AQ220" s="57"/>
      <c r="AR220" s="57"/>
      <c r="AS220" s="57"/>
      <c r="AT220" s="57"/>
      <c r="AU220" s="57"/>
      <c r="AV220" s="57"/>
      <c r="AW220" s="57"/>
      <c r="AX220" s="57"/>
    </row>
    <row r="221" spans="1:50" ht="15.75" customHeight="1">
      <c r="A221" s="770"/>
      <c r="B221" s="57"/>
      <c r="C221" s="57"/>
      <c r="D221" s="57"/>
      <c r="E221" s="3"/>
      <c r="F221" s="57"/>
      <c r="G221" s="57"/>
      <c r="H221" s="57"/>
      <c r="I221" s="57"/>
      <c r="J221" s="57"/>
      <c r="K221" s="57"/>
      <c r="L221" s="57"/>
      <c r="M221" s="57"/>
      <c r="N221" s="57"/>
      <c r="O221" s="57"/>
      <c r="P221" s="57"/>
      <c r="Q221" s="57"/>
      <c r="R221" s="57"/>
      <c r="S221" s="57"/>
      <c r="T221" s="57"/>
      <c r="U221" s="57"/>
      <c r="V221" s="57"/>
      <c r="W221" s="57"/>
      <c r="X221" s="57"/>
      <c r="Y221" s="57"/>
      <c r="Z221" s="3"/>
      <c r="AA221" s="57"/>
      <c r="AB221" s="21" t="s">
        <v>2724</v>
      </c>
      <c r="AC221" s="57" t="s">
        <v>2180</v>
      </c>
      <c r="AD221" s="3" t="s">
        <v>2725</v>
      </c>
      <c r="AE221" s="674"/>
      <c r="AF221" s="57"/>
      <c r="AG221" s="57"/>
      <c r="AH221" s="57"/>
      <c r="AI221" s="57"/>
      <c r="AJ221" s="57"/>
      <c r="AK221" s="57"/>
      <c r="AL221" s="57"/>
      <c r="AM221" s="57"/>
      <c r="AN221" s="57"/>
      <c r="AO221" s="57"/>
      <c r="AP221" s="57"/>
      <c r="AQ221" s="57"/>
      <c r="AR221" s="57"/>
      <c r="AS221" s="57"/>
      <c r="AT221" s="57"/>
      <c r="AU221" s="57"/>
      <c r="AV221" s="57"/>
      <c r="AW221" s="57"/>
      <c r="AX221" s="57"/>
    </row>
    <row r="222" spans="1:50" ht="15.75" customHeight="1">
      <c r="A222" s="770"/>
      <c r="B222" s="57"/>
      <c r="C222" s="57"/>
      <c r="D222" s="57"/>
      <c r="E222" s="3"/>
      <c r="F222" s="57"/>
      <c r="G222" s="57"/>
      <c r="H222" s="57"/>
      <c r="I222" s="57"/>
      <c r="J222" s="57"/>
      <c r="K222" s="57"/>
      <c r="L222" s="57"/>
      <c r="M222" s="57"/>
      <c r="N222" s="57"/>
      <c r="O222" s="57"/>
      <c r="P222" s="57"/>
      <c r="Q222" s="57"/>
      <c r="R222" s="57"/>
      <c r="S222" s="57"/>
      <c r="T222" s="57"/>
      <c r="U222" s="57"/>
      <c r="V222" s="57"/>
      <c r="W222" s="57"/>
      <c r="X222" s="57"/>
      <c r="Y222" s="57"/>
      <c r="Z222" s="3"/>
      <c r="AA222" s="57"/>
      <c r="AB222" s="772" t="s">
        <v>2726</v>
      </c>
      <c r="AC222" s="57" t="s">
        <v>2163</v>
      </c>
      <c r="AD222" s="3" t="s">
        <v>2727</v>
      </c>
      <c r="AE222" s="674"/>
      <c r="AF222" s="57"/>
      <c r="AG222" s="57"/>
      <c r="AH222" s="57"/>
      <c r="AI222" s="57"/>
      <c r="AJ222" s="57"/>
      <c r="AK222" s="57"/>
      <c r="AL222" s="57"/>
      <c r="AM222" s="57"/>
      <c r="AN222" s="57"/>
      <c r="AO222" s="57"/>
      <c r="AP222" s="57"/>
      <c r="AQ222" s="57"/>
      <c r="AR222" s="57"/>
      <c r="AS222" s="57"/>
      <c r="AT222" s="57"/>
      <c r="AU222" s="57"/>
      <c r="AV222" s="57"/>
      <c r="AW222" s="57"/>
      <c r="AX222" s="57"/>
    </row>
    <row r="223" spans="1:50" ht="15.75" customHeight="1">
      <c r="A223" s="770"/>
      <c r="B223" s="57"/>
      <c r="C223" s="57"/>
      <c r="D223" s="57"/>
      <c r="E223" s="3"/>
      <c r="F223" s="57"/>
      <c r="G223" s="57"/>
      <c r="H223" s="57"/>
      <c r="I223" s="57"/>
      <c r="J223" s="57"/>
      <c r="K223" s="57"/>
      <c r="L223" s="57"/>
      <c r="M223" s="57"/>
      <c r="N223" s="57"/>
      <c r="O223" s="57"/>
      <c r="P223" s="57"/>
      <c r="Q223" s="57"/>
      <c r="R223" s="57"/>
      <c r="S223" s="57"/>
      <c r="T223" s="57"/>
      <c r="U223" s="57"/>
      <c r="V223" s="57"/>
      <c r="W223" s="57"/>
      <c r="X223" s="57"/>
      <c r="Y223" s="57"/>
      <c r="Z223" s="3"/>
      <c r="AA223" s="57"/>
      <c r="AB223" s="772" t="s">
        <v>2438</v>
      </c>
      <c r="AC223" s="57" t="s">
        <v>2180</v>
      </c>
      <c r="AD223" s="3" t="s">
        <v>2439</v>
      </c>
      <c r="AE223" s="674"/>
      <c r="AF223" s="57"/>
      <c r="AG223" s="57"/>
      <c r="AH223" s="57"/>
      <c r="AI223" s="57"/>
      <c r="AJ223" s="57"/>
      <c r="AK223" s="57"/>
      <c r="AL223" s="57"/>
      <c r="AM223" s="57"/>
      <c r="AN223" s="57"/>
      <c r="AO223" s="57"/>
      <c r="AP223" s="57"/>
      <c r="AQ223" s="57"/>
      <c r="AR223" s="57"/>
      <c r="AS223" s="57"/>
      <c r="AT223" s="57"/>
      <c r="AU223" s="57"/>
      <c r="AV223" s="57"/>
      <c r="AW223" s="57"/>
      <c r="AX223" s="57"/>
    </row>
    <row r="224" spans="1:50" ht="15.75" customHeight="1">
      <c r="A224" s="770"/>
      <c r="B224" s="57"/>
      <c r="C224" s="57"/>
      <c r="D224" s="57"/>
      <c r="E224" s="3"/>
      <c r="F224" s="57"/>
      <c r="G224" s="57"/>
      <c r="H224" s="57"/>
      <c r="I224" s="57"/>
      <c r="J224" s="57"/>
      <c r="K224" s="57"/>
      <c r="L224" s="57"/>
      <c r="M224" s="57"/>
      <c r="N224" s="57"/>
      <c r="O224" s="57"/>
      <c r="P224" s="57"/>
      <c r="Q224" s="57"/>
      <c r="R224" s="57"/>
      <c r="S224" s="57"/>
      <c r="T224" s="57"/>
      <c r="U224" s="57"/>
      <c r="V224" s="57"/>
      <c r="W224" s="57"/>
      <c r="X224" s="57"/>
      <c r="Y224" s="57"/>
      <c r="Z224" s="3"/>
      <c r="AA224" s="57"/>
      <c r="AB224" s="726" t="s">
        <v>2728</v>
      </c>
      <c r="AC224" s="57" t="s">
        <v>2163</v>
      </c>
      <c r="AD224" s="3" t="s">
        <v>2729</v>
      </c>
      <c r="AE224" s="674"/>
      <c r="AF224" s="57"/>
      <c r="AG224" s="57"/>
      <c r="AH224" s="57"/>
      <c r="AI224" s="57"/>
      <c r="AJ224" s="57"/>
      <c r="AK224" s="57"/>
      <c r="AL224" s="57"/>
      <c r="AM224" s="57"/>
      <c r="AN224" s="57"/>
      <c r="AO224" s="57"/>
      <c r="AP224" s="57"/>
      <c r="AQ224" s="57"/>
      <c r="AR224" s="57"/>
      <c r="AS224" s="57"/>
      <c r="AT224" s="57"/>
      <c r="AU224" s="57"/>
      <c r="AV224" s="57"/>
      <c r="AW224" s="57"/>
      <c r="AX224" s="57"/>
    </row>
    <row r="225" spans="1:50" ht="15.75" customHeight="1">
      <c r="A225" s="770"/>
      <c r="B225" s="57"/>
      <c r="C225" s="57"/>
      <c r="D225" s="57"/>
      <c r="E225" s="3"/>
      <c r="F225" s="57"/>
      <c r="G225" s="57"/>
      <c r="H225" s="57"/>
      <c r="I225" s="57"/>
      <c r="J225" s="57"/>
      <c r="K225" s="57"/>
      <c r="L225" s="57"/>
      <c r="M225" s="57"/>
      <c r="N225" s="57"/>
      <c r="O225" s="57"/>
      <c r="P225" s="57"/>
      <c r="Q225" s="57"/>
      <c r="R225" s="57"/>
      <c r="S225" s="57"/>
      <c r="T225" s="57"/>
      <c r="U225" s="57"/>
      <c r="V225" s="57"/>
      <c r="W225" s="57"/>
      <c r="X225" s="57"/>
      <c r="Y225" s="57"/>
      <c r="Z225" s="3"/>
      <c r="AA225" s="57"/>
      <c r="AB225" s="34" t="s">
        <v>2730</v>
      </c>
      <c r="AC225" s="57" t="s">
        <v>2180</v>
      </c>
      <c r="AD225" s="3" t="s">
        <v>2622</v>
      </c>
      <c r="AE225" s="674"/>
      <c r="AF225" s="57"/>
      <c r="AG225" s="57"/>
      <c r="AH225" s="57"/>
      <c r="AI225" s="57"/>
      <c r="AJ225" s="57"/>
      <c r="AK225" s="57"/>
      <c r="AL225" s="57"/>
      <c r="AM225" s="57"/>
      <c r="AN225" s="57"/>
      <c r="AO225" s="57"/>
      <c r="AP225" s="57"/>
      <c r="AQ225" s="57"/>
      <c r="AR225" s="57"/>
      <c r="AS225" s="57"/>
      <c r="AT225" s="57"/>
      <c r="AU225" s="57"/>
      <c r="AV225" s="57"/>
      <c r="AW225" s="57"/>
      <c r="AX225" s="57"/>
    </row>
    <row r="226" spans="1:50" ht="15.75" customHeight="1">
      <c r="A226" s="770"/>
      <c r="B226" s="57"/>
      <c r="C226" s="57"/>
      <c r="D226" s="57"/>
      <c r="E226" s="3"/>
      <c r="F226" s="57"/>
      <c r="G226" s="57"/>
      <c r="H226" s="57"/>
      <c r="I226" s="57"/>
      <c r="J226" s="57"/>
      <c r="K226" s="57"/>
      <c r="L226" s="57"/>
      <c r="M226" s="57"/>
      <c r="N226" s="57"/>
      <c r="O226" s="57"/>
      <c r="P226" s="57"/>
      <c r="Q226" s="57"/>
      <c r="R226" s="57"/>
      <c r="S226" s="57"/>
      <c r="T226" s="57"/>
      <c r="U226" s="57"/>
      <c r="V226" s="57"/>
      <c r="W226" s="57"/>
      <c r="X226" s="57"/>
      <c r="Y226" s="57"/>
      <c r="Z226" s="3"/>
      <c r="AA226" s="57"/>
      <c r="AB226" s="21" t="s">
        <v>2731</v>
      </c>
      <c r="AC226" s="57" t="s">
        <v>2180</v>
      </c>
      <c r="AD226" s="3" t="s">
        <v>2732</v>
      </c>
      <c r="AE226" s="674"/>
      <c r="AF226" s="57"/>
      <c r="AG226" s="57"/>
      <c r="AH226" s="57"/>
      <c r="AI226" s="57"/>
      <c r="AJ226" s="57"/>
      <c r="AK226" s="57"/>
      <c r="AL226" s="57"/>
      <c r="AM226" s="57"/>
      <c r="AN226" s="57"/>
      <c r="AO226" s="57"/>
      <c r="AP226" s="57"/>
      <c r="AQ226" s="57"/>
      <c r="AR226" s="57"/>
      <c r="AS226" s="57"/>
      <c r="AT226" s="57"/>
      <c r="AU226" s="57"/>
      <c r="AV226" s="57"/>
      <c r="AW226" s="57"/>
      <c r="AX226" s="57"/>
    </row>
    <row r="227" spans="1:50" ht="15.75" customHeight="1">
      <c r="A227" s="770"/>
      <c r="B227" s="57"/>
      <c r="C227" s="57"/>
      <c r="D227" s="57"/>
      <c r="E227" s="3"/>
      <c r="F227" s="57"/>
      <c r="G227" s="57"/>
      <c r="H227" s="57"/>
      <c r="I227" s="57"/>
      <c r="J227" s="57"/>
      <c r="K227" s="57"/>
      <c r="L227" s="57"/>
      <c r="M227" s="57"/>
      <c r="N227" s="57"/>
      <c r="O227" s="57"/>
      <c r="P227" s="57"/>
      <c r="Q227" s="57"/>
      <c r="R227" s="57"/>
      <c r="S227" s="57"/>
      <c r="T227" s="57"/>
      <c r="U227" s="57"/>
      <c r="V227" s="57"/>
      <c r="W227" s="57"/>
      <c r="X227" s="57"/>
      <c r="Y227" s="57"/>
      <c r="Z227" s="3"/>
      <c r="AA227" s="57"/>
      <c r="AB227" s="21" t="s">
        <v>2412</v>
      </c>
      <c r="AC227" s="57" t="s">
        <v>2180</v>
      </c>
      <c r="AD227" s="3" t="s">
        <v>2413</v>
      </c>
      <c r="AE227" s="674"/>
      <c r="AF227" s="57"/>
      <c r="AG227" s="57"/>
      <c r="AH227" s="57"/>
      <c r="AI227" s="57"/>
      <c r="AJ227" s="57"/>
      <c r="AK227" s="57"/>
      <c r="AL227" s="57"/>
      <c r="AM227" s="57"/>
      <c r="AN227" s="57"/>
      <c r="AO227" s="57"/>
      <c r="AP227" s="57"/>
      <c r="AQ227" s="57"/>
      <c r="AR227" s="57"/>
      <c r="AS227" s="57"/>
      <c r="AT227" s="57"/>
      <c r="AU227" s="57"/>
      <c r="AV227" s="57"/>
      <c r="AW227" s="57"/>
      <c r="AX227" s="57"/>
    </row>
    <row r="228" spans="1:50" ht="15.75" customHeight="1">
      <c r="A228" s="770"/>
      <c r="B228" s="57"/>
      <c r="C228" s="57"/>
      <c r="D228" s="57"/>
      <c r="E228" s="3"/>
      <c r="F228" s="57"/>
      <c r="G228" s="57"/>
      <c r="H228" s="57"/>
      <c r="I228" s="57"/>
      <c r="J228" s="57"/>
      <c r="K228" s="57"/>
      <c r="L228" s="57"/>
      <c r="M228" s="57"/>
      <c r="N228" s="57"/>
      <c r="O228" s="57"/>
      <c r="P228" s="57"/>
      <c r="Q228" s="57"/>
      <c r="R228" s="57"/>
      <c r="S228" s="57"/>
      <c r="T228" s="57"/>
      <c r="U228" s="57"/>
      <c r="V228" s="57"/>
      <c r="W228" s="57"/>
      <c r="X228" s="57"/>
      <c r="Y228" s="57"/>
      <c r="Z228" s="3"/>
      <c r="AA228" s="57"/>
      <c r="AB228" s="34" t="s">
        <v>2733</v>
      </c>
      <c r="AC228" s="57" t="s">
        <v>2180</v>
      </c>
      <c r="AD228" s="3" t="s">
        <v>2734</v>
      </c>
      <c r="AE228" s="674"/>
      <c r="AF228" s="57"/>
      <c r="AG228" s="57"/>
      <c r="AH228" s="57"/>
      <c r="AI228" s="57"/>
      <c r="AJ228" s="57"/>
      <c r="AK228" s="57"/>
      <c r="AL228" s="57"/>
      <c r="AM228" s="57"/>
      <c r="AN228" s="57"/>
      <c r="AO228" s="57"/>
      <c r="AP228" s="57"/>
      <c r="AQ228" s="57"/>
      <c r="AR228" s="57"/>
      <c r="AS228" s="57"/>
      <c r="AT228" s="57"/>
      <c r="AU228" s="57"/>
      <c r="AV228" s="57"/>
      <c r="AW228" s="57"/>
      <c r="AX228" s="57"/>
    </row>
    <row r="229" spans="1:50" ht="15.75" customHeight="1">
      <c r="A229" s="770"/>
      <c r="B229" s="57"/>
      <c r="C229" s="57"/>
      <c r="D229" s="57"/>
      <c r="E229" s="3"/>
      <c r="F229" s="57"/>
      <c r="G229" s="57"/>
      <c r="H229" s="57"/>
      <c r="I229" s="57"/>
      <c r="J229" s="57"/>
      <c r="K229" s="57"/>
      <c r="L229" s="57"/>
      <c r="M229" s="57"/>
      <c r="N229" s="57"/>
      <c r="O229" s="57"/>
      <c r="P229" s="57"/>
      <c r="Q229" s="57"/>
      <c r="R229" s="57"/>
      <c r="S229" s="57"/>
      <c r="T229" s="57"/>
      <c r="U229" s="57"/>
      <c r="V229" s="57"/>
      <c r="W229" s="57"/>
      <c r="X229" s="57"/>
      <c r="Y229" s="57"/>
      <c r="Z229" s="3"/>
      <c r="AA229" s="57"/>
      <c r="AB229" s="34" t="s">
        <v>2735</v>
      </c>
      <c r="AC229" s="57" t="s">
        <v>2180</v>
      </c>
      <c r="AD229" s="3" t="s">
        <v>2736</v>
      </c>
      <c r="AE229" s="674"/>
      <c r="AF229" s="57"/>
      <c r="AG229" s="57"/>
      <c r="AH229" s="57"/>
      <c r="AI229" s="57"/>
      <c r="AJ229" s="57"/>
      <c r="AK229" s="57"/>
      <c r="AL229" s="57"/>
      <c r="AM229" s="57"/>
      <c r="AN229" s="57"/>
      <c r="AO229" s="57"/>
      <c r="AP229" s="57"/>
      <c r="AQ229" s="57"/>
      <c r="AR229" s="57"/>
      <c r="AS229" s="57"/>
      <c r="AT229" s="57"/>
      <c r="AU229" s="57"/>
      <c r="AV229" s="57"/>
      <c r="AW229" s="57"/>
      <c r="AX229" s="57"/>
    </row>
    <row r="230" spans="1:50" ht="15.75" customHeight="1">
      <c r="A230" s="770"/>
      <c r="B230" s="57"/>
      <c r="C230" s="57"/>
      <c r="D230" s="57"/>
      <c r="E230" s="3"/>
      <c r="F230" s="57"/>
      <c r="G230" s="57"/>
      <c r="H230" s="57"/>
      <c r="I230" s="57"/>
      <c r="J230" s="57"/>
      <c r="K230" s="57"/>
      <c r="L230" s="57"/>
      <c r="M230" s="57"/>
      <c r="N230" s="57"/>
      <c r="O230" s="57"/>
      <c r="P230" s="57"/>
      <c r="Q230" s="57"/>
      <c r="R230" s="57"/>
      <c r="S230" s="57"/>
      <c r="T230" s="57"/>
      <c r="U230" s="57"/>
      <c r="V230" s="57"/>
      <c r="W230" s="57"/>
      <c r="X230" s="57"/>
      <c r="Y230" s="57"/>
      <c r="Z230" s="3"/>
      <c r="AA230" s="57"/>
      <c r="AB230" s="3" t="s">
        <v>2737</v>
      </c>
      <c r="AC230" s="57" t="s">
        <v>2180</v>
      </c>
      <c r="AD230" s="3" t="s">
        <v>2738</v>
      </c>
      <c r="AE230" s="57" t="s">
        <v>616</v>
      </c>
      <c r="AF230" s="57"/>
      <c r="AG230" s="57"/>
      <c r="AH230" s="57"/>
      <c r="AI230" s="57"/>
      <c r="AJ230" s="57"/>
      <c r="AK230" s="57"/>
      <c r="AL230" s="57"/>
      <c r="AM230" s="57"/>
      <c r="AN230" s="57"/>
      <c r="AO230" s="57"/>
      <c r="AP230" s="57"/>
      <c r="AQ230" s="57"/>
      <c r="AR230" s="57"/>
      <c r="AS230" s="57"/>
      <c r="AT230" s="57"/>
      <c r="AU230" s="57"/>
      <c r="AV230" s="57"/>
      <c r="AW230" s="57"/>
      <c r="AX230" s="57"/>
    </row>
    <row r="231" spans="1:50" ht="15.75" customHeight="1">
      <c r="A231" s="770"/>
      <c r="B231" s="57"/>
      <c r="C231" s="57"/>
      <c r="D231" s="57"/>
      <c r="E231" s="3"/>
      <c r="F231" s="57"/>
      <c r="G231" s="57"/>
      <c r="H231" s="57"/>
      <c r="I231" s="57"/>
      <c r="J231" s="57"/>
      <c r="K231" s="57"/>
      <c r="L231" s="57"/>
      <c r="M231" s="57"/>
      <c r="N231" s="57"/>
      <c r="O231" s="57"/>
      <c r="P231" s="57"/>
      <c r="Q231" s="57"/>
      <c r="R231" s="57"/>
      <c r="S231" s="57"/>
      <c r="T231" s="57"/>
      <c r="U231" s="57"/>
      <c r="V231" s="57"/>
      <c r="W231" s="57"/>
      <c r="X231" s="57"/>
      <c r="Y231" s="57"/>
      <c r="Z231" s="3"/>
      <c r="AA231" s="57"/>
      <c r="AB231" s="3" t="s">
        <v>2739</v>
      </c>
      <c r="AC231" s="57" t="s">
        <v>2180</v>
      </c>
      <c r="AD231" s="3" t="s">
        <v>2181</v>
      </c>
      <c r="AE231" s="674"/>
      <c r="AF231" s="57"/>
      <c r="AG231" s="57"/>
      <c r="AH231" s="57"/>
      <c r="AI231" s="57"/>
      <c r="AJ231" s="57"/>
      <c r="AK231" s="57"/>
      <c r="AL231" s="57"/>
      <c r="AM231" s="57"/>
      <c r="AN231" s="57"/>
      <c r="AO231" s="57"/>
      <c r="AP231" s="57"/>
      <c r="AQ231" s="57"/>
      <c r="AR231" s="57"/>
      <c r="AS231" s="57"/>
      <c r="AT231" s="57"/>
      <c r="AU231" s="57"/>
      <c r="AV231" s="57"/>
      <c r="AW231" s="57"/>
      <c r="AX231" s="57"/>
    </row>
    <row r="232" spans="1:50" ht="15.75" customHeight="1">
      <c r="A232" s="770"/>
      <c r="B232" s="57"/>
      <c r="C232" s="57"/>
      <c r="D232" s="57"/>
      <c r="E232" s="3"/>
      <c r="F232" s="57"/>
      <c r="G232" s="57"/>
      <c r="H232" s="57"/>
      <c r="I232" s="57"/>
      <c r="J232" s="57"/>
      <c r="K232" s="57"/>
      <c r="L232" s="57"/>
      <c r="M232" s="57"/>
      <c r="N232" s="57"/>
      <c r="O232" s="57"/>
      <c r="P232" s="57"/>
      <c r="Q232" s="57"/>
      <c r="R232" s="57"/>
      <c r="S232" s="57"/>
      <c r="T232" s="57"/>
      <c r="U232" s="57"/>
      <c r="V232" s="57"/>
      <c r="W232" s="57"/>
      <c r="X232" s="57"/>
      <c r="Y232" s="57"/>
      <c r="Z232" s="3"/>
      <c r="AA232" s="57"/>
      <c r="AB232" s="3" t="s">
        <v>2740</v>
      </c>
      <c r="AC232" s="57" t="s">
        <v>2180</v>
      </c>
      <c r="AD232" s="3" t="s">
        <v>2741</v>
      </c>
      <c r="AE232" s="674"/>
      <c r="AF232" s="57"/>
      <c r="AG232" s="57"/>
      <c r="AH232" s="57"/>
      <c r="AI232" s="57"/>
      <c r="AJ232" s="57"/>
      <c r="AK232" s="57"/>
      <c r="AL232" s="57"/>
      <c r="AM232" s="57"/>
      <c r="AN232" s="57"/>
      <c r="AO232" s="57"/>
      <c r="AP232" s="57"/>
      <c r="AQ232" s="57"/>
      <c r="AR232" s="57"/>
      <c r="AS232" s="57"/>
      <c r="AT232" s="57"/>
      <c r="AU232" s="57"/>
      <c r="AV232" s="57"/>
      <c r="AW232" s="57"/>
      <c r="AX232" s="57"/>
    </row>
    <row r="233" spans="1:50" ht="15.75" customHeight="1">
      <c r="A233" s="770"/>
      <c r="B233" s="57"/>
      <c r="C233" s="57"/>
      <c r="D233" s="57"/>
      <c r="E233" s="3"/>
      <c r="F233" s="57"/>
      <c r="G233" s="57"/>
      <c r="H233" s="57"/>
      <c r="I233" s="57"/>
      <c r="J233" s="57"/>
      <c r="K233" s="57"/>
      <c r="L233" s="57"/>
      <c r="M233" s="57"/>
      <c r="N233" s="57"/>
      <c r="O233" s="57"/>
      <c r="P233" s="57"/>
      <c r="Q233" s="57"/>
      <c r="R233" s="57"/>
      <c r="S233" s="57"/>
      <c r="T233" s="57"/>
      <c r="U233" s="57"/>
      <c r="V233" s="57"/>
      <c r="W233" s="57"/>
      <c r="X233" s="57"/>
      <c r="Y233" s="57"/>
      <c r="Z233" s="3"/>
      <c r="AA233" s="57"/>
      <c r="AB233" s="3" t="s">
        <v>2742</v>
      </c>
      <c r="AC233" s="57" t="s">
        <v>2163</v>
      </c>
      <c r="AD233" s="3" t="s">
        <v>2743</v>
      </c>
      <c r="AE233" s="674"/>
      <c r="AF233" s="57"/>
      <c r="AG233" s="57"/>
      <c r="AH233" s="57"/>
      <c r="AI233" s="57"/>
      <c r="AJ233" s="57"/>
      <c r="AK233" s="57"/>
      <c r="AL233" s="57"/>
      <c r="AM233" s="57"/>
      <c r="AN233" s="57"/>
      <c r="AO233" s="57"/>
      <c r="AP233" s="57"/>
      <c r="AQ233" s="57"/>
      <c r="AR233" s="57"/>
      <c r="AS233" s="57"/>
      <c r="AT233" s="57"/>
      <c r="AU233" s="57"/>
      <c r="AV233" s="57"/>
      <c r="AW233" s="57"/>
      <c r="AX233" s="57"/>
    </row>
    <row r="234" spans="1:50" ht="15.75" customHeight="1">
      <c r="A234" s="770"/>
      <c r="B234" s="57"/>
      <c r="C234" s="57"/>
      <c r="D234" s="57"/>
      <c r="E234" s="3"/>
      <c r="F234" s="57"/>
      <c r="G234" s="57"/>
      <c r="H234" s="57"/>
      <c r="I234" s="57"/>
      <c r="J234" s="57"/>
      <c r="K234" s="57"/>
      <c r="L234" s="57"/>
      <c r="M234" s="57"/>
      <c r="N234" s="57"/>
      <c r="O234" s="57"/>
      <c r="P234" s="57"/>
      <c r="Q234" s="57"/>
      <c r="R234" s="57"/>
      <c r="S234" s="57"/>
      <c r="T234" s="57"/>
      <c r="U234" s="57"/>
      <c r="V234" s="57"/>
      <c r="W234" s="57"/>
      <c r="X234" s="57"/>
      <c r="Y234" s="57"/>
      <c r="Z234" s="3"/>
      <c r="AA234" s="57"/>
      <c r="AB234" s="3" t="s">
        <v>2744</v>
      </c>
      <c r="AC234" s="57" t="s">
        <v>2163</v>
      </c>
      <c r="AD234" s="3" t="s">
        <v>2745</v>
      </c>
      <c r="AE234" s="674"/>
      <c r="AF234" s="57"/>
      <c r="AG234" s="57"/>
      <c r="AH234" s="57"/>
      <c r="AI234" s="57"/>
      <c r="AJ234" s="57"/>
      <c r="AK234" s="57"/>
      <c r="AL234" s="57"/>
      <c r="AM234" s="57"/>
      <c r="AN234" s="57"/>
      <c r="AO234" s="57"/>
      <c r="AP234" s="57"/>
      <c r="AQ234" s="57"/>
      <c r="AR234" s="57"/>
      <c r="AS234" s="57"/>
      <c r="AT234" s="57"/>
      <c r="AU234" s="57"/>
      <c r="AV234" s="57"/>
      <c r="AW234" s="57"/>
      <c r="AX234" s="57"/>
    </row>
    <row r="235" spans="1:50" ht="15.75" customHeight="1">
      <c r="A235" s="770"/>
      <c r="B235" s="57"/>
      <c r="C235" s="57"/>
      <c r="D235" s="57"/>
      <c r="E235" s="3"/>
      <c r="F235" s="57"/>
      <c r="G235" s="57"/>
      <c r="H235" s="57"/>
      <c r="I235" s="57"/>
      <c r="J235" s="57"/>
      <c r="K235" s="57"/>
      <c r="L235" s="57"/>
      <c r="M235" s="57"/>
      <c r="N235" s="57"/>
      <c r="O235" s="57"/>
      <c r="P235" s="57"/>
      <c r="Q235" s="57"/>
      <c r="R235" s="57"/>
      <c r="S235" s="57"/>
      <c r="T235" s="57"/>
      <c r="U235" s="57"/>
      <c r="V235" s="57"/>
      <c r="W235" s="57"/>
      <c r="X235" s="57"/>
      <c r="Y235" s="57"/>
      <c r="Z235" s="3"/>
      <c r="AA235" s="57"/>
      <c r="AB235" s="3" t="s">
        <v>2746</v>
      </c>
      <c r="AC235" s="57" t="s">
        <v>2163</v>
      </c>
      <c r="AD235" s="3" t="s">
        <v>2547</v>
      </c>
      <c r="AE235" s="674"/>
      <c r="AF235" s="57"/>
      <c r="AG235" s="57"/>
      <c r="AH235" s="57"/>
      <c r="AI235" s="57"/>
      <c r="AJ235" s="57"/>
      <c r="AK235" s="57"/>
      <c r="AL235" s="57"/>
      <c r="AM235" s="57"/>
      <c r="AN235" s="57"/>
      <c r="AO235" s="57"/>
      <c r="AP235" s="57"/>
      <c r="AQ235" s="57"/>
      <c r="AR235" s="57"/>
      <c r="AS235" s="57"/>
      <c r="AT235" s="57"/>
      <c r="AU235" s="57"/>
      <c r="AV235" s="57"/>
      <c r="AW235" s="57"/>
      <c r="AX235" s="57"/>
    </row>
    <row r="236" spans="1:50" ht="15.75" customHeight="1">
      <c r="A236" s="770"/>
      <c r="B236" s="57"/>
      <c r="C236" s="57"/>
      <c r="D236" s="57"/>
      <c r="E236" s="3"/>
      <c r="F236" s="57"/>
      <c r="G236" s="57"/>
      <c r="H236" s="57"/>
      <c r="I236" s="57"/>
      <c r="J236" s="57"/>
      <c r="K236" s="57"/>
      <c r="L236" s="57"/>
      <c r="M236" s="57"/>
      <c r="N236" s="57"/>
      <c r="O236" s="57"/>
      <c r="P236" s="57"/>
      <c r="Q236" s="57"/>
      <c r="R236" s="57"/>
      <c r="S236" s="57"/>
      <c r="T236" s="57"/>
      <c r="U236" s="57"/>
      <c r="V236" s="57"/>
      <c r="W236" s="57"/>
      <c r="X236" s="57"/>
      <c r="Y236" s="57"/>
      <c r="Z236" s="3"/>
      <c r="AA236" s="57"/>
      <c r="AB236" s="3" t="s">
        <v>2747</v>
      </c>
      <c r="AC236" s="57" t="s">
        <v>2163</v>
      </c>
      <c r="AD236" s="3" t="s">
        <v>2748</v>
      </c>
      <c r="AE236" s="674"/>
      <c r="AF236" s="57"/>
      <c r="AG236" s="57"/>
      <c r="AH236" s="57"/>
      <c r="AI236" s="57"/>
      <c r="AJ236" s="57"/>
      <c r="AK236" s="57"/>
      <c r="AL236" s="57"/>
      <c r="AM236" s="57"/>
      <c r="AN236" s="57"/>
      <c r="AO236" s="57"/>
      <c r="AP236" s="57"/>
      <c r="AQ236" s="57"/>
      <c r="AR236" s="57"/>
      <c r="AS236" s="57"/>
      <c r="AT236" s="57"/>
      <c r="AU236" s="57"/>
      <c r="AV236" s="57"/>
      <c r="AW236" s="57"/>
      <c r="AX236" s="57"/>
    </row>
    <row r="237" spans="1:50" ht="15.75" customHeight="1">
      <c r="A237" s="770"/>
      <c r="B237" s="57"/>
      <c r="C237" s="57"/>
      <c r="D237" s="57"/>
      <c r="E237" s="3"/>
      <c r="F237" s="57"/>
      <c r="G237" s="57"/>
      <c r="H237" s="57"/>
      <c r="I237" s="57"/>
      <c r="J237" s="57"/>
      <c r="K237" s="57"/>
      <c r="L237" s="57"/>
      <c r="M237" s="57"/>
      <c r="N237" s="57"/>
      <c r="O237" s="57"/>
      <c r="P237" s="57"/>
      <c r="Q237" s="57"/>
      <c r="R237" s="57"/>
      <c r="S237" s="57"/>
      <c r="T237" s="57"/>
      <c r="U237" s="57"/>
      <c r="V237" s="57"/>
      <c r="W237" s="57"/>
      <c r="X237" s="57"/>
      <c r="Y237" s="57"/>
      <c r="Z237" s="3"/>
      <c r="AA237" s="57"/>
      <c r="AB237" s="3" t="s">
        <v>2749</v>
      </c>
      <c r="AC237" s="57" t="s">
        <v>2180</v>
      </c>
      <c r="AD237" s="3" t="s">
        <v>2750</v>
      </c>
      <c r="AE237" s="674"/>
      <c r="AF237" s="57"/>
      <c r="AG237" s="57"/>
      <c r="AH237" s="57"/>
      <c r="AI237" s="57"/>
      <c r="AJ237" s="57"/>
      <c r="AK237" s="57"/>
      <c r="AL237" s="57"/>
      <c r="AM237" s="57"/>
      <c r="AN237" s="57"/>
      <c r="AO237" s="57"/>
      <c r="AP237" s="57"/>
      <c r="AQ237" s="57"/>
      <c r="AR237" s="57"/>
      <c r="AS237" s="57"/>
      <c r="AT237" s="57"/>
      <c r="AU237" s="57"/>
      <c r="AV237" s="57"/>
      <c r="AW237" s="57"/>
      <c r="AX237" s="57"/>
    </row>
    <row r="238" spans="1:50" ht="15.75" customHeight="1">
      <c r="A238" s="770"/>
      <c r="B238" s="57"/>
      <c r="C238" s="57"/>
      <c r="D238" s="57"/>
      <c r="E238" s="3"/>
      <c r="F238" s="57"/>
      <c r="G238" s="57"/>
      <c r="H238" s="57"/>
      <c r="I238" s="57"/>
      <c r="J238" s="57"/>
      <c r="K238" s="57"/>
      <c r="L238" s="57"/>
      <c r="M238" s="57"/>
      <c r="N238" s="57"/>
      <c r="O238" s="57"/>
      <c r="P238" s="57"/>
      <c r="Q238" s="57"/>
      <c r="R238" s="57"/>
      <c r="S238" s="57"/>
      <c r="T238" s="57"/>
      <c r="U238" s="57"/>
      <c r="V238" s="57"/>
      <c r="W238" s="57"/>
      <c r="X238" s="57"/>
      <c r="Y238" s="57"/>
      <c r="Z238" s="3"/>
      <c r="AA238" s="57"/>
      <c r="AB238" s="3" t="s">
        <v>2751</v>
      </c>
      <c r="AC238" s="57" t="s">
        <v>2163</v>
      </c>
      <c r="AD238" s="3" t="s">
        <v>2752</v>
      </c>
      <c r="AE238" s="674"/>
      <c r="AF238" s="57"/>
      <c r="AG238" s="57"/>
      <c r="AH238" s="57"/>
      <c r="AI238" s="57"/>
      <c r="AJ238" s="57"/>
      <c r="AK238" s="57"/>
      <c r="AL238" s="57"/>
      <c r="AM238" s="57"/>
      <c r="AN238" s="57"/>
      <c r="AO238" s="57"/>
      <c r="AP238" s="57"/>
      <c r="AQ238" s="57"/>
      <c r="AR238" s="57"/>
      <c r="AS238" s="57"/>
      <c r="AT238" s="57"/>
      <c r="AU238" s="57"/>
      <c r="AV238" s="57"/>
      <c r="AW238" s="57"/>
      <c r="AX238" s="57"/>
    </row>
    <row r="239" spans="1:50" ht="15.75" customHeight="1">
      <c r="A239" s="770"/>
      <c r="B239" s="57"/>
      <c r="C239" s="57"/>
      <c r="D239" s="57"/>
      <c r="E239" s="3"/>
      <c r="F239" s="57"/>
      <c r="G239" s="57"/>
      <c r="H239" s="57"/>
      <c r="I239" s="57"/>
      <c r="J239" s="57"/>
      <c r="K239" s="57"/>
      <c r="L239" s="57"/>
      <c r="M239" s="57"/>
      <c r="N239" s="57"/>
      <c r="O239" s="57"/>
      <c r="P239" s="57"/>
      <c r="Q239" s="57"/>
      <c r="R239" s="57"/>
      <c r="S239" s="57"/>
      <c r="T239" s="57"/>
      <c r="U239" s="57"/>
      <c r="V239" s="57"/>
      <c r="W239" s="57"/>
      <c r="X239" s="57"/>
      <c r="Y239" s="57"/>
      <c r="Z239" s="3"/>
      <c r="AA239" s="57"/>
      <c r="AB239" s="3" t="s">
        <v>2753</v>
      </c>
      <c r="AC239" s="57" t="s">
        <v>2180</v>
      </c>
      <c r="AD239" s="3" t="s">
        <v>2754</v>
      </c>
      <c r="AE239" s="674"/>
      <c r="AF239" s="57"/>
      <c r="AG239" s="57"/>
      <c r="AH239" s="57"/>
      <c r="AI239" s="57"/>
      <c r="AJ239" s="57"/>
      <c r="AK239" s="57"/>
      <c r="AL239" s="57"/>
      <c r="AM239" s="57"/>
      <c r="AN239" s="57"/>
      <c r="AO239" s="57"/>
      <c r="AP239" s="57"/>
      <c r="AQ239" s="57"/>
      <c r="AR239" s="57"/>
      <c r="AS239" s="57"/>
      <c r="AT239" s="57"/>
      <c r="AU239" s="57"/>
      <c r="AV239" s="57"/>
      <c r="AW239" s="57"/>
      <c r="AX239" s="57"/>
    </row>
    <row r="240" spans="1:50" ht="15.75" customHeight="1">
      <c r="A240" s="770"/>
      <c r="B240" s="57"/>
      <c r="C240" s="57"/>
      <c r="D240" s="57"/>
      <c r="E240" s="3"/>
      <c r="F240" s="57"/>
      <c r="G240" s="57"/>
      <c r="H240" s="57"/>
      <c r="I240" s="57"/>
      <c r="J240" s="57"/>
      <c r="K240" s="57"/>
      <c r="L240" s="57"/>
      <c r="M240" s="57"/>
      <c r="N240" s="57"/>
      <c r="O240" s="57"/>
      <c r="P240" s="57"/>
      <c r="Q240" s="57"/>
      <c r="R240" s="57"/>
      <c r="S240" s="57"/>
      <c r="T240" s="57"/>
      <c r="U240" s="57"/>
      <c r="V240" s="57"/>
      <c r="W240" s="57"/>
      <c r="X240" s="57"/>
      <c r="Y240" s="57"/>
      <c r="Z240" s="3"/>
      <c r="AA240" s="57"/>
      <c r="AB240" s="3" t="s">
        <v>2755</v>
      </c>
      <c r="AC240" s="57" t="s">
        <v>2163</v>
      </c>
      <c r="AD240" s="3" t="s">
        <v>2756</v>
      </c>
      <c r="AE240" s="674"/>
      <c r="AF240" s="57"/>
      <c r="AG240" s="57"/>
      <c r="AH240" s="57"/>
      <c r="AI240" s="57"/>
      <c r="AJ240" s="57"/>
      <c r="AK240" s="57"/>
      <c r="AL240" s="57"/>
      <c r="AM240" s="57"/>
      <c r="AN240" s="57"/>
      <c r="AO240" s="57"/>
      <c r="AP240" s="57"/>
      <c r="AQ240" s="57"/>
      <c r="AR240" s="57"/>
      <c r="AS240" s="57"/>
      <c r="AT240" s="57"/>
      <c r="AU240" s="57"/>
      <c r="AV240" s="57"/>
      <c r="AW240" s="57"/>
      <c r="AX240" s="57"/>
    </row>
    <row r="241" spans="1:50" ht="15.75" customHeight="1">
      <c r="A241" s="770"/>
      <c r="B241" s="57"/>
      <c r="C241" s="57"/>
      <c r="D241" s="57"/>
      <c r="E241" s="3"/>
      <c r="F241" s="57"/>
      <c r="G241" s="57"/>
      <c r="H241" s="57"/>
      <c r="I241" s="57"/>
      <c r="J241" s="57"/>
      <c r="K241" s="57"/>
      <c r="L241" s="57"/>
      <c r="M241" s="57"/>
      <c r="N241" s="57"/>
      <c r="O241" s="57"/>
      <c r="P241" s="57"/>
      <c r="Q241" s="57"/>
      <c r="R241" s="57"/>
      <c r="S241" s="57"/>
      <c r="T241" s="57"/>
      <c r="U241" s="57"/>
      <c r="V241" s="57"/>
      <c r="W241" s="57"/>
      <c r="X241" s="57"/>
      <c r="Y241" s="57"/>
      <c r="Z241" s="3"/>
      <c r="AA241" s="57"/>
      <c r="AB241" s="3" t="s">
        <v>2757</v>
      </c>
      <c r="AC241" s="57" t="s">
        <v>2163</v>
      </c>
      <c r="AD241" s="3" t="s">
        <v>2758</v>
      </c>
      <c r="AE241" s="674"/>
      <c r="AF241" s="57"/>
      <c r="AG241" s="57"/>
      <c r="AH241" s="57"/>
      <c r="AI241" s="57"/>
      <c r="AJ241" s="57"/>
      <c r="AK241" s="57"/>
      <c r="AL241" s="57"/>
      <c r="AM241" s="57"/>
      <c r="AN241" s="57"/>
      <c r="AO241" s="57"/>
      <c r="AP241" s="57"/>
      <c r="AQ241" s="57"/>
      <c r="AR241" s="57"/>
      <c r="AS241" s="57"/>
      <c r="AT241" s="57"/>
      <c r="AU241" s="57"/>
      <c r="AV241" s="57"/>
      <c r="AW241" s="57"/>
      <c r="AX241" s="57"/>
    </row>
    <row r="242" spans="1:50" ht="15.75" customHeight="1">
      <c r="A242" s="770"/>
      <c r="B242" s="57"/>
      <c r="C242" s="57"/>
      <c r="D242" s="57"/>
      <c r="E242" s="3"/>
      <c r="F242" s="57"/>
      <c r="G242" s="57"/>
      <c r="H242" s="57"/>
      <c r="I242" s="57"/>
      <c r="J242" s="57"/>
      <c r="K242" s="57"/>
      <c r="L242" s="57"/>
      <c r="M242" s="57"/>
      <c r="N242" s="57"/>
      <c r="O242" s="57"/>
      <c r="P242" s="57"/>
      <c r="Q242" s="57"/>
      <c r="R242" s="57"/>
      <c r="S242" s="57"/>
      <c r="T242" s="57"/>
      <c r="U242" s="57"/>
      <c r="V242" s="57"/>
      <c r="W242" s="57"/>
      <c r="X242" s="57"/>
      <c r="Y242" s="57"/>
      <c r="Z242" s="3"/>
      <c r="AA242" s="57"/>
      <c r="AB242" s="3" t="s">
        <v>2759</v>
      </c>
      <c r="AC242" s="57" t="s">
        <v>2163</v>
      </c>
      <c r="AD242" s="3" t="s">
        <v>2760</v>
      </c>
      <c r="AE242" s="674"/>
      <c r="AF242" s="57"/>
      <c r="AG242" s="57"/>
      <c r="AH242" s="57"/>
      <c r="AI242" s="57"/>
      <c r="AJ242" s="57"/>
      <c r="AK242" s="57"/>
      <c r="AL242" s="57"/>
      <c r="AM242" s="57"/>
      <c r="AN242" s="57"/>
      <c r="AO242" s="57"/>
      <c r="AP242" s="57"/>
      <c r="AQ242" s="57"/>
      <c r="AR242" s="57"/>
      <c r="AS242" s="57"/>
      <c r="AT242" s="57"/>
      <c r="AU242" s="57"/>
      <c r="AV242" s="57"/>
      <c r="AW242" s="57"/>
      <c r="AX242" s="57"/>
    </row>
    <row r="243" spans="1:50" ht="15.75" customHeight="1">
      <c r="A243" s="770"/>
      <c r="B243" s="57"/>
      <c r="C243" s="57"/>
      <c r="D243" s="57"/>
      <c r="E243" s="3"/>
      <c r="F243" s="57"/>
      <c r="G243" s="57"/>
      <c r="H243" s="57"/>
      <c r="I243" s="57"/>
      <c r="J243" s="57"/>
      <c r="K243" s="57"/>
      <c r="L243" s="57"/>
      <c r="M243" s="57"/>
      <c r="N243" s="57"/>
      <c r="O243" s="57"/>
      <c r="P243" s="57"/>
      <c r="Q243" s="57"/>
      <c r="R243" s="57"/>
      <c r="S243" s="57"/>
      <c r="T243" s="57"/>
      <c r="U243" s="57"/>
      <c r="V243" s="57"/>
      <c r="W243" s="57"/>
      <c r="X243" s="57"/>
      <c r="Y243" s="57"/>
      <c r="Z243" s="3"/>
      <c r="AA243" s="57"/>
      <c r="AB243" s="3" t="s">
        <v>2761</v>
      </c>
      <c r="AC243" s="57" t="s">
        <v>2163</v>
      </c>
      <c r="AD243" s="3" t="s">
        <v>2762</v>
      </c>
      <c r="AE243" s="674"/>
      <c r="AF243" s="57"/>
      <c r="AG243" s="57"/>
      <c r="AH243" s="57"/>
      <c r="AI243" s="57"/>
      <c r="AJ243" s="57"/>
      <c r="AK243" s="57"/>
      <c r="AL243" s="57"/>
      <c r="AM243" s="57"/>
      <c r="AN243" s="57"/>
      <c r="AO243" s="57"/>
      <c r="AP243" s="57"/>
      <c r="AQ243" s="57"/>
      <c r="AR243" s="57"/>
      <c r="AS243" s="57"/>
      <c r="AT243" s="57"/>
      <c r="AU243" s="57"/>
      <c r="AV243" s="57"/>
      <c r="AW243" s="57"/>
      <c r="AX243" s="57"/>
    </row>
    <row r="244" spans="1:50" ht="15.75" customHeight="1">
      <c r="A244" s="770"/>
      <c r="B244" s="57"/>
      <c r="C244" s="57"/>
      <c r="D244" s="57"/>
      <c r="E244" s="3"/>
      <c r="F244" s="57"/>
      <c r="G244" s="57"/>
      <c r="H244" s="57"/>
      <c r="I244" s="57"/>
      <c r="J244" s="57"/>
      <c r="K244" s="57"/>
      <c r="L244" s="57"/>
      <c r="M244" s="57"/>
      <c r="N244" s="57"/>
      <c r="O244" s="57"/>
      <c r="P244" s="57"/>
      <c r="Q244" s="57"/>
      <c r="R244" s="57"/>
      <c r="S244" s="57"/>
      <c r="T244" s="57"/>
      <c r="U244" s="57"/>
      <c r="V244" s="57"/>
      <c r="W244" s="57"/>
      <c r="X244" s="57"/>
      <c r="Y244" s="57"/>
      <c r="Z244" s="3"/>
      <c r="AA244" s="57"/>
      <c r="AB244" s="3" t="s">
        <v>2763</v>
      </c>
      <c r="AC244" s="57" t="s">
        <v>2180</v>
      </c>
      <c r="AD244" s="3" t="s">
        <v>2212</v>
      </c>
      <c r="AE244" s="674"/>
      <c r="AF244" s="57"/>
      <c r="AG244" s="57"/>
      <c r="AH244" s="57"/>
      <c r="AI244" s="57"/>
      <c r="AJ244" s="57"/>
      <c r="AK244" s="57"/>
      <c r="AL244" s="57"/>
      <c r="AM244" s="57"/>
      <c r="AN244" s="57"/>
      <c r="AO244" s="57"/>
      <c r="AP244" s="57"/>
      <c r="AQ244" s="57"/>
      <c r="AR244" s="57"/>
      <c r="AS244" s="57"/>
      <c r="AT244" s="57"/>
      <c r="AU244" s="57"/>
      <c r="AV244" s="57"/>
      <c r="AW244" s="57"/>
      <c r="AX244" s="57"/>
    </row>
    <row r="245" spans="1:50" ht="15.75" customHeight="1">
      <c r="A245" s="770"/>
      <c r="B245" s="57"/>
      <c r="C245" s="57"/>
      <c r="D245" s="57"/>
      <c r="E245" s="3"/>
      <c r="F245" s="57"/>
      <c r="G245" s="57"/>
      <c r="H245" s="57"/>
      <c r="I245" s="57"/>
      <c r="J245" s="57"/>
      <c r="K245" s="57"/>
      <c r="L245" s="57"/>
      <c r="M245" s="57"/>
      <c r="N245" s="57"/>
      <c r="O245" s="57"/>
      <c r="P245" s="57"/>
      <c r="Q245" s="57"/>
      <c r="R245" s="57"/>
      <c r="S245" s="57"/>
      <c r="T245" s="57"/>
      <c r="U245" s="57"/>
      <c r="V245" s="57"/>
      <c r="W245" s="57"/>
      <c r="X245" s="57"/>
      <c r="Y245" s="57"/>
      <c r="Z245" s="3"/>
      <c r="AA245" s="57"/>
      <c r="AB245" s="3" t="s">
        <v>2764</v>
      </c>
      <c r="AC245" s="57" t="s">
        <v>2163</v>
      </c>
      <c r="AD245" s="3" t="s">
        <v>2765</v>
      </c>
      <c r="AE245" s="674"/>
      <c r="AF245" s="57"/>
      <c r="AG245" s="57"/>
      <c r="AH245" s="57"/>
      <c r="AI245" s="57"/>
      <c r="AJ245" s="57"/>
      <c r="AK245" s="57"/>
      <c r="AL245" s="57"/>
      <c r="AM245" s="57"/>
      <c r="AN245" s="57"/>
      <c r="AO245" s="57"/>
      <c r="AP245" s="57"/>
      <c r="AQ245" s="57"/>
      <c r="AR245" s="57"/>
      <c r="AS245" s="57"/>
      <c r="AT245" s="57"/>
      <c r="AU245" s="57"/>
      <c r="AV245" s="57"/>
      <c r="AW245" s="57"/>
      <c r="AX245" s="57"/>
    </row>
    <row r="246" spans="1:50" ht="15.75" customHeight="1">
      <c r="A246" s="770"/>
      <c r="B246" s="57"/>
      <c r="C246" s="57"/>
      <c r="D246" s="57"/>
      <c r="E246" s="3"/>
      <c r="F246" s="57"/>
      <c r="G246" s="57"/>
      <c r="H246" s="57"/>
      <c r="I246" s="57"/>
      <c r="J246" s="57"/>
      <c r="K246" s="57"/>
      <c r="L246" s="57"/>
      <c r="M246" s="57"/>
      <c r="N246" s="57"/>
      <c r="O246" s="57"/>
      <c r="P246" s="57"/>
      <c r="Q246" s="57"/>
      <c r="R246" s="57"/>
      <c r="S246" s="57"/>
      <c r="T246" s="57"/>
      <c r="U246" s="57"/>
      <c r="V246" s="57"/>
      <c r="W246" s="57"/>
      <c r="X246" s="57"/>
      <c r="Y246" s="57"/>
      <c r="Z246" s="3"/>
      <c r="AA246" s="57"/>
      <c r="AB246" s="3" t="s">
        <v>2186</v>
      </c>
      <c r="AC246" s="57" t="s">
        <v>2180</v>
      </c>
      <c r="AD246" s="3" t="s">
        <v>2187</v>
      </c>
      <c r="AE246" s="674"/>
      <c r="AF246" s="57"/>
      <c r="AG246" s="57"/>
      <c r="AH246" s="57"/>
      <c r="AI246" s="57"/>
      <c r="AJ246" s="57"/>
      <c r="AK246" s="57"/>
      <c r="AL246" s="57"/>
      <c r="AM246" s="57"/>
      <c r="AN246" s="57"/>
      <c r="AO246" s="57"/>
      <c r="AP246" s="57"/>
      <c r="AQ246" s="57"/>
      <c r="AR246" s="57"/>
      <c r="AS246" s="57"/>
      <c r="AT246" s="57"/>
      <c r="AU246" s="57"/>
      <c r="AV246" s="57"/>
      <c r="AW246" s="57"/>
      <c r="AX246" s="57"/>
    </row>
    <row r="247" spans="1:50" ht="15.75" customHeight="1">
      <c r="A247" s="770"/>
      <c r="B247" s="57"/>
      <c r="C247" s="57"/>
      <c r="D247" s="57"/>
      <c r="E247" s="3"/>
      <c r="F247" s="57"/>
      <c r="G247" s="57"/>
      <c r="H247" s="57"/>
      <c r="I247" s="57"/>
      <c r="J247" s="57"/>
      <c r="K247" s="57"/>
      <c r="L247" s="57"/>
      <c r="M247" s="57"/>
      <c r="N247" s="57"/>
      <c r="O247" s="57"/>
      <c r="P247" s="57"/>
      <c r="Q247" s="57"/>
      <c r="R247" s="57"/>
      <c r="S247" s="57"/>
      <c r="T247" s="57"/>
      <c r="U247" s="57"/>
      <c r="V247" s="57"/>
      <c r="W247" s="57"/>
      <c r="X247" s="57"/>
      <c r="Y247" s="57"/>
      <c r="Z247" s="3"/>
      <c r="AA247" s="57"/>
      <c r="AB247" s="3" t="s">
        <v>2766</v>
      </c>
      <c r="AC247" s="57" t="s">
        <v>2163</v>
      </c>
      <c r="AD247" s="3" t="s">
        <v>2767</v>
      </c>
      <c r="AE247" s="674"/>
      <c r="AF247" s="57"/>
      <c r="AG247" s="57"/>
      <c r="AH247" s="57"/>
      <c r="AI247" s="57"/>
      <c r="AJ247" s="57"/>
      <c r="AK247" s="57"/>
      <c r="AL247" s="57"/>
      <c r="AM247" s="57"/>
      <c r="AN247" s="57"/>
      <c r="AO247" s="57"/>
      <c r="AP247" s="57"/>
      <c r="AQ247" s="57"/>
      <c r="AR247" s="57"/>
      <c r="AS247" s="57"/>
      <c r="AT247" s="57"/>
      <c r="AU247" s="57"/>
      <c r="AV247" s="57"/>
      <c r="AW247" s="57"/>
      <c r="AX247" s="57"/>
    </row>
    <row r="248" spans="1:50" ht="15.75" customHeight="1">
      <c r="A248" s="770"/>
      <c r="B248" s="57"/>
      <c r="C248" s="57"/>
      <c r="D248" s="57"/>
      <c r="E248" s="3"/>
      <c r="F248" s="57"/>
      <c r="G248" s="57"/>
      <c r="H248" s="57"/>
      <c r="I248" s="57"/>
      <c r="J248" s="57"/>
      <c r="K248" s="57"/>
      <c r="L248" s="57"/>
      <c r="M248" s="57"/>
      <c r="N248" s="57"/>
      <c r="O248" s="57"/>
      <c r="P248" s="57"/>
      <c r="Q248" s="57"/>
      <c r="R248" s="57"/>
      <c r="S248" s="57"/>
      <c r="T248" s="57"/>
      <c r="U248" s="57"/>
      <c r="V248" s="57"/>
      <c r="W248" s="57"/>
      <c r="X248" s="57"/>
      <c r="Y248" s="57"/>
      <c r="Z248" s="3"/>
      <c r="AA248" s="57"/>
      <c r="AB248" s="3" t="s">
        <v>2768</v>
      </c>
      <c r="AC248" s="57" t="s">
        <v>2180</v>
      </c>
      <c r="AD248" s="3" t="s">
        <v>2769</v>
      </c>
      <c r="AE248" s="674"/>
      <c r="AF248" s="57"/>
      <c r="AG248" s="57"/>
      <c r="AH248" s="57"/>
      <c r="AI248" s="57"/>
      <c r="AJ248" s="57"/>
      <c r="AK248" s="57"/>
      <c r="AL248" s="57"/>
      <c r="AM248" s="57"/>
      <c r="AN248" s="57"/>
      <c r="AO248" s="57"/>
      <c r="AP248" s="57"/>
      <c r="AQ248" s="57"/>
      <c r="AR248" s="57"/>
      <c r="AS248" s="57"/>
      <c r="AT248" s="57"/>
      <c r="AU248" s="57"/>
      <c r="AV248" s="57"/>
      <c r="AW248" s="57"/>
      <c r="AX248" s="57"/>
    </row>
    <row r="249" spans="1:50" ht="15.75" customHeight="1">
      <c r="A249" s="770"/>
      <c r="B249" s="57"/>
      <c r="C249" s="57"/>
      <c r="D249" s="57"/>
      <c r="E249" s="3"/>
      <c r="F249" s="57"/>
      <c r="G249" s="57"/>
      <c r="H249" s="57"/>
      <c r="I249" s="57"/>
      <c r="J249" s="57"/>
      <c r="K249" s="57"/>
      <c r="L249" s="57"/>
      <c r="M249" s="57"/>
      <c r="N249" s="57"/>
      <c r="O249" s="57"/>
      <c r="P249" s="57"/>
      <c r="Q249" s="57"/>
      <c r="R249" s="57"/>
      <c r="S249" s="57"/>
      <c r="T249" s="57"/>
      <c r="U249" s="57"/>
      <c r="V249" s="57"/>
      <c r="W249" s="57"/>
      <c r="X249" s="57"/>
      <c r="Y249" s="57"/>
      <c r="Z249" s="3"/>
      <c r="AA249" s="57"/>
      <c r="AB249" s="3" t="s">
        <v>2770</v>
      </c>
      <c r="AC249" s="57" t="s">
        <v>2163</v>
      </c>
      <c r="AD249" s="3" t="s">
        <v>2771</v>
      </c>
      <c r="AE249" s="674"/>
      <c r="AF249" s="57"/>
      <c r="AG249" s="57"/>
      <c r="AH249" s="57"/>
      <c r="AI249" s="57"/>
      <c r="AJ249" s="57"/>
      <c r="AK249" s="57"/>
      <c r="AL249" s="57"/>
      <c r="AM249" s="57"/>
      <c r="AN249" s="57"/>
      <c r="AO249" s="57"/>
      <c r="AP249" s="57"/>
      <c r="AQ249" s="57"/>
      <c r="AR249" s="57"/>
      <c r="AS249" s="57"/>
      <c r="AT249" s="57"/>
      <c r="AU249" s="57"/>
      <c r="AV249" s="57"/>
      <c r="AW249" s="57"/>
      <c r="AX249" s="57"/>
    </row>
    <row r="250" spans="1:50" ht="15.75" customHeight="1">
      <c r="A250" s="770"/>
      <c r="B250" s="57"/>
      <c r="C250" s="57"/>
      <c r="D250" s="57"/>
      <c r="E250" s="3"/>
      <c r="F250" s="57"/>
      <c r="G250" s="57"/>
      <c r="H250" s="57"/>
      <c r="I250" s="57"/>
      <c r="J250" s="57"/>
      <c r="K250" s="57"/>
      <c r="L250" s="57"/>
      <c r="M250" s="57"/>
      <c r="N250" s="57"/>
      <c r="O250" s="57"/>
      <c r="P250" s="57"/>
      <c r="Q250" s="57"/>
      <c r="R250" s="57"/>
      <c r="S250" s="57"/>
      <c r="T250" s="57"/>
      <c r="U250" s="57"/>
      <c r="V250" s="57"/>
      <c r="W250" s="57"/>
      <c r="X250" s="57"/>
      <c r="Y250" s="57"/>
      <c r="Z250" s="3"/>
      <c r="AA250" s="57"/>
      <c r="AB250" s="3" t="s">
        <v>2772</v>
      </c>
      <c r="AC250" s="57" t="s">
        <v>2163</v>
      </c>
      <c r="AD250" s="3" t="s">
        <v>2773</v>
      </c>
      <c r="AE250" s="674"/>
      <c r="AF250" s="57"/>
      <c r="AG250" s="57"/>
      <c r="AH250" s="57"/>
      <c r="AI250" s="57"/>
      <c r="AJ250" s="57"/>
      <c r="AK250" s="57"/>
      <c r="AL250" s="57"/>
      <c r="AM250" s="57"/>
      <c r="AN250" s="57"/>
      <c r="AO250" s="57"/>
      <c r="AP250" s="57"/>
      <c r="AQ250" s="57"/>
      <c r="AR250" s="57"/>
      <c r="AS250" s="57"/>
      <c r="AT250" s="57"/>
      <c r="AU250" s="57"/>
      <c r="AV250" s="57"/>
      <c r="AW250" s="57"/>
      <c r="AX250" s="57"/>
    </row>
    <row r="251" spans="1:50" ht="15.75" customHeight="1">
      <c r="A251" s="770"/>
      <c r="B251" s="57"/>
      <c r="C251" s="57"/>
      <c r="D251" s="57"/>
      <c r="E251" s="3"/>
      <c r="F251" s="57"/>
      <c r="G251" s="57"/>
      <c r="H251" s="57"/>
      <c r="I251" s="57"/>
      <c r="J251" s="57"/>
      <c r="K251" s="57"/>
      <c r="L251" s="57"/>
      <c r="M251" s="57"/>
      <c r="N251" s="57"/>
      <c r="O251" s="57"/>
      <c r="P251" s="57"/>
      <c r="Q251" s="57"/>
      <c r="R251" s="57"/>
      <c r="S251" s="57"/>
      <c r="T251" s="57"/>
      <c r="U251" s="57"/>
      <c r="V251" s="57"/>
      <c r="W251" s="57"/>
      <c r="X251" s="57"/>
      <c r="Y251" s="57"/>
      <c r="Z251" s="3"/>
      <c r="AA251" s="57"/>
      <c r="AB251" s="3" t="s">
        <v>2774</v>
      </c>
      <c r="AC251" s="57" t="s">
        <v>2180</v>
      </c>
      <c r="AD251" s="3" t="s">
        <v>2775</v>
      </c>
      <c r="AE251" s="674"/>
      <c r="AF251" s="57"/>
      <c r="AG251" s="57"/>
      <c r="AH251" s="57"/>
      <c r="AI251" s="57"/>
      <c r="AJ251" s="57"/>
      <c r="AK251" s="57"/>
      <c r="AL251" s="57"/>
      <c r="AM251" s="57"/>
      <c r="AN251" s="57"/>
      <c r="AO251" s="57"/>
      <c r="AP251" s="57"/>
      <c r="AQ251" s="57"/>
      <c r="AR251" s="57"/>
      <c r="AS251" s="57"/>
      <c r="AT251" s="57"/>
      <c r="AU251" s="57"/>
      <c r="AV251" s="57"/>
      <c r="AW251" s="57"/>
      <c r="AX251" s="57"/>
    </row>
    <row r="252" spans="1:50" ht="15.75" customHeight="1">
      <c r="A252" s="770"/>
      <c r="B252" s="57"/>
      <c r="C252" s="57"/>
      <c r="D252" s="57"/>
      <c r="E252" s="3"/>
      <c r="F252" s="57"/>
      <c r="G252" s="57"/>
      <c r="H252" s="57"/>
      <c r="I252" s="57"/>
      <c r="J252" s="57"/>
      <c r="K252" s="57"/>
      <c r="L252" s="57"/>
      <c r="M252" s="57"/>
      <c r="N252" s="57"/>
      <c r="O252" s="57"/>
      <c r="P252" s="57"/>
      <c r="Q252" s="57"/>
      <c r="R252" s="57"/>
      <c r="S252" s="57"/>
      <c r="T252" s="57"/>
      <c r="U252" s="57"/>
      <c r="V252" s="57"/>
      <c r="W252" s="57"/>
      <c r="X252" s="57"/>
      <c r="Y252" s="57"/>
      <c r="Z252" s="3"/>
      <c r="AA252" s="57"/>
      <c r="AB252" s="3" t="s">
        <v>2776</v>
      </c>
      <c r="AC252" s="57" t="s">
        <v>2163</v>
      </c>
      <c r="AD252" s="3" t="s">
        <v>2777</v>
      </c>
      <c r="AE252" s="674"/>
      <c r="AF252" s="57"/>
      <c r="AG252" s="57"/>
      <c r="AH252" s="57"/>
      <c r="AI252" s="57"/>
      <c r="AJ252" s="57"/>
      <c r="AK252" s="57"/>
      <c r="AL252" s="57"/>
      <c r="AM252" s="57"/>
      <c r="AN252" s="57"/>
      <c r="AO252" s="57"/>
      <c r="AP252" s="57"/>
      <c r="AQ252" s="57"/>
      <c r="AR252" s="57"/>
      <c r="AS252" s="57"/>
      <c r="AT252" s="57"/>
      <c r="AU252" s="57"/>
      <c r="AV252" s="57"/>
      <c r="AW252" s="57"/>
      <c r="AX252" s="57"/>
    </row>
    <row r="253" spans="1:50" ht="15.75" customHeight="1">
      <c r="A253" s="770"/>
      <c r="B253" s="57"/>
      <c r="C253" s="57"/>
      <c r="D253" s="57"/>
      <c r="E253" s="3"/>
      <c r="F253" s="57"/>
      <c r="G253" s="57"/>
      <c r="H253" s="57"/>
      <c r="I253" s="57"/>
      <c r="J253" s="57"/>
      <c r="K253" s="57"/>
      <c r="L253" s="57"/>
      <c r="M253" s="57"/>
      <c r="N253" s="57"/>
      <c r="O253" s="57"/>
      <c r="P253" s="57"/>
      <c r="Q253" s="57"/>
      <c r="R253" s="57"/>
      <c r="S253" s="57"/>
      <c r="T253" s="57"/>
      <c r="U253" s="57"/>
      <c r="V253" s="57"/>
      <c r="W253" s="57"/>
      <c r="X253" s="57"/>
      <c r="Y253" s="57"/>
      <c r="Z253" s="3"/>
      <c r="AA253" s="57"/>
      <c r="AB253" s="3" t="s">
        <v>2778</v>
      </c>
      <c r="AC253" s="57" t="s">
        <v>2163</v>
      </c>
      <c r="AD253" s="3" t="s">
        <v>2779</v>
      </c>
      <c r="AE253" s="674"/>
      <c r="AF253" s="57"/>
      <c r="AG253" s="57"/>
      <c r="AH253" s="57"/>
      <c r="AI253" s="57"/>
      <c r="AJ253" s="57"/>
      <c r="AK253" s="57"/>
      <c r="AL253" s="57"/>
      <c r="AM253" s="57"/>
      <c r="AN253" s="57"/>
      <c r="AO253" s="57"/>
      <c r="AP253" s="57"/>
      <c r="AQ253" s="57"/>
      <c r="AR253" s="57"/>
      <c r="AS253" s="57"/>
      <c r="AT253" s="57"/>
      <c r="AU253" s="57"/>
      <c r="AV253" s="57"/>
      <c r="AW253" s="57"/>
      <c r="AX253" s="57"/>
    </row>
    <row r="254" spans="1:50" ht="15.75" customHeight="1">
      <c r="A254" s="770"/>
      <c r="B254" s="57"/>
      <c r="C254" s="57"/>
      <c r="D254" s="57"/>
      <c r="E254" s="3"/>
      <c r="F254" s="57"/>
      <c r="G254" s="57"/>
      <c r="H254" s="57"/>
      <c r="I254" s="57"/>
      <c r="J254" s="57"/>
      <c r="K254" s="57"/>
      <c r="L254" s="57"/>
      <c r="M254" s="57"/>
      <c r="N254" s="57"/>
      <c r="O254" s="57"/>
      <c r="P254" s="57"/>
      <c r="Q254" s="57"/>
      <c r="R254" s="57"/>
      <c r="S254" s="57"/>
      <c r="T254" s="57"/>
      <c r="U254" s="57"/>
      <c r="V254" s="57"/>
      <c r="W254" s="57"/>
      <c r="X254" s="57"/>
      <c r="Y254" s="57"/>
      <c r="Z254" s="3"/>
      <c r="AA254" s="57"/>
      <c r="AB254" s="3" t="s">
        <v>2780</v>
      </c>
      <c r="AC254" s="57" t="s">
        <v>2163</v>
      </c>
      <c r="AD254" s="3" t="s">
        <v>2781</v>
      </c>
      <c r="AE254" s="674"/>
      <c r="AF254" s="57"/>
      <c r="AG254" s="57"/>
      <c r="AH254" s="57"/>
      <c r="AI254" s="57"/>
      <c r="AJ254" s="57"/>
      <c r="AK254" s="57"/>
      <c r="AL254" s="57"/>
      <c r="AM254" s="57"/>
      <c r="AN254" s="57"/>
      <c r="AO254" s="57"/>
      <c r="AP254" s="57"/>
      <c r="AQ254" s="57"/>
      <c r="AR254" s="57"/>
      <c r="AS254" s="57"/>
      <c r="AT254" s="57"/>
      <c r="AU254" s="57"/>
      <c r="AV254" s="57"/>
      <c r="AW254" s="57"/>
      <c r="AX254" s="57"/>
    </row>
    <row r="255" spans="1:50" ht="15.75" customHeight="1">
      <c r="A255" s="770"/>
      <c r="B255" s="57"/>
      <c r="C255" s="57"/>
      <c r="D255" s="57"/>
      <c r="E255" s="3"/>
      <c r="F255" s="57"/>
      <c r="G255" s="57"/>
      <c r="H255" s="57"/>
      <c r="I255" s="57"/>
      <c r="J255" s="57"/>
      <c r="K255" s="57"/>
      <c r="L255" s="57"/>
      <c r="M255" s="57"/>
      <c r="N255" s="57"/>
      <c r="O255" s="57"/>
      <c r="P255" s="57"/>
      <c r="Q255" s="57"/>
      <c r="R255" s="57"/>
      <c r="S255" s="57"/>
      <c r="T255" s="57"/>
      <c r="U255" s="57"/>
      <c r="V255" s="57"/>
      <c r="W255" s="57"/>
      <c r="X255" s="57"/>
      <c r="Y255" s="57"/>
      <c r="Z255" s="3"/>
      <c r="AA255" s="57"/>
      <c r="AB255" s="3" t="s">
        <v>2782</v>
      </c>
      <c r="AC255" s="57" t="s">
        <v>2163</v>
      </c>
      <c r="AD255" s="3" t="s">
        <v>2783</v>
      </c>
      <c r="AE255" s="674"/>
      <c r="AF255" s="57"/>
      <c r="AG255" s="57"/>
      <c r="AH255" s="57"/>
      <c r="AI255" s="57"/>
      <c r="AJ255" s="57"/>
      <c r="AK255" s="57"/>
      <c r="AL255" s="57"/>
      <c r="AM255" s="57"/>
      <c r="AN255" s="57"/>
      <c r="AO255" s="57"/>
      <c r="AP255" s="57"/>
      <c r="AQ255" s="57"/>
      <c r="AR255" s="57"/>
      <c r="AS255" s="57"/>
      <c r="AT255" s="57"/>
      <c r="AU255" s="57"/>
      <c r="AV255" s="57"/>
      <c r="AW255" s="57"/>
      <c r="AX255" s="57"/>
    </row>
    <row r="256" spans="1:50" ht="15.75" customHeight="1">
      <c r="A256" s="770"/>
      <c r="B256" s="57"/>
      <c r="C256" s="57"/>
      <c r="D256" s="57"/>
      <c r="E256" s="3"/>
      <c r="F256" s="57"/>
      <c r="G256" s="57"/>
      <c r="H256" s="57"/>
      <c r="I256" s="57"/>
      <c r="J256" s="57"/>
      <c r="K256" s="57"/>
      <c r="L256" s="57"/>
      <c r="M256" s="57"/>
      <c r="N256" s="57"/>
      <c r="O256" s="57"/>
      <c r="P256" s="57"/>
      <c r="Q256" s="57"/>
      <c r="R256" s="57"/>
      <c r="S256" s="57"/>
      <c r="T256" s="57"/>
      <c r="U256" s="57"/>
      <c r="V256" s="57"/>
      <c r="W256" s="57"/>
      <c r="X256" s="57"/>
      <c r="Y256" s="57"/>
      <c r="Z256" s="3"/>
      <c r="AA256" s="57"/>
      <c r="AB256" s="3" t="s">
        <v>2784</v>
      </c>
      <c r="AC256" s="57" t="s">
        <v>2180</v>
      </c>
      <c r="AD256" s="3" t="s">
        <v>2785</v>
      </c>
      <c r="AE256" s="674"/>
      <c r="AF256" s="57"/>
      <c r="AG256" s="57"/>
      <c r="AH256" s="57"/>
      <c r="AI256" s="57"/>
      <c r="AJ256" s="57"/>
      <c r="AK256" s="57"/>
      <c r="AL256" s="57"/>
      <c r="AM256" s="57"/>
      <c r="AN256" s="57"/>
      <c r="AO256" s="57"/>
      <c r="AP256" s="57"/>
      <c r="AQ256" s="57"/>
      <c r="AR256" s="57"/>
      <c r="AS256" s="57"/>
      <c r="AT256" s="57"/>
      <c r="AU256" s="57"/>
      <c r="AV256" s="57"/>
      <c r="AW256" s="57"/>
      <c r="AX256" s="57"/>
    </row>
    <row r="257" spans="1:50" ht="15.75" customHeight="1">
      <c r="A257" s="770"/>
      <c r="B257" s="57"/>
      <c r="C257" s="57"/>
      <c r="D257" s="57"/>
      <c r="E257" s="3"/>
      <c r="F257" s="57"/>
      <c r="G257" s="57"/>
      <c r="H257" s="57"/>
      <c r="I257" s="57"/>
      <c r="J257" s="57"/>
      <c r="K257" s="57"/>
      <c r="L257" s="57"/>
      <c r="M257" s="57"/>
      <c r="N257" s="57"/>
      <c r="O257" s="57"/>
      <c r="P257" s="57"/>
      <c r="Q257" s="57"/>
      <c r="R257" s="57"/>
      <c r="S257" s="57"/>
      <c r="T257" s="57"/>
      <c r="U257" s="57"/>
      <c r="V257" s="57"/>
      <c r="W257" s="57"/>
      <c r="X257" s="57"/>
      <c r="Y257" s="57"/>
      <c r="Z257" s="3"/>
      <c r="AA257" s="57"/>
      <c r="AB257" s="3" t="s">
        <v>2786</v>
      </c>
      <c r="AC257" s="57" t="s">
        <v>2180</v>
      </c>
      <c r="AD257" s="3" t="s">
        <v>2787</v>
      </c>
      <c r="AE257" s="674"/>
      <c r="AF257" s="57"/>
      <c r="AG257" s="57"/>
      <c r="AH257" s="57"/>
      <c r="AI257" s="57"/>
      <c r="AJ257" s="57"/>
      <c r="AK257" s="57"/>
      <c r="AL257" s="57"/>
      <c r="AM257" s="57"/>
      <c r="AN257" s="57"/>
      <c r="AO257" s="57"/>
      <c r="AP257" s="57"/>
      <c r="AQ257" s="57"/>
      <c r="AR257" s="57"/>
      <c r="AS257" s="57"/>
      <c r="AT257" s="57"/>
      <c r="AU257" s="57"/>
      <c r="AV257" s="57"/>
      <c r="AW257" s="57"/>
      <c r="AX257" s="57"/>
    </row>
    <row r="258" spans="1:50" ht="15.75" customHeight="1">
      <c r="A258" s="770"/>
      <c r="B258" s="57"/>
      <c r="C258" s="57"/>
      <c r="D258" s="57"/>
      <c r="E258" s="3"/>
      <c r="F258" s="57"/>
      <c r="G258" s="57"/>
      <c r="H258" s="57"/>
      <c r="I258" s="57"/>
      <c r="J258" s="57"/>
      <c r="K258" s="57"/>
      <c r="L258" s="57"/>
      <c r="M258" s="57"/>
      <c r="N258" s="57"/>
      <c r="O258" s="57"/>
      <c r="P258" s="57"/>
      <c r="Q258" s="57"/>
      <c r="R258" s="57"/>
      <c r="S258" s="57"/>
      <c r="T258" s="57"/>
      <c r="U258" s="57"/>
      <c r="V258" s="57"/>
      <c r="W258" s="57"/>
      <c r="X258" s="57"/>
      <c r="Y258" s="57"/>
      <c r="Z258" s="3"/>
      <c r="AA258" s="57"/>
      <c r="AB258" s="3" t="s">
        <v>2788</v>
      </c>
      <c r="AC258" s="57" t="s">
        <v>2180</v>
      </c>
      <c r="AD258" s="3" t="s">
        <v>2789</v>
      </c>
      <c r="AE258" s="674"/>
      <c r="AF258" s="57"/>
      <c r="AG258" s="57"/>
      <c r="AH258" s="57"/>
      <c r="AI258" s="57"/>
      <c r="AJ258" s="57"/>
      <c r="AK258" s="57"/>
      <c r="AL258" s="57"/>
      <c r="AM258" s="57"/>
      <c r="AN258" s="57"/>
      <c r="AO258" s="57"/>
      <c r="AP258" s="57"/>
      <c r="AQ258" s="57"/>
      <c r="AR258" s="57"/>
      <c r="AS258" s="57"/>
      <c r="AT258" s="57"/>
      <c r="AU258" s="57"/>
      <c r="AV258" s="57"/>
      <c r="AW258" s="57"/>
      <c r="AX258" s="57"/>
    </row>
    <row r="259" spans="1:50" ht="15.75" customHeight="1">
      <c r="A259" s="770"/>
      <c r="B259" s="57"/>
      <c r="C259" s="57"/>
      <c r="D259" s="57"/>
      <c r="E259" s="3"/>
      <c r="F259" s="57"/>
      <c r="G259" s="57"/>
      <c r="H259" s="57"/>
      <c r="I259" s="57"/>
      <c r="J259" s="57"/>
      <c r="K259" s="57"/>
      <c r="L259" s="57"/>
      <c r="M259" s="57"/>
      <c r="N259" s="57"/>
      <c r="O259" s="57"/>
      <c r="P259" s="57"/>
      <c r="Q259" s="57"/>
      <c r="R259" s="57"/>
      <c r="S259" s="57"/>
      <c r="T259" s="57"/>
      <c r="U259" s="57"/>
      <c r="V259" s="57"/>
      <c r="W259" s="57"/>
      <c r="X259" s="57"/>
      <c r="Y259" s="57"/>
      <c r="Z259" s="3"/>
      <c r="AA259" s="57"/>
      <c r="AB259" s="3" t="s">
        <v>2790</v>
      </c>
      <c r="AC259" s="57" t="s">
        <v>2180</v>
      </c>
      <c r="AD259" s="3" t="s">
        <v>2791</v>
      </c>
      <c r="AE259" s="674"/>
      <c r="AF259" s="57"/>
      <c r="AG259" s="57"/>
      <c r="AH259" s="57"/>
      <c r="AI259" s="57"/>
      <c r="AJ259" s="57"/>
      <c r="AK259" s="57"/>
      <c r="AL259" s="57"/>
      <c r="AM259" s="57"/>
      <c r="AN259" s="57"/>
      <c r="AO259" s="57"/>
      <c r="AP259" s="57"/>
      <c r="AQ259" s="57"/>
      <c r="AR259" s="57"/>
      <c r="AS259" s="57"/>
      <c r="AT259" s="57"/>
      <c r="AU259" s="57"/>
      <c r="AV259" s="57"/>
      <c r="AW259" s="57"/>
      <c r="AX259" s="57"/>
    </row>
    <row r="260" spans="1:50" ht="15.75" customHeight="1">
      <c r="A260" s="770"/>
      <c r="B260" s="57"/>
      <c r="C260" s="57"/>
      <c r="D260" s="57"/>
      <c r="E260" s="3"/>
      <c r="F260" s="57"/>
      <c r="G260" s="57"/>
      <c r="H260" s="57"/>
      <c r="I260" s="57"/>
      <c r="J260" s="57"/>
      <c r="K260" s="57"/>
      <c r="L260" s="57"/>
      <c r="M260" s="57"/>
      <c r="N260" s="57"/>
      <c r="O260" s="57"/>
      <c r="P260" s="57"/>
      <c r="Q260" s="57"/>
      <c r="R260" s="57"/>
      <c r="S260" s="57"/>
      <c r="T260" s="57"/>
      <c r="U260" s="57"/>
      <c r="V260" s="57"/>
      <c r="W260" s="57"/>
      <c r="X260" s="57"/>
      <c r="Y260" s="57"/>
      <c r="Z260" s="3"/>
      <c r="AA260" s="57"/>
      <c r="AB260" s="3" t="s">
        <v>2792</v>
      </c>
      <c r="AC260" s="57" t="s">
        <v>2163</v>
      </c>
      <c r="AD260" s="3" t="s">
        <v>2571</v>
      </c>
      <c r="AE260" s="674"/>
      <c r="AF260" s="57"/>
      <c r="AG260" s="57"/>
      <c r="AH260" s="57"/>
      <c r="AI260" s="57"/>
      <c r="AJ260" s="57"/>
      <c r="AK260" s="57"/>
      <c r="AL260" s="57"/>
      <c r="AM260" s="57"/>
      <c r="AN260" s="57"/>
      <c r="AO260" s="57"/>
      <c r="AP260" s="57"/>
      <c r="AQ260" s="57"/>
      <c r="AR260" s="57"/>
      <c r="AS260" s="57"/>
      <c r="AT260" s="57"/>
      <c r="AU260" s="57"/>
      <c r="AV260" s="57"/>
      <c r="AW260" s="57"/>
      <c r="AX260" s="57"/>
    </row>
    <row r="261" spans="1:50" ht="15.75" customHeight="1">
      <c r="A261" s="770"/>
      <c r="B261" s="57"/>
      <c r="C261" s="57"/>
      <c r="D261" s="57"/>
      <c r="E261" s="3"/>
      <c r="F261" s="57"/>
      <c r="G261" s="57"/>
      <c r="H261" s="57"/>
      <c r="I261" s="57"/>
      <c r="J261" s="57"/>
      <c r="K261" s="57"/>
      <c r="L261" s="57"/>
      <c r="M261" s="57"/>
      <c r="N261" s="57"/>
      <c r="O261" s="57"/>
      <c r="P261" s="57"/>
      <c r="Q261" s="57"/>
      <c r="R261" s="57"/>
      <c r="S261" s="57"/>
      <c r="T261" s="57"/>
      <c r="U261" s="57"/>
      <c r="V261" s="57"/>
      <c r="W261" s="57"/>
      <c r="X261" s="57"/>
      <c r="Y261" s="57"/>
      <c r="Z261" s="3"/>
      <c r="AA261" s="57"/>
      <c r="AB261" s="3" t="s">
        <v>2793</v>
      </c>
      <c r="AC261" s="57" t="s">
        <v>2163</v>
      </c>
      <c r="AD261" s="3" t="s">
        <v>2794</v>
      </c>
      <c r="AE261" s="674"/>
      <c r="AF261" s="57"/>
      <c r="AG261" s="57"/>
      <c r="AH261" s="57"/>
      <c r="AI261" s="57"/>
      <c r="AJ261" s="57"/>
      <c r="AK261" s="57"/>
      <c r="AL261" s="57"/>
      <c r="AM261" s="57"/>
      <c r="AN261" s="57"/>
      <c r="AO261" s="57"/>
      <c r="AP261" s="57"/>
      <c r="AQ261" s="57"/>
      <c r="AR261" s="57"/>
      <c r="AS261" s="57"/>
      <c r="AT261" s="57"/>
      <c r="AU261" s="57"/>
      <c r="AV261" s="57"/>
      <c r="AW261" s="57"/>
      <c r="AX261" s="57"/>
    </row>
    <row r="262" spans="1:50" ht="15.75" customHeight="1">
      <c r="A262" s="770"/>
      <c r="B262" s="57"/>
      <c r="C262" s="57"/>
      <c r="D262" s="57"/>
      <c r="E262" s="3"/>
      <c r="F262" s="57"/>
      <c r="G262" s="57"/>
      <c r="H262" s="57"/>
      <c r="I262" s="57"/>
      <c r="J262" s="57"/>
      <c r="K262" s="57"/>
      <c r="L262" s="57"/>
      <c r="M262" s="57"/>
      <c r="N262" s="57"/>
      <c r="O262" s="57"/>
      <c r="P262" s="57"/>
      <c r="Q262" s="57"/>
      <c r="R262" s="57"/>
      <c r="S262" s="57"/>
      <c r="T262" s="57"/>
      <c r="U262" s="57"/>
      <c r="V262" s="57"/>
      <c r="W262" s="57"/>
      <c r="X262" s="57"/>
      <c r="Y262" s="57"/>
      <c r="Z262" s="3"/>
      <c r="AA262" s="57"/>
      <c r="AB262" s="3" t="s">
        <v>2795</v>
      </c>
      <c r="AC262" s="57" t="s">
        <v>2163</v>
      </c>
      <c r="AD262" s="3" t="s">
        <v>2796</v>
      </c>
      <c r="AE262" s="674"/>
      <c r="AF262" s="57"/>
      <c r="AG262" s="57"/>
      <c r="AH262" s="57"/>
      <c r="AI262" s="57"/>
      <c r="AJ262" s="57"/>
      <c r="AK262" s="57"/>
      <c r="AL262" s="57"/>
      <c r="AM262" s="57"/>
      <c r="AN262" s="57"/>
      <c r="AO262" s="57"/>
      <c r="AP262" s="57"/>
      <c r="AQ262" s="57"/>
      <c r="AR262" s="57"/>
      <c r="AS262" s="57"/>
      <c r="AT262" s="57"/>
      <c r="AU262" s="57"/>
      <c r="AV262" s="57"/>
      <c r="AW262" s="57"/>
      <c r="AX262" s="57"/>
    </row>
    <row r="263" spans="1:50" ht="15.75" customHeight="1">
      <c r="A263" s="770"/>
      <c r="B263" s="57"/>
      <c r="C263" s="57"/>
      <c r="D263" s="57"/>
      <c r="E263" s="3"/>
      <c r="F263" s="57"/>
      <c r="G263" s="57"/>
      <c r="H263" s="57"/>
      <c r="I263" s="57"/>
      <c r="J263" s="57"/>
      <c r="K263" s="57"/>
      <c r="L263" s="57"/>
      <c r="M263" s="57"/>
      <c r="N263" s="57"/>
      <c r="O263" s="57"/>
      <c r="P263" s="57"/>
      <c r="Q263" s="57"/>
      <c r="R263" s="57"/>
      <c r="S263" s="57"/>
      <c r="T263" s="57"/>
      <c r="U263" s="57"/>
      <c r="V263" s="57"/>
      <c r="W263" s="57"/>
      <c r="X263" s="57"/>
      <c r="Y263" s="57"/>
      <c r="Z263" s="3"/>
      <c r="AA263" s="57"/>
      <c r="AB263" s="3" t="s">
        <v>2797</v>
      </c>
      <c r="AC263" s="57" t="s">
        <v>2163</v>
      </c>
      <c r="AD263" s="3" t="s">
        <v>2798</v>
      </c>
      <c r="AE263" s="674"/>
      <c r="AF263" s="57"/>
      <c r="AG263" s="57"/>
      <c r="AH263" s="57"/>
      <c r="AI263" s="57"/>
      <c r="AJ263" s="57"/>
      <c r="AK263" s="57"/>
      <c r="AL263" s="57"/>
      <c r="AM263" s="57"/>
      <c r="AN263" s="57"/>
      <c r="AO263" s="57"/>
      <c r="AP263" s="57"/>
      <c r="AQ263" s="57"/>
      <c r="AR263" s="57"/>
      <c r="AS263" s="57"/>
      <c r="AT263" s="57"/>
      <c r="AU263" s="57"/>
      <c r="AV263" s="57"/>
      <c r="AW263" s="57"/>
      <c r="AX263" s="57"/>
    </row>
    <row r="264" spans="1:50" ht="15.75" customHeight="1">
      <c r="A264" s="770"/>
      <c r="B264" s="57"/>
      <c r="C264" s="57"/>
      <c r="D264" s="57"/>
      <c r="E264" s="3"/>
      <c r="F264" s="57"/>
      <c r="G264" s="57"/>
      <c r="H264" s="57"/>
      <c r="I264" s="57"/>
      <c r="J264" s="57"/>
      <c r="K264" s="57"/>
      <c r="L264" s="57"/>
      <c r="M264" s="57"/>
      <c r="N264" s="57"/>
      <c r="O264" s="57"/>
      <c r="P264" s="57"/>
      <c r="Q264" s="57"/>
      <c r="R264" s="57"/>
      <c r="S264" s="57"/>
      <c r="T264" s="57"/>
      <c r="U264" s="57"/>
      <c r="V264" s="57"/>
      <c r="W264" s="57"/>
      <c r="X264" s="57"/>
      <c r="Y264" s="57"/>
      <c r="Z264" s="3"/>
      <c r="AA264" s="57"/>
      <c r="AB264" s="3" t="s">
        <v>2799</v>
      </c>
      <c r="AC264" s="57" t="s">
        <v>2163</v>
      </c>
      <c r="AD264" s="3" t="s">
        <v>2800</v>
      </c>
      <c r="AE264" s="674"/>
      <c r="AF264" s="57"/>
      <c r="AG264" s="57"/>
      <c r="AH264" s="57"/>
      <c r="AI264" s="57"/>
      <c r="AJ264" s="57"/>
      <c r="AK264" s="57"/>
      <c r="AL264" s="57"/>
      <c r="AM264" s="57"/>
      <c r="AN264" s="57"/>
      <c r="AO264" s="57"/>
      <c r="AP264" s="57"/>
      <c r="AQ264" s="57"/>
      <c r="AR264" s="57"/>
      <c r="AS264" s="57"/>
      <c r="AT264" s="57"/>
      <c r="AU264" s="57"/>
      <c r="AV264" s="57"/>
      <c r="AW264" s="57"/>
      <c r="AX264" s="57"/>
    </row>
    <row r="265" spans="1:50" ht="15.75" customHeight="1">
      <c r="A265" s="770"/>
      <c r="B265" s="57"/>
      <c r="C265" s="57"/>
      <c r="D265" s="57"/>
      <c r="E265" s="3"/>
      <c r="F265" s="57"/>
      <c r="G265" s="57"/>
      <c r="H265" s="57"/>
      <c r="I265" s="57"/>
      <c r="J265" s="57"/>
      <c r="K265" s="57"/>
      <c r="L265" s="57"/>
      <c r="M265" s="57"/>
      <c r="N265" s="57"/>
      <c r="O265" s="57"/>
      <c r="P265" s="57"/>
      <c r="Q265" s="57"/>
      <c r="R265" s="57"/>
      <c r="S265" s="57"/>
      <c r="T265" s="57"/>
      <c r="U265" s="57"/>
      <c r="V265" s="57"/>
      <c r="W265" s="57"/>
      <c r="X265" s="57"/>
      <c r="Y265" s="57"/>
      <c r="Z265" s="3"/>
      <c r="AA265" s="57"/>
      <c r="AB265" s="3" t="s">
        <v>2801</v>
      </c>
      <c r="AC265" s="57" t="s">
        <v>2163</v>
      </c>
      <c r="AD265" s="3" t="s">
        <v>2802</v>
      </c>
      <c r="AE265" s="674"/>
      <c r="AF265" s="57"/>
      <c r="AG265" s="57"/>
      <c r="AH265" s="57"/>
      <c r="AI265" s="57"/>
      <c r="AJ265" s="57"/>
      <c r="AK265" s="57"/>
      <c r="AL265" s="57"/>
      <c r="AM265" s="57"/>
      <c r="AN265" s="57"/>
      <c r="AO265" s="57"/>
      <c r="AP265" s="57"/>
      <c r="AQ265" s="57"/>
      <c r="AR265" s="57"/>
      <c r="AS265" s="57"/>
      <c r="AT265" s="57"/>
      <c r="AU265" s="57"/>
      <c r="AV265" s="57"/>
      <c r="AW265" s="57"/>
      <c r="AX265" s="57"/>
    </row>
    <row r="266" spans="1:50" ht="15.75" customHeight="1">
      <c r="A266" s="770"/>
      <c r="B266" s="57"/>
      <c r="C266" s="57"/>
      <c r="D266" s="57"/>
      <c r="E266" s="3"/>
      <c r="F266" s="57"/>
      <c r="G266" s="57"/>
      <c r="H266" s="57"/>
      <c r="I266" s="57"/>
      <c r="J266" s="57"/>
      <c r="K266" s="57"/>
      <c r="L266" s="57"/>
      <c r="M266" s="57"/>
      <c r="N266" s="57"/>
      <c r="O266" s="57"/>
      <c r="P266" s="57"/>
      <c r="Q266" s="57"/>
      <c r="R266" s="57"/>
      <c r="S266" s="57"/>
      <c r="T266" s="57"/>
      <c r="U266" s="57"/>
      <c r="V266" s="57"/>
      <c r="W266" s="57"/>
      <c r="X266" s="57"/>
      <c r="Y266" s="57"/>
      <c r="Z266" s="3"/>
      <c r="AA266" s="57"/>
      <c r="AB266" s="3" t="s">
        <v>2803</v>
      </c>
      <c r="AC266" s="57" t="s">
        <v>2180</v>
      </c>
      <c r="AD266" s="3" t="s">
        <v>2804</v>
      </c>
      <c r="AE266" s="674"/>
      <c r="AF266" s="57"/>
      <c r="AG266" s="57"/>
      <c r="AH266" s="57"/>
      <c r="AI266" s="57"/>
      <c r="AJ266" s="57"/>
      <c r="AK266" s="57"/>
      <c r="AL266" s="57"/>
      <c r="AM266" s="57"/>
      <c r="AN266" s="57"/>
      <c r="AO266" s="57"/>
      <c r="AP266" s="57"/>
      <c r="AQ266" s="57"/>
      <c r="AR266" s="57"/>
      <c r="AS266" s="57"/>
      <c r="AT266" s="57"/>
      <c r="AU266" s="57"/>
      <c r="AV266" s="57"/>
      <c r="AW266" s="57"/>
      <c r="AX266" s="57"/>
    </row>
    <row r="267" spans="1:50" ht="15.75" customHeight="1">
      <c r="A267" s="770"/>
      <c r="B267" s="57"/>
      <c r="C267" s="57"/>
      <c r="D267" s="57"/>
      <c r="E267" s="3"/>
      <c r="F267" s="57"/>
      <c r="G267" s="57"/>
      <c r="H267" s="57"/>
      <c r="I267" s="57"/>
      <c r="J267" s="57"/>
      <c r="K267" s="57"/>
      <c r="L267" s="57"/>
      <c r="M267" s="57"/>
      <c r="N267" s="57"/>
      <c r="O267" s="57"/>
      <c r="P267" s="57"/>
      <c r="Q267" s="57"/>
      <c r="R267" s="57"/>
      <c r="S267" s="57"/>
      <c r="T267" s="57"/>
      <c r="U267" s="57"/>
      <c r="V267" s="57"/>
      <c r="W267" s="57"/>
      <c r="X267" s="57"/>
      <c r="Y267" s="57"/>
      <c r="Z267" s="3"/>
      <c r="AA267" s="57"/>
      <c r="AB267" s="3" t="s">
        <v>2583</v>
      </c>
      <c r="AC267" s="57" t="s">
        <v>2163</v>
      </c>
      <c r="AD267" s="3" t="s">
        <v>2584</v>
      </c>
      <c r="AE267" s="674"/>
      <c r="AF267" s="57"/>
      <c r="AG267" s="57"/>
      <c r="AH267" s="57"/>
      <c r="AI267" s="57"/>
      <c r="AJ267" s="57"/>
      <c r="AK267" s="57"/>
      <c r="AL267" s="57"/>
      <c r="AM267" s="57"/>
      <c r="AN267" s="57"/>
      <c r="AO267" s="57"/>
      <c r="AP267" s="57"/>
      <c r="AQ267" s="57"/>
      <c r="AR267" s="57"/>
      <c r="AS267" s="57"/>
      <c r="AT267" s="57"/>
      <c r="AU267" s="57"/>
      <c r="AV267" s="57"/>
      <c r="AW267" s="57"/>
      <c r="AX267" s="57"/>
    </row>
    <row r="268" spans="1:50" ht="15.75" customHeight="1">
      <c r="A268" s="770"/>
      <c r="B268" s="57"/>
      <c r="C268" s="57"/>
      <c r="D268" s="57"/>
      <c r="E268" s="3"/>
      <c r="F268" s="57"/>
      <c r="G268" s="57"/>
      <c r="H268" s="57"/>
      <c r="I268" s="57"/>
      <c r="J268" s="57"/>
      <c r="K268" s="57"/>
      <c r="L268" s="57"/>
      <c r="M268" s="57"/>
      <c r="N268" s="57"/>
      <c r="O268" s="57"/>
      <c r="P268" s="57"/>
      <c r="Q268" s="57"/>
      <c r="R268" s="57"/>
      <c r="S268" s="57"/>
      <c r="T268" s="57"/>
      <c r="U268" s="57"/>
      <c r="V268" s="57"/>
      <c r="W268" s="57"/>
      <c r="X268" s="57"/>
      <c r="Y268" s="57"/>
      <c r="Z268" s="3"/>
      <c r="AA268" s="57"/>
      <c r="AB268" s="3" t="s">
        <v>2805</v>
      </c>
      <c r="AC268" s="57" t="s">
        <v>2180</v>
      </c>
      <c r="AD268" s="3" t="s">
        <v>2806</v>
      </c>
      <c r="AE268" s="674"/>
      <c r="AF268" s="57"/>
      <c r="AG268" s="57"/>
      <c r="AH268" s="57"/>
      <c r="AI268" s="57"/>
      <c r="AJ268" s="57"/>
      <c r="AK268" s="57"/>
      <c r="AL268" s="57"/>
      <c r="AM268" s="57"/>
      <c r="AN268" s="57"/>
      <c r="AO268" s="57"/>
      <c r="AP268" s="57"/>
      <c r="AQ268" s="57"/>
      <c r="AR268" s="57"/>
      <c r="AS268" s="57"/>
      <c r="AT268" s="57"/>
      <c r="AU268" s="57"/>
      <c r="AV268" s="57"/>
      <c r="AW268" s="57"/>
      <c r="AX268" s="57"/>
    </row>
    <row r="269" spans="1:50" ht="15.75" customHeight="1">
      <c r="A269" s="770"/>
      <c r="B269" s="57"/>
      <c r="C269" s="57"/>
      <c r="D269" s="57"/>
      <c r="E269" s="3"/>
      <c r="F269" s="57"/>
      <c r="G269" s="57"/>
      <c r="H269" s="57"/>
      <c r="I269" s="57"/>
      <c r="J269" s="57"/>
      <c r="K269" s="57"/>
      <c r="L269" s="57"/>
      <c r="M269" s="57"/>
      <c r="N269" s="57"/>
      <c r="O269" s="57"/>
      <c r="P269" s="57"/>
      <c r="Q269" s="57"/>
      <c r="R269" s="57"/>
      <c r="S269" s="57"/>
      <c r="T269" s="57"/>
      <c r="U269" s="57"/>
      <c r="V269" s="57"/>
      <c r="W269" s="57"/>
      <c r="X269" s="57"/>
      <c r="Y269" s="57"/>
      <c r="Z269" s="3"/>
      <c r="AA269" s="57"/>
      <c r="AB269" s="3" t="s">
        <v>2240</v>
      </c>
      <c r="AC269" s="57" t="s">
        <v>2163</v>
      </c>
      <c r="AD269" s="3" t="s">
        <v>2241</v>
      </c>
      <c r="AE269" s="674"/>
      <c r="AF269" s="57"/>
      <c r="AG269" s="57"/>
      <c r="AH269" s="57"/>
      <c r="AI269" s="57"/>
      <c r="AJ269" s="57"/>
      <c r="AK269" s="57"/>
      <c r="AL269" s="57"/>
      <c r="AM269" s="57"/>
      <c r="AN269" s="57"/>
      <c r="AO269" s="57"/>
      <c r="AP269" s="57"/>
      <c r="AQ269" s="57"/>
      <c r="AR269" s="57"/>
      <c r="AS269" s="57"/>
      <c r="AT269" s="57"/>
      <c r="AU269" s="57"/>
      <c r="AV269" s="57"/>
      <c r="AW269" s="57"/>
      <c r="AX269" s="57"/>
    </row>
    <row r="270" spans="1:50" ht="15.75" customHeight="1">
      <c r="A270" s="770"/>
      <c r="B270" s="57"/>
      <c r="C270" s="57"/>
      <c r="D270" s="57"/>
      <c r="E270" s="3"/>
      <c r="F270" s="57"/>
      <c r="G270" s="57"/>
      <c r="H270" s="57"/>
      <c r="I270" s="57"/>
      <c r="J270" s="57"/>
      <c r="K270" s="57"/>
      <c r="L270" s="57"/>
      <c r="M270" s="57"/>
      <c r="N270" s="57"/>
      <c r="O270" s="57"/>
      <c r="P270" s="57"/>
      <c r="Q270" s="57"/>
      <c r="R270" s="57"/>
      <c r="S270" s="57"/>
      <c r="T270" s="57"/>
      <c r="U270" s="57"/>
      <c r="V270" s="57"/>
      <c r="W270" s="57"/>
      <c r="X270" s="57"/>
      <c r="Y270" s="57"/>
      <c r="Z270" s="3"/>
      <c r="AA270" s="57"/>
      <c r="AB270" s="3" t="s">
        <v>2807</v>
      </c>
      <c r="AC270" s="57" t="s">
        <v>2180</v>
      </c>
      <c r="AD270" s="3" t="s">
        <v>2808</v>
      </c>
      <c r="AE270" s="674"/>
      <c r="AF270" s="57"/>
      <c r="AG270" s="57"/>
      <c r="AH270" s="57"/>
      <c r="AI270" s="57"/>
      <c r="AJ270" s="57"/>
      <c r="AK270" s="57"/>
      <c r="AL270" s="57"/>
      <c r="AM270" s="57"/>
      <c r="AN270" s="57"/>
      <c r="AO270" s="57"/>
      <c r="AP270" s="57"/>
      <c r="AQ270" s="57"/>
      <c r="AR270" s="57"/>
      <c r="AS270" s="57"/>
      <c r="AT270" s="57"/>
      <c r="AU270" s="57"/>
      <c r="AV270" s="57"/>
      <c r="AW270" s="57"/>
      <c r="AX270" s="57"/>
    </row>
    <row r="271" spans="1:50" ht="15.75" customHeight="1">
      <c r="A271" s="770"/>
      <c r="B271" s="57"/>
      <c r="C271" s="57"/>
      <c r="D271" s="57"/>
      <c r="E271" s="3"/>
      <c r="F271" s="57"/>
      <c r="G271" s="57"/>
      <c r="H271" s="57"/>
      <c r="I271" s="57"/>
      <c r="J271" s="57"/>
      <c r="K271" s="57"/>
      <c r="L271" s="57"/>
      <c r="M271" s="57"/>
      <c r="N271" s="57"/>
      <c r="O271" s="57"/>
      <c r="P271" s="57"/>
      <c r="Q271" s="57"/>
      <c r="R271" s="57"/>
      <c r="S271" s="57"/>
      <c r="T271" s="57"/>
      <c r="U271" s="57"/>
      <c r="V271" s="57"/>
      <c r="W271" s="57"/>
      <c r="X271" s="57"/>
      <c r="Y271" s="57"/>
      <c r="Z271" s="3"/>
      <c r="AA271" s="57"/>
      <c r="AB271" s="3" t="s">
        <v>2809</v>
      </c>
      <c r="AC271" s="57" t="s">
        <v>2163</v>
      </c>
      <c r="AD271" s="3" t="s">
        <v>2810</v>
      </c>
      <c r="AE271" s="674"/>
      <c r="AF271" s="57"/>
      <c r="AG271" s="57"/>
      <c r="AH271" s="57"/>
      <c r="AI271" s="57"/>
      <c r="AJ271" s="57"/>
      <c r="AK271" s="57"/>
      <c r="AL271" s="57"/>
      <c r="AM271" s="57"/>
      <c r="AN271" s="57"/>
      <c r="AO271" s="57"/>
      <c r="AP271" s="57"/>
      <c r="AQ271" s="57"/>
      <c r="AR271" s="57"/>
      <c r="AS271" s="57"/>
      <c r="AT271" s="57"/>
      <c r="AU271" s="57"/>
      <c r="AV271" s="57"/>
      <c r="AW271" s="57"/>
      <c r="AX271" s="57"/>
    </row>
    <row r="272" spans="1:50" ht="15.75" customHeight="1">
      <c r="A272" s="770"/>
      <c r="B272" s="57"/>
      <c r="C272" s="57"/>
      <c r="D272" s="57"/>
      <c r="E272" s="3"/>
      <c r="F272" s="57"/>
      <c r="G272" s="57"/>
      <c r="H272" s="57"/>
      <c r="I272" s="57"/>
      <c r="J272" s="57"/>
      <c r="K272" s="57"/>
      <c r="L272" s="57"/>
      <c r="M272" s="57"/>
      <c r="N272" s="57"/>
      <c r="O272" s="57"/>
      <c r="P272" s="57"/>
      <c r="Q272" s="57"/>
      <c r="R272" s="57"/>
      <c r="S272" s="57"/>
      <c r="T272" s="57"/>
      <c r="U272" s="57"/>
      <c r="V272" s="57"/>
      <c r="W272" s="57"/>
      <c r="X272" s="57"/>
      <c r="Y272" s="57"/>
      <c r="Z272" s="3"/>
      <c r="AA272" s="57"/>
      <c r="AB272" s="3" t="s">
        <v>2811</v>
      </c>
      <c r="AC272" s="57" t="s">
        <v>2163</v>
      </c>
      <c r="AD272" s="3" t="s">
        <v>2812</v>
      </c>
      <c r="AE272" s="674"/>
      <c r="AF272" s="57"/>
      <c r="AG272" s="57"/>
      <c r="AH272" s="57"/>
      <c r="AI272" s="57"/>
      <c r="AJ272" s="57"/>
      <c r="AK272" s="57"/>
      <c r="AL272" s="57"/>
      <c r="AM272" s="57"/>
      <c r="AN272" s="57"/>
      <c r="AO272" s="57"/>
      <c r="AP272" s="57"/>
      <c r="AQ272" s="57"/>
      <c r="AR272" s="57"/>
      <c r="AS272" s="57"/>
      <c r="AT272" s="57"/>
      <c r="AU272" s="57"/>
      <c r="AV272" s="57"/>
      <c r="AW272" s="57"/>
      <c r="AX272" s="57"/>
    </row>
    <row r="273" spans="1:50" ht="15.75" customHeight="1">
      <c r="A273" s="770"/>
      <c r="B273" s="57"/>
      <c r="C273" s="57"/>
      <c r="D273" s="57"/>
      <c r="E273" s="3"/>
      <c r="F273" s="57"/>
      <c r="G273" s="57"/>
      <c r="H273" s="57"/>
      <c r="I273" s="57"/>
      <c r="J273" s="57"/>
      <c r="K273" s="57"/>
      <c r="L273" s="57"/>
      <c r="M273" s="57"/>
      <c r="N273" s="57"/>
      <c r="O273" s="57"/>
      <c r="P273" s="57"/>
      <c r="Q273" s="57"/>
      <c r="R273" s="57"/>
      <c r="S273" s="57"/>
      <c r="T273" s="57"/>
      <c r="U273" s="57"/>
      <c r="V273" s="57"/>
      <c r="W273" s="57"/>
      <c r="X273" s="57"/>
      <c r="Y273" s="57"/>
      <c r="Z273" s="3"/>
      <c r="AA273" s="57"/>
      <c r="AB273" s="3" t="s">
        <v>2746</v>
      </c>
      <c r="AC273" s="57" t="s">
        <v>2163</v>
      </c>
      <c r="AD273" s="3" t="s">
        <v>2547</v>
      </c>
      <c r="AE273" s="674"/>
      <c r="AF273" s="57"/>
      <c r="AG273" s="57"/>
      <c r="AH273" s="57"/>
      <c r="AI273" s="57"/>
      <c r="AJ273" s="57"/>
      <c r="AK273" s="57"/>
      <c r="AL273" s="57"/>
      <c r="AM273" s="57"/>
      <c r="AN273" s="57"/>
      <c r="AO273" s="57"/>
      <c r="AP273" s="57"/>
      <c r="AQ273" s="57"/>
      <c r="AR273" s="57"/>
      <c r="AS273" s="57"/>
      <c r="AT273" s="57"/>
      <c r="AU273" s="57"/>
      <c r="AV273" s="57"/>
      <c r="AW273" s="57"/>
      <c r="AX273" s="57"/>
    </row>
    <row r="274" spans="1:50" ht="15.75" customHeight="1">
      <c r="A274" s="770"/>
      <c r="B274" s="57"/>
      <c r="C274" s="57"/>
      <c r="D274" s="57"/>
      <c r="E274" s="3"/>
      <c r="F274" s="57"/>
      <c r="G274" s="57"/>
      <c r="H274" s="57"/>
      <c r="I274" s="57"/>
      <c r="J274" s="57"/>
      <c r="K274" s="57"/>
      <c r="L274" s="57"/>
      <c r="M274" s="57"/>
      <c r="N274" s="57"/>
      <c r="O274" s="57"/>
      <c r="P274" s="57"/>
      <c r="Q274" s="57"/>
      <c r="R274" s="57"/>
      <c r="S274" s="57"/>
      <c r="T274" s="57"/>
      <c r="U274" s="57"/>
      <c r="V274" s="57"/>
      <c r="W274" s="57"/>
      <c r="X274" s="57"/>
      <c r="Y274" s="57"/>
      <c r="Z274" s="3"/>
      <c r="AA274" s="57"/>
      <c r="AB274" s="3" t="s">
        <v>2813</v>
      </c>
      <c r="AC274" s="57" t="s">
        <v>2163</v>
      </c>
      <c r="AD274" s="3" t="s">
        <v>2814</v>
      </c>
      <c r="AE274" s="674"/>
      <c r="AF274" s="57"/>
      <c r="AG274" s="57"/>
      <c r="AH274" s="57"/>
      <c r="AI274" s="57"/>
      <c r="AJ274" s="57"/>
      <c r="AK274" s="57"/>
      <c r="AL274" s="57"/>
      <c r="AM274" s="57"/>
      <c r="AN274" s="57"/>
      <c r="AO274" s="57"/>
      <c r="AP274" s="57"/>
      <c r="AQ274" s="57"/>
      <c r="AR274" s="57"/>
      <c r="AS274" s="57"/>
      <c r="AT274" s="57"/>
      <c r="AU274" s="57"/>
      <c r="AV274" s="57"/>
      <c r="AW274" s="57"/>
      <c r="AX274" s="57"/>
    </row>
    <row r="275" spans="1:50" ht="15.75" customHeight="1">
      <c r="A275" s="770"/>
      <c r="B275" s="57"/>
      <c r="C275" s="57"/>
      <c r="D275" s="57"/>
      <c r="E275" s="3"/>
      <c r="F275" s="57"/>
      <c r="G275" s="57"/>
      <c r="H275" s="57"/>
      <c r="I275" s="57"/>
      <c r="J275" s="57"/>
      <c r="K275" s="57"/>
      <c r="L275" s="57"/>
      <c r="M275" s="57"/>
      <c r="N275" s="57"/>
      <c r="O275" s="57"/>
      <c r="P275" s="57"/>
      <c r="Q275" s="57"/>
      <c r="R275" s="57"/>
      <c r="S275" s="57"/>
      <c r="T275" s="57"/>
      <c r="U275" s="57"/>
      <c r="V275" s="57"/>
      <c r="W275" s="57"/>
      <c r="X275" s="57"/>
      <c r="Y275" s="57"/>
      <c r="Z275" s="3"/>
      <c r="AA275" s="57"/>
      <c r="AB275" s="3" t="s">
        <v>2570</v>
      </c>
      <c r="AC275" s="57" t="s">
        <v>2163</v>
      </c>
      <c r="AD275" s="3" t="s">
        <v>2571</v>
      </c>
      <c r="AE275" s="674"/>
      <c r="AF275" s="57"/>
      <c r="AG275" s="57"/>
      <c r="AH275" s="57"/>
      <c r="AI275" s="57"/>
      <c r="AJ275" s="57"/>
      <c r="AK275" s="57"/>
      <c r="AL275" s="57"/>
      <c r="AM275" s="57"/>
      <c r="AN275" s="57"/>
      <c r="AO275" s="57"/>
      <c r="AP275" s="57"/>
      <c r="AQ275" s="57"/>
      <c r="AR275" s="57"/>
      <c r="AS275" s="57"/>
      <c r="AT275" s="57"/>
      <c r="AU275" s="57"/>
      <c r="AV275" s="57"/>
      <c r="AW275" s="57"/>
      <c r="AX275" s="57"/>
    </row>
    <row r="276" spans="1:50" ht="15.75" customHeight="1">
      <c r="A276" s="770"/>
      <c r="B276" s="57"/>
      <c r="C276" s="57"/>
      <c r="D276" s="57"/>
      <c r="E276" s="3"/>
      <c r="F276" s="57"/>
      <c r="G276" s="57"/>
      <c r="H276" s="57"/>
      <c r="I276" s="57"/>
      <c r="J276" s="57"/>
      <c r="K276" s="57"/>
      <c r="L276" s="57"/>
      <c r="M276" s="57"/>
      <c r="N276" s="57"/>
      <c r="O276" s="57"/>
      <c r="P276" s="57"/>
      <c r="Q276" s="57"/>
      <c r="R276" s="57"/>
      <c r="S276" s="57"/>
      <c r="T276" s="57"/>
      <c r="U276" s="57"/>
      <c r="V276" s="57"/>
      <c r="W276" s="57"/>
      <c r="X276" s="57"/>
      <c r="Y276" s="57"/>
      <c r="Z276" s="3"/>
      <c r="AA276" s="57"/>
      <c r="AB276" s="3" t="s">
        <v>2596</v>
      </c>
      <c r="AC276" s="57" t="s">
        <v>2163</v>
      </c>
      <c r="AD276" s="3" t="s">
        <v>2597</v>
      </c>
      <c r="AE276" s="674"/>
      <c r="AF276" s="57"/>
      <c r="AG276" s="57"/>
      <c r="AH276" s="57"/>
      <c r="AI276" s="57"/>
      <c r="AJ276" s="57"/>
      <c r="AK276" s="57"/>
      <c r="AL276" s="57"/>
      <c r="AM276" s="57"/>
      <c r="AN276" s="57"/>
      <c r="AO276" s="57"/>
      <c r="AP276" s="57"/>
      <c r="AQ276" s="57"/>
      <c r="AR276" s="57"/>
      <c r="AS276" s="57"/>
      <c r="AT276" s="57"/>
      <c r="AU276" s="57"/>
      <c r="AV276" s="57"/>
      <c r="AW276" s="57"/>
      <c r="AX276" s="57"/>
    </row>
    <row r="277" spans="1:50" ht="15.75" customHeight="1">
      <c r="A277" s="770"/>
      <c r="B277" s="57"/>
      <c r="C277" s="57"/>
      <c r="D277" s="57"/>
      <c r="E277" s="3"/>
      <c r="F277" s="57"/>
      <c r="G277" s="57"/>
      <c r="H277" s="57"/>
      <c r="I277" s="57"/>
      <c r="J277" s="57"/>
      <c r="K277" s="57"/>
      <c r="L277" s="57"/>
      <c r="M277" s="57"/>
      <c r="N277" s="57"/>
      <c r="O277" s="57"/>
      <c r="P277" s="57"/>
      <c r="Q277" s="57"/>
      <c r="R277" s="57"/>
      <c r="S277" s="57"/>
      <c r="T277" s="57"/>
      <c r="U277" s="57"/>
      <c r="V277" s="57"/>
      <c r="W277" s="57"/>
      <c r="X277" s="57"/>
      <c r="Y277" s="57"/>
      <c r="Z277" s="3"/>
      <c r="AA277" s="57"/>
      <c r="AB277" s="3" t="s">
        <v>2815</v>
      </c>
      <c r="AC277" s="57" t="s">
        <v>2163</v>
      </c>
      <c r="AD277" s="3" t="s">
        <v>2752</v>
      </c>
      <c r="AE277" s="674"/>
      <c r="AF277" s="57"/>
      <c r="AG277" s="57"/>
      <c r="AH277" s="57"/>
      <c r="AI277" s="57"/>
      <c r="AJ277" s="57"/>
      <c r="AK277" s="57"/>
      <c r="AL277" s="57"/>
      <c r="AM277" s="57"/>
      <c r="AN277" s="57"/>
      <c r="AO277" s="57"/>
      <c r="AP277" s="57"/>
      <c r="AQ277" s="57"/>
      <c r="AR277" s="57"/>
      <c r="AS277" s="57"/>
      <c r="AT277" s="57"/>
      <c r="AU277" s="57"/>
      <c r="AV277" s="57"/>
      <c r="AW277" s="57"/>
      <c r="AX277" s="57"/>
    </row>
    <row r="278" spans="1:50" ht="15.75" customHeight="1">
      <c r="A278" s="770"/>
      <c r="B278" s="57"/>
      <c r="C278" s="57"/>
      <c r="D278" s="57"/>
      <c r="E278" s="3"/>
      <c r="F278" s="57"/>
      <c r="G278" s="57"/>
      <c r="H278" s="57"/>
      <c r="I278" s="57"/>
      <c r="J278" s="57"/>
      <c r="K278" s="57"/>
      <c r="L278" s="57"/>
      <c r="M278" s="57"/>
      <c r="N278" s="57"/>
      <c r="O278" s="57"/>
      <c r="P278" s="57"/>
      <c r="Q278" s="57"/>
      <c r="R278" s="57"/>
      <c r="S278" s="57"/>
      <c r="T278" s="57"/>
      <c r="U278" s="57"/>
      <c r="V278" s="57"/>
      <c r="W278" s="57"/>
      <c r="X278" s="57"/>
      <c r="Y278" s="57"/>
      <c r="Z278" s="3"/>
      <c r="AA278" s="57"/>
      <c r="AB278" s="3" t="s">
        <v>2262</v>
      </c>
      <c r="AC278" s="57" t="s">
        <v>2163</v>
      </c>
      <c r="AD278" s="3" t="s">
        <v>2263</v>
      </c>
      <c r="AE278" s="674"/>
      <c r="AF278" s="57"/>
      <c r="AG278" s="57"/>
      <c r="AH278" s="57"/>
      <c r="AI278" s="57"/>
      <c r="AJ278" s="57"/>
      <c r="AK278" s="57"/>
      <c r="AL278" s="57"/>
      <c r="AM278" s="57"/>
      <c r="AN278" s="57"/>
      <c r="AO278" s="57"/>
      <c r="AP278" s="57"/>
      <c r="AQ278" s="57"/>
      <c r="AR278" s="57"/>
      <c r="AS278" s="57"/>
      <c r="AT278" s="57"/>
      <c r="AU278" s="57"/>
      <c r="AV278" s="57"/>
      <c r="AW278" s="57"/>
      <c r="AX278" s="57"/>
    </row>
    <row r="279" spans="1:50" ht="15.75" customHeight="1">
      <c r="A279" s="770"/>
      <c r="B279" s="57"/>
      <c r="C279" s="57"/>
      <c r="D279" s="57"/>
      <c r="E279" s="3"/>
      <c r="F279" s="57"/>
      <c r="G279" s="57"/>
      <c r="H279" s="57"/>
      <c r="I279" s="57"/>
      <c r="J279" s="57"/>
      <c r="K279" s="57"/>
      <c r="L279" s="57"/>
      <c r="M279" s="57"/>
      <c r="N279" s="57"/>
      <c r="O279" s="57"/>
      <c r="P279" s="57"/>
      <c r="Q279" s="57"/>
      <c r="R279" s="57"/>
      <c r="S279" s="57"/>
      <c r="T279" s="57"/>
      <c r="U279" s="57"/>
      <c r="V279" s="57"/>
      <c r="W279" s="57"/>
      <c r="X279" s="57"/>
      <c r="Y279" s="57"/>
      <c r="Z279" s="3"/>
      <c r="AA279" s="57"/>
      <c r="AB279" s="3" t="s">
        <v>2816</v>
      </c>
      <c r="AC279" s="57" t="s">
        <v>2163</v>
      </c>
      <c r="AD279" s="3" t="s">
        <v>2253</v>
      </c>
      <c r="AE279" s="674"/>
      <c r="AF279" s="57"/>
      <c r="AG279" s="57"/>
      <c r="AH279" s="57"/>
      <c r="AI279" s="57"/>
      <c r="AJ279" s="57"/>
      <c r="AK279" s="57"/>
      <c r="AL279" s="57"/>
      <c r="AM279" s="57"/>
      <c r="AN279" s="57"/>
      <c r="AO279" s="57"/>
      <c r="AP279" s="57"/>
      <c r="AQ279" s="57"/>
      <c r="AR279" s="57"/>
      <c r="AS279" s="57"/>
      <c r="AT279" s="57"/>
      <c r="AU279" s="57"/>
      <c r="AV279" s="57"/>
      <c r="AW279" s="57"/>
      <c r="AX279" s="57"/>
    </row>
    <row r="280" spans="1:50" ht="15.75" customHeight="1">
      <c r="A280" s="770"/>
      <c r="B280" s="57"/>
      <c r="C280" s="57"/>
      <c r="D280" s="57"/>
      <c r="E280" s="3"/>
      <c r="F280" s="57"/>
      <c r="G280" s="57"/>
      <c r="H280" s="57"/>
      <c r="I280" s="57"/>
      <c r="J280" s="57"/>
      <c r="K280" s="57"/>
      <c r="L280" s="57"/>
      <c r="M280" s="57"/>
      <c r="N280" s="57"/>
      <c r="O280" s="57"/>
      <c r="P280" s="57"/>
      <c r="Q280" s="57"/>
      <c r="R280" s="57"/>
      <c r="S280" s="57"/>
      <c r="T280" s="57"/>
      <c r="U280" s="57"/>
      <c r="V280" s="57"/>
      <c r="W280" s="57"/>
      <c r="X280" s="57"/>
      <c r="Y280" s="57"/>
      <c r="Z280" s="3"/>
      <c r="AA280" s="57"/>
      <c r="AB280" s="3" t="s">
        <v>2817</v>
      </c>
      <c r="AC280" s="57" t="s">
        <v>2180</v>
      </c>
      <c r="AD280" s="3" t="s">
        <v>2818</v>
      </c>
      <c r="AE280" s="674"/>
      <c r="AF280" s="57"/>
      <c r="AG280" s="57"/>
      <c r="AH280" s="57"/>
      <c r="AI280" s="57"/>
      <c r="AJ280" s="57"/>
      <c r="AK280" s="57"/>
      <c r="AL280" s="57"/>
      <c r="AM280" s="57"/>
      <c r="AN280" s="57"/>
      <c r="AO280" s="57"/>
      <c r="AP280" s="57"/>
      <c r="AQ280" s="57"/>
      <c r="AR280" s="57"/>
      <c r="AS280" s="57"/>
      <c r="AT280" s="57"/>
      <c r="AU280" s="57"/>
      <c r="AV280" s="57"/>
      <c r="AW280" s="57"/>
      <c r="AX280" s="57"/>
    </row>
    <row r="281" spans="1:50" ht="15.75" customHeight="1">
      <c r="A281" s="770"/>
      <c r="B281" s="57"/>
      <c r="C281" s="57"/>
      <c r="D281" s="57"/>
      <c r="E281" s="3"/>
      <c r="F281" s="57"/>
      <c r="G281" s="57"/>
      <c r="H281" s="57"/>
      <c r="I281" s="57"/>
      <c r="J281" s="57"/>
      <c r="K281" s="57"/>
      <c r="L281" s="57"/>
      <c r="M281" s="57"/>
      <c r="N281" s="57"/>
      <c r="O281" s="57"/>
      <c r="P281" s="57"/>
      <c r="Q281" s="57"/>
      <c r="R281" s="57"/>
      <c r="S281" s="57"/>
      <c r="T281" s="57"/>
      <c r="U281" s="57"/>
      <c r="V281" s="57"/>
      <c r="W281" s="57"/>
      <c r="X281" s="57"/>
      <c r="Y281" s="57"/>
      <c r="Z281" s="3"/>
      <c r="AA281" s="57"/>
      <c r="AB281" s="3" t="s">
        <v>2819</v>
      </c>
      <c r="AC281" s="57" t="s">
        <v>2163</v>
      </c>
      <c r="AD281" s="3" t="s">
        <v>2820</v>
      </c>
      <c r="AE281" s="674"/>
      <c r="AF281" s="57"/>
      <c r="AG281" s="57"/>
      <c r="AH281" s="57"/>
      <c r="AI281" s="57"/>
      <c r="AJ281" s="57"/>
      <c r="AK281" s="57"/>
      <c r="AL281" s="57"/>
      <c r="AM281" s="57"/>
      <c r="AN281" s="57"/>
      <c r="AO281" s="57"/>
      <c r="AP281" s="57"/>
      <c r="AQ281" s="57"/>
      <c r="AR281" s="57"/>
      <c r="AS281" s="57"/>
      <c r="AT281" s="57"/>
      <c r="AU281" s="57"/>
      <c r="AV281" s="57"/>
      <c r="AW281" s="57"/>
      <c r="AX281" s="57"/>
    </row>
    <row r="282" spans="1:50" ht="15.75" customHeight="1">
      <c r="A282" s="770"/>
      <c r="B282" s="57"/>
      <c r="C282" s="57"/>
      <c r="D282" s="57"/>
      <c r="E282" s="3"/>
      <c r="F282" s="57"/>
      <c r="G282" s="57"/>
      <c r="H282" s="57"/>
      <c r="I282" s="57"/>
      <c r="J282" s="57"/>
      <c r="K282" s="57"/>
      <c r="L282" s="57"/>
      <c r="M282" s="57"/>
      <c r="N282" s="57"/>
      <c r="O282" s="57"/>
      <c r="P282" s="57"/>
      <c r="Q282" s="57"/>
      <c r="R282" s="57"/>
      <c r="S282" s="57"/>
      <c r="T282" s="57"/>
      <c r="U282" s="57"/>
      <c r="V282" s="57"/>
      <c r="W282" s="57"/>
      <c r="X282" s="57"/>
      <c r="Y282" s="57"/>
      <c r="Z282" s="3"/>
      <c r="AA282" s="57"/>
      <c r="AB282" s="3" t="s">
        <v>2534</v>
      </c>
      <c r="AC282" s="57" t="s">
        <v>2163</v>
      </c>
      <c r="AD282" s="3" t="s">
        <v>2535</v>
      </c>
      <c r="AE282" s="674"/>
      <c r="AF282" s="57"/>
      <c r="AG282" s="57"/>
      <c r="AH282" s="57"/>
      <c r="AI282" s="57"/>
      <c r="AJ282" s="57"/>
      <c r="AK282" s="57"/>
      <c r="AL282" s="57"/>
      <c r="AM282" s="57"/>
      <c r="AN282" s="57"/>
      <c r="AO282" s="57"/>
      <c r="AP282" s="57"/>
      <c r="AQ282" s="57"/>
      <c r="AR282" s="57"/>
      <c r="AS282" s="57"/>
      <c r="AT282" s="57"/>
      <c r="AU282" s="57"/>
      <c r="AV282" s="57"/>
      <c r="AW282" s="57"/>
      <c r="AX282" s="57"/>
    </row>
    <row r="283" spans="1:50" ht="15.75" customHeight="1">
      <c r="A283" s="770"/>
      <c r="B283" s="57"/>
      <c r="C283" s="57"/>
      <c r="D283" s="57"/>
      <c r="E283" s="3"/>
      <c r="F283" s="57"/>
      <c r="G283" s="57"/>
      <c r="H283" s="57"/>
      <c r="I283" s="57"/>
      <c r="J283" s="57"/>
      <c r="K283" s="57"/>
      <c r="L283" s="57"/>
      <c r="M283" s="57"/>
      <c r="N283" s="57"/>
      <c r="O283" s="57"/>
      <c r="P283" s="57"/>
      <c r="Q283" s="57"/>
      <c r="R283" s="57"/>
      <c r="S283" s="57"/>
      <c r="T283" s="57"/>
      <c r="U283" s="57"/>
      <c r="V283" s="57"/>
      <c r="W283" s="57"/>
      <c r="X283" s="57"/>
      <c r="Y283" s="57"/>
      <c r="Z283" s="3"/>
      <c r="AA283" s="57"/>
      <c r="AB283" s="3" t="s">
        <v>2821</v>
      </c>
      <c r="AC283" s="57" t="s">
        <v>2180</v>
      </c>
      <c r="AD283" s="3" t="s">
        <v>2822</v>
      </c>
      <c r="AE283" s="674"/>
      <c r="AF283" s="57"/>
      <c r="AG283" s="57"/>
      <c r="AH283" s="57"/>
      <c r="AI283" s="57"/>
      <c r="AJ283" s="57"/>
      <c r="AK283" s="57"/>
      <c r="AL283" s="57"/>
      <c r="AM283" s="57"/>
      <c r="AN283" s="57"/>
      <c r="AO283" s="57"/>
      <c r="AP283" s="57"/>
      <c r="AQ283" s="57"/>
      <c r="AR283" s="57"/>
      <c r="AS283" s="57"/>
      <c r="AT283" s="57"/>
      <c r="AU283" s="57"/>
      <c r="AV283" s="57"/>
      <c r="AW283" s="57"/>
      <c r="AX283" s="57"/>
    </row>
    <row r="284" spans="1:50" ht="15.75" customHeight="1">
      <c r="A284" s="770"/>
      <c r="B284" s="57"/>
      <c r="C284" s="57"/>
      <c r="D284" s="57"/>
      <c r="E284" s="3"/>
      <c r="F284" s="57"/>
      <c r="G284" s="57"/>
      <c r="H284" s="57"/>
      <c r="I284" s="57"/>
      <c r="J284" s="57"/>
      <c r="K284" s="57"/>
      <c r="L284" s="57"/>
      <c r="M284" s="57"/>
      <c r="N284" s="57"/>
      <c r="O284" s="57"/>
      <c r="P284" s="57"/>
      <c r="Q284" s="57"/>
      <c r="R284" s="57"/>
      <c r="S284" s="57"/>
      <c r="T284" s="57"/>
      <c r="U284" s="57"/>
      <c r="V284" s="57"/>
      <c r="W284" s="57"/>
      <c r="X284" s="57"/>
      <c r="Y284" s="57"/>
      <c r="Z284" s="3"/>
      <c r="AA284" s="57"/>
      <c r="AB284" s="3" t="s">
        <v>2823</v>
      </c>
      <c r="AC284" s="57" t="s">
        <v>2180</v>
      </c>
      <c r="AD284" s="3" t="s">
        <v>2824</v>
      </c>
      <c r="AE284" s="674"/>
      <c r="AF284" s="57"/>
      <c r="AG284" s="57"/>
      <c r="AH284" s="57"/>
      <c r="AI284" s="57"/>
      <c r="AJ284" s="57"/>
      <c r="AK284" s="57"/>
      <c r="AL284" s="57"/>
      <c r="AM284" s="57"/>
      <c r="AN284" s="57"/>
      <c r="AO284" s="57"/>
      <c r="AP284" s="57"/>
      <c r="AQ284" s="57"/>
      <c r="AR284" s="57"/>
      <c r="AS284" s="57"/>
      <c r="AT284" s="57"/>
      <c r="AU284" s="57"/>
      <c r="AV284" s="57"/>
      <c r="AW284" s="57"/>
      <c r="AX284" s="57"/>
    </row>
    <row r="285" spans="1:50" ht="15.75" customHeight="1">
      <c r="A285" s="770"/>
      <c r="B285" s="57"/>
      <c r="C285" s="57"/>
      <c r="D285" s="57"/>
      <c r="E285" s="3"/>
      <c r="F285" s="57"/>
      <c r="G285" s="57"/>
      <c r="H285" s="57"/>
      <c r="I285" s="57"/>
      <c r="J285" s="57"/>
      <c r="K285" s="57"/>
      <c r="L285" s="57"/>
      <c r="M285" s="57"/>
      <c r="N285" s="57"/>
      <c r="O285" s="57"/>
      <c r="P285" s="57"/>
      <c r="Q285" s="57"/>
      <c r="R285" s="57"/>
      <c r="S285" s="57"/>
      <c r="T285" s="57"/>
      <c r="U285" s="57"/>
      <c r="V285" s="57"/>
      <c r="W285" s="57"/>
      <c r="X285" s="57"/>
      <c r="Y285" s="57"/>
      <c r="Z285" s="3"/>
      <c r="AA285" s="57"/>
      <c r="AB285" s="3" t="s">
        <v>2825</v>
      </c>
      <c r="AC285" s="57" t="s">
        <v>2163</v>
      </c>
      <c r="AD285" s="3" t="s">
        <v>2826</v>
      </c>
      <c r="AE285" s="674"/>
      <c r="AF285" s="57"/>
      <c r="AG285" s="57"/>
      <c r="AH285" s="57"/>
      <c r="AI285" s="57"/>
      <c r="AJ285" s="57"/>
      <c r="AK285" s="57"/>
      <c r="AL285" s="57"/>
      <c r="AM285" s="57"/>
      <c r="AN285" s="57"/>
      <c r="AO285" s="57"/>
      <c r="AP285" s="57"/>
      <c r="AQ285" s="57"/>
      <c r="AR285" s="57"/>
      <c r="AS285" s="57"/>
      <c r="AT285" s="57"/>
      <c r="AU285" s="57"/>
      <c r="AV285" s="57"/>
      <c r="AW285" s="57"/>
      <c r="AX285" s="57"/>
    </row>
    <row r="286" spans="1:50" ht="15.75" customHeight="1">
      <c r="A286" s="770"/>
      <c r="B286" s="57"/>
      <c r="C286" s="57"/>
      <c r="D286" s="57"/>
      <c r="E286" s="3"/>
      <c r="F286" s="57"/>
      <c r="G286" s="57"/>
      <c r="H286" s="57"/>
      <c r="I286" s="57"/>
      <c r="J286" s="57"/>
      <c r="K286" s="57"/>
      <c r="L286" s="57"/>
      <c r="M286" s="57"/>
      <c r="N286" s="57"/>
      <c r="O286" s="57"/>
      <c r="P286" s="57"/>
      <c r="Q286" s="57"/>
      <c r="R286" s="57"/>
      <c r="S286" s="57"/>
      <c r="T286" s="57"/>
      <c r="U286" s="57"/>
      <c r="V286" s="57"/>
      <c r="W286" s="57"/>
      <c r="X286" s="57"/>
      <c r="Y286" s="57"/>
      <c r="Z286" s="3"/>
      <c r="AA286" s="57"/>
      <c r="AB286" s="3" t="s">
        <v>2827</v>
      </c>
      <c r="AC286" s="57" t="s">
        <v>2163</v>
      </c>
      <c r="AD286" s="3" t="s">
        <v>2828</v>
      </c>
      <c r="AE286" s="674"/>
      <c r="AF286" s="57"/>
      <c r="AG286" s="57"/>
      <c r="AH286" s="57"/>
      <c r="AI286" s="57"/>
      <c r="AJ286" s="57"/>
      <c r="AK286" s="57"/>
      <c r="AL286" s="57"/>
      <c r="AM286" s="57"/>
      <c r="AN286" s="57"/>
      <c r="AO286" s="57"/>
      <c r="AP286" s="57"/>
      <c r="AQ286" s="57"/>
      <c r="AR286" s="57"/>
      <c r="AS286" s="57"/>
      <c r="AT286" s="57"/>
      <c r="AU286" s="57"/>
      <c r="AV286" s="57"/>
      <c r="AW286" s="57"/>
      <c r="AX286" s="57"/>
    </row>
    <row r="287" spans="1:50" ht="15.75" customHeight="1">
      <c r="A287" s="770"/>
      <c r="B287" s="57"/>
      <c r="C287" s="57"/>
      <c r="D287" s="57"/>
      <c r="E287" s="3"/>
      <c r="F287" s="57"/>
      <c r="G287" s="57"/>
      <c r="H287" s="57"/>
      <c r="I287" s="57"/>
      <c r="J287" s="57"/>
      <c r="K287" s="57"/>
      <c r="L287" s="57"/>
      <c r="M287" s="57"/>
      <c r="N287" s="57"/>
      <c r="O287" s="57"/>
      <c r="P287" s="57"/>
      <c r="Q287" s="57"/>
      <c r="R287" s="57"/>
      <c r="S287" s="57"/>
      <c r="T287" s="57"/>
      <c r="U287" s="57"/>
      <c r="V287" s="57"/>
      <c r="W287" s="57"/>
      <c r="X287" s="57"/>
      <c r="Y287" s="57"/>
      <c r="Z287" s="3"/>
      <c r="AA287" s="57"/>
      <c r="AB287" s="3" t="s">
        <v>2829</v>
      </c>
      <c r="AC287" s="57" t="s">
        <v>2163</v>
      </c>
      <c r="AD287" s="3" t="s">
        <v>2830</v>
      </c>
      <c r="AE287" s="674"/>
      <c r="AF287" s="57"/>
      <c r="AG287" s="57"/>
      <c r="AH287" s="57"/>
      <c r="AI287" s="57"/>
      <c r="AJ287" s="57"/>
      <c r="AK287" s="57"/>
      <c r="AL287" s="57"/>
      <c r="AM287" s="57"/>
      <c r="AN287" s="57"/>
      <c r="AO287" s="57"/>
      <c r="AP287" s="57"/>
      <c r="AQ287" s="57"/>
      <c r="AR287" s="57"/>
      <c r="AS287" s="57"/>
      <c r="AT287" s="57"/>
      <c r="AU287" s="57"/>
      <c r="AV287" s="57"/>
      <c r="AW287" s="57"/>
      <c r="AX287" s="57"/>
    </row>
    <row r="288" spans="1:50" ht="15.75" customHeight="1">
      <c r="A288" s="770"/>
      <c r="B288" s="57"/>
      <c r="C288" s="57"/>
      <c r="D288" s="57"/>
      <c r="E288" s="3"/>
      <c r="F288" s="57"/>
      <c r="G288" s="57"/>
      <c r="H288" s="57"/>
      <c r="I288" s="57"/>
      <c r="J288" s="57"/>
      <c r="K288" s="57"/>
      <c r="L288" s="57"/>
      <c r="M288" s="57"/>
      <c r="N288" s="57"/>
      <c r="O288" s="57"/>
      <c r="P288" s="57"/>
      <c r="Q288" s="57"/>
      <c r="R288" s="57"/>
      <c r="S288" s="57"/>
      <c r="T288" s="57"/>
      <c r="U288" s="57"/>
      <c r="V288" s="57"/>
      <c r="W288" s="57"/>
      <c r="X288" s="57"/>
      <c r="Y288" s="57"/>
      <c r="Z288" s="3"/>
      <c r="AA288" s="57"/>
      <c r="AB288" s="3" t="s">
        <v>2831</v>
      </c>
      <c r="AC288" s="57" t="s">
        <v>2163</v>
      </c>
      <c r="AD288" s="3" t="s">
        <v>2794</v>
      </c>
      <c r="AE288" s="674"/>
      <c r="AF288" s="57"/>
      <c r="AG288" s="57"/>
      <c r="AH288" s="57"/>
      <c r="AI288" s="57"/>
      <c r="AJ288" s="57"/>
      <c r="AK288" s="57"/>
      <c r="AL288" s="57"/>
      <c r="AM288" s="57"/>
      <c r="AN288" s="57"/>
      <c r="AO288" s="57"/>
      <c r="AP288" s="57"/>
      <c r="AQ288" s="57"/>
      <c r="AR288" s="57"/>
      <c r="AS288" s="57"/>
      <c r="AT288" s="57"/>
      <c r="AU288" s="57"/>
      <c r="AV288" s="57"/>
      <c r="AW288" s="57"/>
      <c r="AX288" s="57"/>
    </row>
    <row r="289" spans="1:50" ht="15.75" customHeight="1">
      <c r="A289" s="770"/>
      <c r="B289" s="57"/>
      <c r="C289" s="57"/>
      <c r="D289" s="57"/>
      <c r="E289" s="3"/>
      <c r="F289" s="57"/>
      <c r="G289" s="57"/>
      <c r="H289" s="57"/>
      <c r="I289" s="57"/>
      <c r="J289" s="57"/>
      <c r="K289" s="57"/>
      <c r="L289" s="57"/>
      <c r="M289" s="57"/>
      <c r="N289" s="57"/>
      <c r="O289" s="57"/>
      <c r="P289" s="57"/>
      <c r="Q289" s="57"/>
      <c r="R289" s="57"/>
      <c r="S289" s="57"/>
      <c r="T289" s="57"/>
      <c r="U289" s="57"/>
      <c r="V289" s="57"/>
      <c r="W289" s="57"/>
      <c r="X289" s="57"/>
      <c r="Y289" s="57"/>
      <c r="Z289" s="3"/>
      <c r="AA289" s="57"/>
      <c r="AB289" s="3" t="s">
        <v>2832</v>
      </c>
      <c r="AC289" s="57" t="s">
        <v>2163</v>
      </c>
      <c r="AD289" s="3" t="s">
        <v>2833</v>
      </c>
      <c r="AE289" s="674"/>
      <c r="AF289" s="57"/>
      <c r="AG289" s="57"/>
      <c r="AH289" s="57"/>
      <c r="AI289" s="57"/>
      <c r="AJ289" s="57"/>
      <c r="AK289" s="57"/>
      <c r="AL289" s="57"/>
      <c r="AM289" s="57"/>
      <c r="AN289" s="57"/>
      <c r="AO289" s="57"/>
      <c r="AP289" s="57"/>
      <c r="AQ289" s="57"/>
      <c r="AR289" s="57"/>
      <c r="AS289" s="57"/>
      <c r="AT289" s="57"/>
      <c r="AU289" s="57"/>
      <c r="AV289" s="57"/>
      <c r="AW289" s="57"/>
      <c r="AX289" s="57"/>
    </row>
    <row r="290" spans="1:50" ht="15.75" customHeight="1">
      <c r="A290" s="770"/>
      <c r="B290" s="57"/>
      <c r="C290" s="57"/>
      <c r="D290" s="57"/>
      <c r="E290" s="3"/>
      <c r="F290" s="57"/>
      <c r="G290" s="57"/>
      <c r="H290" s="57"/>
      <c r="I290" s="57"/>
      <c r="J290" s="57"/>
      <c r="K290" s="57"/>
      <c r="L290" s="57"/>
      <c r="M290" s="57"/>
      <c r="N290" s="57"/>
      <c r="O290" s="57"/>
      <c r="P290" s="57"/>
      <c r="Q290" s="57"/>
      <c r="R290" s="57"/>
      <c r="S290" s="57"/>
      <c r="T290" s="57"/>
      <c r="U290" s="57"/>
      <c r="V290" s="57"/>
      <c r="W290" s="57"/>
      <c r="X290" s="57"/>
      <c r="Y290" s="57"/>
      <c r="Z290" s="3"/>
      <c r="AA290" s="57"/>
      <c r="AB290" s="3" t="s">
        <v>2834</v>
      </c>
      <c r="AC290" s="57" t="s">
        <v>2163</v>
      </c>
      <c r="AD290" s="3" t="s">
        <v>2835</v>
      </c>
      <c r="AE290" s="674"/>
      <c r="AF290" s="57"/>
      <c r="AG290" s="57"/>
      <c r="AH290" s="57"/>
      <c r="AI290" s="57"/>
      <c r="AJ290" s="57"/>
      <c r="AK290" s="57"/>
      <c r="AL290" s="57"/>
      <c r="AM290" s="57"/>
      <c r="AN290" s="57"/>
      <c r="AO290" s="57"/>
      <c r="AP290" s="57"/>
      <c r="AQ290" s="57"/>
      <c r="AR290" s="57"/>
      <c r="AS290" s="57"/>
      <c r="AT290" s="57"/>
      <c r="AU290" s="57"/>
      <c r="AV290" s="57"/>
      <c r="AW290" s="57"/>
      <c r="AX290" s="57"/>
    </row>
    <row r="291" spans="1:50" ht="15.75" customHeight="1">
      <c r="A291" s="770"/>
      <c r="B291" s="57"/>
      <c r="C291" s="57"/>
      <c r="D291" s="57"/>
      <c r="E291" s="3"/>
      <c r="F291" s="57"/>
      <c r="G291" s="57"/>
      <c r="H291" s="57"/>
      <c r="I291" s="57"/>
      <c r="J291" s="57"/>
      <c r="K291" s="57"/>
      <c r="L291" s="57"/>
      <c r="M291" s="57"/>
      <c r="N291" s="57"/>
      <c r="O291" s="57"/>
      <c r="P291" s="57"/>
      <c r="Q291" s="57"/>
      <c r="R291" s="57"/>
      <c r="S291" s="57"/>
      <c r="T291" s="57"/>
      <c r="U291" s="57"/>
      <c r="V291" s="57"/>
      <c r="W291" s="57"/>
      <c r="X291" s="57"/>
      <c r="Y291" s="57"/>
      <c r="Z291" s="3"/>
      <c r="AA291" s="57"/>
      <c r="AB291" s="3" t="s">
        <v>2836</v>
      </c>
      <c r="AC291" s="57" t="s">
        <v>2180</v>
      </c>
      <c r="AD291" s="3" t="s">
        <v>2837</v>
      </c>
      <c r="AE291" s="674"/>
      <c r="AF291" s="57"/>
      <c r="AG291" s="57"/>
      <c r="AH291" s="57"/>
      <c r="AI291" s="57"/>
      <c r="AJ291" s="57"/>
      <c r="AK291" s="57"/>
      <c r="AL291" s="57"/>
      <c r="AM291" s="57"/>
      <c r="AN291" s="57"/>
      <c r="AO291" s="57"/>
      <c r="AP291" s="57"/>
      <c r="AQ291" s="57"/>
      <c r="AR291" s="57"/>
      <c r="AS291" s="57"/>
      <c r="AT291" s="57"/>
      <c r="AU291" s="57"/>
      <c r="AV291" s="57"/>
      <c r="AW291" s="57"/>
      <c r="AX291" s="57"/>
    </row>
    <row r="292" spans="1:50" ht="15.75" customHeight="1">
      <c r="A292" s="770"/>
      <c r="B292" s="57"/>
      <c r="C292" s="57"/>
      <c r="D292" s="57"/>
      <c r="E292" s="3"/>
      <c r="F292" s="57"/>
      <c r="G292" s="57"/>
      <c r="H292" s="57"/>
      <c r="I292" s="57"/>
      <c r="J292" s="57"/>
      <c r="K292" s="57"/>
      <c r="L292" s="57"/>
      <c r="M292" s="57"/>
      <c r="N292" s="57"/>
      <c r="O292" s="57"/>
      <c r="P292" s="57"/>
      <c r="Q292" s="57"/>
      <c r="R292" s="57"/>
      <c r="S292" s="57"/>
      <c r="T292" s="57"/>
      <c r="U292" s="57"/>
      <c r="V292" s="57"/>
      <c r="W292" s="57"/>
      <c r="X292" s="57"/>
      <c r="Y292" s="57"/>
      <c r="Z292" s="3"/>
      <c r="AA292" s="57"/>
      <c r="AB292" s="275" t="s">
        <v>2434</v>
      </c>
      <c r="AC292" s="175" t="s">
        <v>2180</v>
      </c>
      <c r="AD292" s="275" t="s">
        <v>2435</v>
      </c>
      <c r="AE292" s="175"/>
      <c r="AF292" s="57"/>
      <c r="AG292" s="57"/>
      <c r="AH292" s="57"/>
      <c r="AI292" s="57"/>
      <c r="AJ292" s="57"/>
      <c r="AK292" s="57"/>
      <c r="AL292" s="57"/>
      <c r="AM292" s="57"/>
      <c r="AN292" s="57"/>
      <c r="AO292" s="57"/>
      <c r="AP292" s="57"/>
      <c r="AQ292" s="57"/>
      <c r="AR292" s="57"/>
      <c r="AS292" s="57"/>
      <c r="AT292" s="57"/>
      <c r="AU292" s="57"/>
      <c r="AV292" s="57"/>
      <c r="AW292" s="57"/>
      <c r="AX292" s="57"/>
    </row>
    <row r="293" spans="1:50" ht="15.75" customHeight="1">
      <c r="A293" s="770"/>
      <c r="B293" s="57"/>
      <c r="C293" s="57"/>
      <c r="D293" s="57"/>
      <c r="E293" s="3"/>
      <c r="F293" s="57"/>
      <c r="G293" s="57"/>
      <c r="H293" s="57"/>
      <c r="I293" s="57"/>
      <c r="J293" s="57"/>
      <c r="K293" s="57"/>
      <c r="L293" s="57"/>
      <c r="M293" s="57"/>
      <c r="N293" s="57"/>
      <c r="O293" s="57"/>
      <c r="P293" s="57"/>
      <c r="Q293" s="57"/>
      <c r="R293" s="57"/>
      <c r="S293" s="57"/>
      <c r="T293" s="57"/>
      <c r="U293" s="57"/>
      <c r="V293" s="57"/>
      <c r="W293" s="57"/>
      <c r="X293" s="57"/>
      <c r="Y293" s="57"/>
      <c r="Z293" s="3"/>
      <c r="AA293" s="57"/>
      <c r="AB293" s="275" t="s">
        <v>2838</v>
      </c>
      <c r="AC293" s="175" t="s">
        <v>2163</v>
      </c>
      <c r="AD293" s="275" t="s">
        <v>2839</v>
      </c>
      <c r="AE293" s="175"/>
      <c r="AF293" s="57"/>
      <c r="AG293" s="57"/>
      <c r="AH293" s="57"/>
      <c r="AI293" s="57"/>
      <c r="AJ293" s="57"/>
      <c r="AK293" s="57"/>
      <c r="AL293" s="57"/>
      <c r="AM293" s="57"/>
      <c r="AN293" s="57"/>
      <c r="AO293" s="57"/>
      <c r="AP293" s="57"/>
      <c r="AQ293" s="57"/>
      <c r="AR293" s="57"/>
      <c r="AS293" s="57"/>
      <c r="AT293" s="57"/>
      <c r="AU293" s="57"/>
      <c r="AV293" s="57"/>
      <c r="AW293" s="57"/>
      <c r="AX293" s="57"/>
    </row>
    <row r="294" spans="1:50" ht="15.75" customHeight="1">
      <c r="A294" s="770"/>
      <c r="B294" s="57"/>
      <c r="C294" s="57"/>
      <c r="D294" s="57"/>
      <c r="E294" s="3"/>
      <c r="F294" s="57"/>
      <c r="G294" s="57"/>
      <c r="H294" s="57"/>
      <c r="I294" s="57"/>
      <c r="J294" s="57"/>
      <c r="K294" s="57"/>
      <c r="L294" s="57"/>
      <c r="M294" s="57"/>
      <c r="N294" s="57"/>
      <c r="O294" s="57"/>
      <c r="P294" s="57"/>
      <c r="Q294" s="57"/>
      <c r="R294" s="57"/>
      <c r="S294" s="57"/>
      <c r="T294" s="57"/>
      <c r="U294" s="57"/>
      <c r="V294" s="57"/>
      <c r="W294" s="57"/>
      <c r="X294" s="57"/>
      <c r="Y294" s="57"/>
      <c r="Z294" s="3"/>
      <c r="AA294" s="57"/>
      <c r="AB294" s="275" t="s">
        <v>2840</v>
      </c>
      <c r="AC294" s="175" t="s">
        <v>2163</v>
      </c>
      <c r="AD294" s="275" t="s">
        <v>2841</v>
      </c>
      <c r="AE294" s="175"/>
      <c r="AF294" s="57"/>
      <c r="AG294" s="57"/>
      <c r="AH294" s="57"/>
      <c r="AI294" s="57"/>
      <c r="AJ294" s="57"/>
      <c r="AK294" s="57"/>
      <c r="AL294" s="57"/>
      <c r="AM294" s="57"/>
      <c r="AN294" s="57"/>
      <c r="AO294" s="57"/>
      <c r="AP294" s="57"/>
      <c r="AQ294" s="57"/>
      <c r="AR294" s="57"/>
      <c r="AS294" s="57"/>
      <c r="AT294" s="57"/>
      <c r="AU294" s="57"/>
      <c r="AV294" s="57"/>
      <c r="AW294" s="57"/>
      <c r="AX294" s="57"/>
    </row>
    <row r="295" spans="1:50" ht="15.75" customHeight="1">
      <c r="A295" s="770"/>
      <c r="B295" s="57"/>
      <c r="C295" s="57"/>
      <c r="D295" s="57"/>
      <c r="E295" s="3"/>
      <c r="F295" s="57"/>
      <c r="G295" s="57"/>
      <c r="H295" s="57"/>
      <c r="I295" s="57"/>
      <c r="J295" s="57"/>
      <c r="K295" s="57"/>
      <c r="L295" s="57"/>
      <c r="M295" s="57"/>
      <c r="N295" s="57"/>
      <c r="O295" s="57"/>
      <c r="P295" s="57"/>
      <c r="Q295" s="57"/>
      <c r="R295" s="57"/>
      <c r="S295" s="57"/>
      <c r="T295" s="57"/>
      <c r="U295" s="57"/>
      <c r="V295" s="57"/>
      <c r="W295" s="57"/>
      <c r="X295" s="57"/>
      <c r="Y295" s="57"/>
      <c r="Z295" s="3"/>
      <c r="AA295" s="57"/>
      <c r="AB295" s="275" t="s">
        <v>2842</v>
      </c>
      <c r="AC295" s="175" t="s">
        <v>2163</v>
      </c>
      <c r="AD295" s="175"/>
      <c r="AE295" s="175"/>
      <c r="AF295" s="57"/>
      <c r="AG295" s="57"/>
      <c r="AH295" s="57"/>
      <c r="AI295" s="57"/>
      <c r="AJ295" s="57"/>
      <c r="AK295" s="57"/>
      <c r="AL295" s="57"/>
      <c r="AM295" s="57"/>
      <c r="AN295" s="57"/>
      <c r="AO295" s="57"/>
      <c r="AP295" s="57"/>
      <c r="AQ295" s="57"/>
      <c r="AR295" s="57"/>
      <c r="AS295" s="57"/>
      <c r="AT295" s="57"/>
      <c r="AU295" s="57"/>
      <c r="AV295" s="57"/>
      <c r="AW295" s="57"/>
      <c r="AX295" s="57"/>
    </row>
    <row r="296" spans="1:50" ht="15.75" customHeight="1">
      <c r="A296" s="770"/>
      <c r="B296" s="57"/>
      <c r="C296" s="57"/>
      <c r="D296" s="57"/>
      <c r="E296" s="3"/>
      <c r="F296" s="57"/>
      <c r="G296" s="57"/>
      <c r="H296" s="57"/>
      <c r="I296" s="57"/>
      <c r="J296" s="57"/>
      <c r="K296" s="57"/>
      <c r="L296" s="57"/>
      <c r="M296" s="57"/>
      <c r="N296" s="57"/>
      <c r="O296" s="57"/>
      <c r="P296" s="57"/>
      <c r="Q296" s="57"/>
      <c r="R296" s="57"/>
      <c r="S296" s="57"/>
      <c r="T296" s="57"/>
      <c r="U296" s="57"/>
      <c r="V296" s="57"/>
      <c r="W296" s="57"/>
      <c r="X296" s="57"/>
      <c r="Y296" s="57"/>
      <c r="Z296" s="3"/>
      <c r="AA296" s="57"/>
      <c r="AB296" s="175"/>
      <c r="AC296" s="175"/>
      <c r="AD296" s="175"/>
      <c r="AE296" s="175"/>
      <c r="AF296" s="57"/>
      <c r="AG296" s="57"/>
      <c r="AH296" s="57"/>
      <c r="AI296" s="57"/>
      <c r="AJ296" s="57"/>
      <c r="AK296" s="57"/>
      <c r="AL296" s="57"/>
      <c r="AM296" s="57"/>
      <c r="AN296" s="57"/>
      <c r="AO296" s="57"/>
      <c r="AP296" s="57"/>
      <c r="AQ296" s="57"/>
      <c r="AR296" s="57"/>
      <c r="AS296" s="57"/>
      <c r="AT296" s="57"/>
      <c r="AU296" s="57"/>
      <c r="AV296" s="57"/>
      <c r="AW296" s="57"/>
      <c r="AX296" s="57"/>
    </row>
    <row r="297" spans="1:50" ht="15.75" customHeight="1">
      <c r="A297" s="770"/>
      <c r="B297" s="57"/>
      <c r="C297" s="57"/>
      <c r="D297" s="57"/>
      <c r="E297" s="3"/>
      <c r="F297" s="57"/>
      <c r="G297" s="57"/>
      <c r="H297" s="57"/>
      <c r="I297" s="57"/>
      <c r="J297" s="57"/>
      <c r="K297" s="57"/>
      <c r="L297" s="57"/>
      <c r="M297" s="57"/>
      <c r="N297" s="57"/>
      <c r="O297" s="57"/>
      <c r="P297" s="57"/>
      <c r="Q297" s="57"/>
      <c r="R297" s="57"/>
      <c r="S297" s="57"/>
      <c r="T297" s="57"/>
      <c r="U297" s="57"/>
      <c r="V297" s="57"/>
      <c r="W297" s="57"/>
      <c r="X297" s="57"/>
      <c r="Y297" s="57"/>
      <c r="Z297" s="3"/>
      <c r="AA297" s="57"/>
      <c r="AB297" s="175"/>
      <c r="AC297" s="175"/>
      <c r="AD297" s="175"/>
      <c r="AE297" s="175"/>
      <c r="AF297" s="57"/>
      <c r="AG297" s="57"/>
      <c r="AH297" s="57"/>
      <c r="AI297" s="57"/>
      <c r="AJ297" s="57"/>
      <c r="AK297" s="57"/>
      <c r="AL297" s="57"/>
      <c r="AM297" s="57"/>
      <c r="AN297" s="57"/>
      <c r="AO297" s="57"/>
      <c r="AP297" s="57"/>
      <c r="AQ297" s="57"/>
      <c r="AR297" s="57"/>
      <c r="AS297" s="57"/>
      <c r="AT297" s="57"/>
      <c r="AU297" s="57"/>
      <c r="AV297" s="57"/>
      <c r="AW297" s="57"/>
      <c r="AX297" s="57"/>
    </row>
    <row r="298" spans="1:50" ht="15.75" customHeight="1">
      <c r="A298" s="770"/>
      <c r="B298" s="57"/>
      <c r="C298" s="57"/>
      <c r="D298" s="57"/>
      <c r="E298" s="3"/>
      <c r="F298" s="57"/>
      <c r="G298" s="57"/>
      <c r="H298" s="57"/>
      <c r="I298" s="57"/>
      <c r="J298" s="57"/>
      <c r="K298" s="57"/>
      <c r="L298" s="57"/>
      <c r="M298" s="57"/>
      <c r="N298" s="57"/>
      <c r="O298" s="57"/>
      <c r="P298" s="57"/>
      <c r="Q298" s="57"/>
      <c r="R298" s="57"/>
      <c r="S298" s="57"/>
      <c r="T298" s="57"/>
      <c r="U298" s="57"/>
      <c r="V298" s="57"/>
      <c r="W298" s="57"/>
      <c r="X298" s="57"/>
      <c r="Y298" s="57"/>
      <c r="Z298" s="3"/>
      <c r="AA298" s="57"/>
      <c r="AB298" s="175"/>
      <c r="AC298" s="175"/>
      <c r="AD298" s="175"/>
      <c r="AE298" s="175"/>
      <c r="AF298" s="57"/>
      <c r="AG298" s="57"/>
      <c r="AH298" s="57"/>
      <c r="AI298" s="57"/>
      <c r="AJ298" s="57"/>
      <c r="AK298" s="57"/>
      <c r="AL298" s="57"/>
      <c r="AM298" s="57"/>
      <c r="AN298" s="57"/>
      <c r="AO298" s="57"/>
      <c r="AP298" s="57"/>
      <c r="AQ298" s="57"/>
      <c r="AR298" s="57"/>
      <c r="AS298" s="57"/>
      <c r="AT298" s="57"/>
      <c r="AU298" s="57"/>
      <c r="AV298" s="57"/>
      <c r="AW298" s="57"/>
      <c r="AX298" s="57"/>
    </row>
    <row r="299" spans="1:50" ht="15.75" customHeight="1">
      <c r="A299" s="770"/>
      <c r="B299" s="57"/>
      <c r="C299" s="57"/>
      <c r="D299" s="57"/>
      <c r="E299" s="3"/>
      <c r="F299" s="57"/>
      <c r="G299" s="57"/>
      <c r="H299" s="57"/>
      <c r="I299" s="57"/>
      <c r="J299" s="57"/>
      <c r="K299" s="57"/>
      <c r="L299" s="57"/>
      <c r="M299" s="57"/>
      <c r="N299" s="57"/>
      <c r="O299" s="57"/>
      <c r="P299" s="57"/>
      <c r="Q299" s="57"/>
      <c r="R299" s="57"/>
      <c r="S299" s="57"/>
      <c r="T299" s="57"/>
      <c r="U299" s="57"/>
      <c r="V299" s="57"/>
      <c r="W299" s="57"/>
      <c r="X299" s="57"/>
      <c r="Y299" s="57"/>
      <c r="Z299" s="3"/>
      <c r="AA299" s="57"/>
      <c r="AB299" s="175"/>
      <c r="AC299" s="175"/>
      <c r="AD299" s="175"/>
      <c r="AE299" s="175"/>
      <c r="AF299" s="57"/>
      <c r="AG299" s="57"/>
      <c r="AH299" s="57"/>
      <c r="AI299" s="57"/>
      <c r="AJ299" s="57"/>
      <c r="AK299" s="57"/>
      <c r="AL299" s="57"/>
      <c r="AM299" s="57"/>
      <c r="AN299" s="57"/>
      <c r="AO299" s="57"/>
      <c r="AP299" s="57"/>
      <c r="AQ299" s="57"/>
      <c r="AR299" s="57"/>
      <c r="AS299" s="57"/>
      <c r="AT299" s="57"/>
      <c r="AU299" s="57"/>
      <c r="AV299" s="57"/>
      <c r="AW299" s="57"/>
      <c r="AX299" s="57"/>
    </row>
    <row r="300" spans="1:50" ht="15.75" customHeight="1">
      <c r="A300" s="770"/>
      <c r="B300" s="57"/>
      <c r="C300" s="57"/>
      <c r="D300" s="57"/>
      <c r="E300" s="3"/>
      <c r="F300" s="57"/>
      <c r="G300" s="57"/>
      <c r="H300" s="57"/>
      <c r="I300" s="57"/>
      <c r="J300" s="57"/>
      <c r="K300" s="57"/>
      <c r="L300" s="57"/>
      <c r="M300" s="57"/>
      <c r="N300" s="57"/>
      <c r="O300" s="57"/>
      <c r="P300" s="57"/>
      <c r="Q300" s="57"/>
      <c r="R300" s="57"/>
      <c r="S300" s="57"/>
      <c r="T300" s="57"/>
      <c r="U300" s="57"/>
      <c r="V300" s="57"/>
      <c r="W300" s="57"/>
      <c r="X300" s="57"/>
      <c r="Y300" s="57"/>
      <c r="Z300" s="3"/>
      <c r="AA300" s="57"/>
      <c r="AB300" s="175"/>
      <c r="AC300" s="175"/>
      <c r="AD300" s="175"/>
      <c r="AE300" s="175"/>
      <c r="AF300" s="57"/>
      <c r="AG300" s="57"/>
      <c r="AH300" s="57"/>
      <c r="AI300" s="57"/>
      <c r="AJ300" s="57"/>
      <c r="AK300" s="57"/>
      <c r="AL300" s="57"/>
      <c r="AM300" s="57"/>
      <c r="AN300" s="57"/>
      <c r="AO300" s="57"/>
      <c r="AP300" s="57"/>
      <c r="AQ300" s="57"/>
      <c r="AR300" s="57"/>
      <c r="AS300" s="57"/>
      <c r="AT300" s="57"/>
      <c r="AU300" s="57"/>
      <c r="AV300" s="57"/>
      <c r="AW300" s="57"/>
      <c r="AX300" s="57"/>
    </row>
    <row r="301" spans="1:50" ht="15.75" customHeight="1">
      <c r="A301" s="770"/>
      <c r="B301" s="57"/>
      <c r="C301" s="57"/>
      <c r="D301" s="57"/>
      <c r="E301" s="3"/>
      <c r="F301" s="57"/>
      <c r="G301" s="57"/>
      <c r="H301" s="57"/>
      <c r="I301" s="57"/>
      <c r="J301" s="57"/>
      <c r="K301" s="57"/>
      <c r="L301" s="57"/>
      <c r="M301" s="57"/>
      <c r="N301" s="57"/>
      <c r="O301" s="57"/>
      <c r="P301" s="57"/>
      <c r="Q301" s="57"/>
      <c r="R301" s="57"/>
      <c r="S301" s="57"/>
      <c r="T301" s="57"/>
      <c r="U301" s="57"/>
      <c r="V301" s="57"/>
      <c r="W301" s="57"/>
      <c r="X301" s="57"/>
      <c r="Y301" s="57"/>
      <c r="Z301" s="3"/>
      <c r="AA301" s="57"/>
      <c r="AB301" s="175"/>
      <c r="AC301" s="175"/>
      <c r="AD301" s="175"/>
      <c r="AE301" s="175"/>
      <c r="AF301" s="57"/>
      <c r="AG301" s="57"/>
      <c r="AH301" s="57"/>
      <c r="AI301" s="57"/>
      <c r="AJ301" s="57"/>
      <c r="AK301" s="57"/>
      <c r="AL301" s="57"/>
      <c r="AM301" s="57"/>
      <c r="AN301" s="57"/>
      <c r="AO301" s="57"/>
      <c r="AP301" s="57"/>
      <c r="AQ301" s="57"/>
      <c r="AR301" s="57"/>
      <c r="AS301" s="57"/>
      <c r="AT301" s="57"/>
      <c r="AU301" s="57"/>
      <c r="AV301" s="57"/>
      <c r="AW301" s="57"/>
      <c r="AX301" s="57"/>
    </row>
    <row r="302" spans="1:50" ht="15.75" customHeight="1">
      <c r="A302" s="770"/>
      <c r="B302" s="57"/>
      <c r="C302" s="57"/>
      <c r="D302" s="57"/>
      <c r="E302" s="3"/>
      <c r="F302" s="57"/>
      <c r="G302" s="57"/>
      <c r="H302" s="57"/>
      <c r="I302" s="57"/>
      <c r="J302" s="57"/>
      <c r="K302" s="57"/>
      <c r="L302" s="57"/>
      <c r="M302" s="57"/>
      <c r="N302" s="57"/>
      <c r="O302" s="57"/>
      <c r="P302" s="57"/>
      <c r="Q302" s="57"/>
      <c r="R302" s="57"/>
      <c r="S302" s="57"/>
      <c r="T302" s="57"/>
      <c r="U302" s="57"/>
      <c r="V302" s="57"/>
      <c r="W302" s="57"/>
      <c r="X302" s="57"/>
      <c r="Y302" s="57"/>
      <c r="Z302" s="3"/>
      <c r="AA302" s="57"/>
      <c r="AB302" s="175"/>
      <c r="AC302" s="175"/>
      <c r="AD302" s="175"/>
      <c r="AE302" s="175"/>
      <c r="AF302" s="57"/>
      <c r="AG302" s="57"/>
      <c r="AH302" s="57"/>
      <c r="AI302" s="57"/>
      <c r="AJ302" s="57"/>
      <c r="AK302" s="57"/>
      <c r="AL302" s="57"/>
      <c r="AM302" s="57"/>
      <c r="AN302" s="57"/>
      <c r="AO302" s="57"/>
      <c r="AP302" s="57"/>
      <c r="AQ302" s="57"/>
      <c r="AR302" s="57"/>
      <c r="AS302" s="57"/>
      <c r="AT302" s="57"/>
      <c r="AU302" s="57"/>
      <c r="AV302" s="57"/>
      <c r="AW302" s="57"/>
      <c r="AX302" s="57"/>
    </row>
    <row r="303" spans="1:50" ht="15.75" customHeight="1">
      <c r="A303" s="770"/>
      <c r="B303" s="57"/>
      <c r="C303" s="57"/>
      <c r="D303" s="57"/>
      <c r="E303" s="3"/>
      <c r="F303" s="57"/>
      <c r="G303" s="57"/>
      <c r="H303" s="57"/>
      <c r="I303" s="57"/>
      <c r="J303" s="57"/>
      <c r="K303" s="57"/>
      <c r="L303" s="57"/>
      <c r="M303" s="57"/>
      <c r="N303" s="57"/>
      <c r="O303" s="57"/>
      <c r="P303" s="57"/>
      <c r="Q303" s="57"/>
      <c r="R303" s="57"/>
      <c r="S303" s="57"/>
      <c r="T303" s="57"/>
      <c r="U303" s="57"/>
      <c r="V303" s="57"/>
      <c r="W303" s="57"/>
      <c r="X303" s="57"/>
      <c r="Y303" s="57"/>
      <c r="Z303" s="3"/>
      <c r="AA303" s="57"/>
      <c r="AB303" s="175"/>
      <c r="AC303" s="175"/>
      <c r="AD303" s="175"/>
      <c r="AE303" s="175"/>
      <c r="AF303" s="57"/>
      <c r="AG303" s="57"/>
      <c r="AH303" s="57"/>
      <c r="AI303" s="57"/>
      <c r="AJ303" s="57"/>
      <c r="AK303" s="57"/>
      <c r="AL303" s="57"/>
      <c r="AM303" s="57"/>
      <c r="AN303" s="57"/>
      <c r="AO303" s="57"/>
      <c r="AP303" s="57"/>
      <c r="AQ303" s="57"/>
      <c r="AR303" s="57"/>
      <c r="AS303" s="57"/>
      <c r="AT303" s="57"/>
      <c r="AU303" s="57"/>
      <c r="AV303" s="57"/>
      <c r="AW303" s="57"/>
      <c r="AX303" s="57"/>
    </row>
    <row r="304" spans="1:50" ht="15.75" customHeight="1">
      <c r="A304" s="770"/>
      <c r="B304" s="57"/>
      <c r="C304" s="57"/>
      <c r="D304" s="57"/>
      <c r="E304" s="3"/>
      <c r="F304" s="57"/>
      <c r="G304" s="57"/>
      <c r="H304" s="57"/>
      <c r="I304" s="57"/>
      <c r="J304" s="57"/>
      <c r="K304" s="57"/>
      <c r="L304" s="57"/>
      <c r="M304" s="57"/>
      <c r="N304" s="57"/>
      <c r="O304" s="57"/>
      <c r="P304" s="57"/>
      <c r="Q304" s="57"/>
      <c r="R304" s="57"/>
      <c r="S304" s="57"/>
      <c r="T304" s="57"/>
      <c r="U304" s="57"/>
      <c r="V304" s="57"/>
      <c r="W304" s="57"/>
      <c r="X304" s="57"/>
      <c r="Y304" s="57"/>
      <c r="Z304" s="3"/>
      <c r="AA304" s="57"/>
      <c r="AB304" s="175"/>
      <c r="AC304" s="175"/>
      <c r="AD304" s="175"/>
      <c r="AE304" s="175"/>
      <c r="AF304" s="57"/>
      <c r="AG304" s="57"/>
      <c r="AH304" s="57"/>
      <c r="AI304" s="57"/>
      <c r="AJ304" s="57"/>
      <c r="AK304" s="57"/>
      <c r="AL304" s="57"/>
      <c r="AM304" s="57"/>
      <c r="AN304" s="57"/>
      <c r="AO304" s="57"/>
      <c r="AP304" s="57"/>
      <c r="AQ304" s="57"/>
      <c r="AR304" s="57"/>
      <c r="AS304" s="57"/>
      <c r="AT304" s="57"/>
      <c r="AU304" s="57"/>
      <c r="AV304" s="57"/>
      <c r="AW304" s="57"/>
      <c r="AX304" s="57"/>
    </row>
    <row r="305" spans="1:50" ht="15.75" customHeight="1">
      <c r="A305" s="770"/>
      <c r="B305" s="57"/>
      <c r="C305" s="57"/>
      <c r="D305" s="57"/>
      <c r="E305" s="3"/>
      <c r="F305" s="57"/>
      <c r="G305" s="57"/>
      <c r="H305" s="57"/>
      <c r="I305" s="57"/>
      <c r="J305" s="57"/>
      <c r="K305" s="57"/>
      <c r="L305" s="57"/>
      <c r="M305" s="57"/>
      <c r="N305" s="57"/>
      <c r="O305" s="57"/>
      <c r="P305" s="57"/>
      <c r="Q305" s="57"/>
      <c r="R305" s="57"/>
      <c r="S305" s="57"/>
      <c r="T305" s="57"/>
      <c r="U305" s="57"/>
      <c r="V305" s="57"/>
      <c r="W305" s="57"/>
      <c r="X305" s="57"/>
      <c r="Y305" s="57"/>
      <c r="Z305" s="3"/>
      <c r="AA305" s="57"/>
      <c r="AB305" s="175"/>
      <c r="AC305" s="175"/>
      <c r="AD305" s="175"/>
      <c r="AE305" s="175"/>
      <c r="AF305" s="57"/>
      <c r="AG305" s="57"/>
      <c r="AH305" s="57"/>
      <c r="AI305" s="57"/>
      <c r="AJ305" s="57"/>
      <c r="AK305" s="57"/>
      <c r="AL305" s="57"/>
      <c r="AM305" s="57"/>
      <c r="AN305" s="57"/>
      <c r="AO305" s="57"/>
      <c r="AP305" s="57"/>
      <c r="AQ305" s="57"/>
      <c r="AR305" s="57"/>
      <c r="AS305" s="57"/>
      <c r="AT305" s="57"/>
      <c r="AU305" s="57"/>
      <c r="AV305" s="57"/>
      <c r="AW305" s="57"/>
      <c r="AX305" s="57"/>
    </row>
    <row r="306" spans="1:50" ht="15.75" customHeight="1">
      <c r="A306" s="770"/>
      <c r="B306" s="57"/>
      <c r="C306" s="57"/>
      <c r="D306" s="57"/>
      <c r="E306" s="3"/>
      <c r="F306" s="57"/>
      <c r="G306" s="57"/>
      <c r="H306" s="57"/>
      <c r="I306" s="57"/>
      <c r="J306" s="57"/>
      <c r="K306" s="57"/>
      <c r="L306" s="57"/>
      <c r="M306" s="57"/>
      <c r="N306" s="57"/>
      <c r="O306" s="57"/>
      <c r="P306" s="57"/>
      <c r="Q306" s="57"/>
      <c r="R306" s="57"/>
      <c r="S306" s="57"/>
      <c r="T306" s="57"/>
      <c r="U306" s="57"/>
      <c r="V306" s="57"/>
      <c r="W306" s="57"/>
      <c r="X306" s="57"/>
      <c r="Y306" s="57"/>
      <c r="Z306" s="3"/>
      <c r="AA306" s="57"/>
      <c r="AB306" s="175"/>
      <c r="AC306" s="175"/>
      <c r="AD306" s="175"/>
      <c r="AE306" s="175"/>
      <c r="AF306" s="57"/>
      <c r="AG306" s="57"/>
      <c r="AH306" s="57"/>
      <c r="AI306" s="57"/>
      <c r="AJ306" s="57"/>
      <c r="AK306" s="57"/>
      <c r="AL306" s="57"/>
      <c r="AM306" s="57"/>
      <c r="AN306" s="57"/>
      <c r="AO306" s="57"/>
      <c r="AP306" s="57"/>
      <c r="AQ306" s="57"/>
      <c r="AR306" s="57"/>
      <c r="AS306" s="57"/>
      <c r="AT306" s="57"/>
      <c r="AU306" s="57"/>
      <c r="AV306" s="57"/>
      <c r="AW306" s="57"/>
      <c r="AX306" s="57"/>
    </row>
    <row r="307" spans="1:50" ht="15.75" customHeight="1">
      <c r="A307" s="770"/>
      <c r="B307" s="57"/>
      <c r="C307" s="57"/>
      <c r="D307" s="57"/>
      <c r="E307" s="3"/>
      <c r="F307" s="57"/>
      <c r="G307" s="57"/>
      <c r="H307" s="57"/>
      <c r="I307" s="57"/>
      <c r="J307" s="57"/>
      <c r="K307" s="57"/>
      <c r="L307" s="57"/>
      <c r="M307" s="57"/>
      <c r="N307" s="57"/>
      <c r="O307" s="57"/>
      <c r="P307" s="57"/>
      <c r="Q307" s="57"/>
      <c r="R307" s="57"/>
      <c r="S307" s="57"/>
      <c r="T307" s="57"/>
      <c r="U307" s="57"/>
      <c r="V307" s="57"/>
      <c r="W307" s="57"/>
      <c r="X307" s="57"/>
      <c r="Y307" s="57"/>
      <c r="Z307" s="3"/>
      <c r="AA307" s="57"/>
      <c r="AB307" s="175"/>
      <c r="AC307" s="175"/>
      <c r="AD307" s="175"/>
      <c r="AE307" s="175"/>
      <c r="AF307" s="57"/>
      <c r="AG307" s="57"/>
      <c r="AH307" s="57"/>
      <c r="AI307" s="57"/>
      <c r="AJ307" s="57"/>
      <c r="AK307" s="57"/>
      <c r="AL307" s="57"/>
      <c r="AM307" s="57"/>
      <c r="AN307" s="57"/>
      <c r="AO307" s="57"/>
      <c r="AP307" s="57"/>
      <c r="AQ307" s="57"/>
      <c r="AR307" s="57"/>
      <c r="AS307" s="57"/>
      <c r="AT307" s="57"/>
      <c r="AU307" s="57"/>
      <c r="AV307" s="57"/>
      <c r="AW307" s="57"/>
      <c r="AX307" s="57"/>
    </row>
    <row r="308" spans="1:50" ht="15.75" customHeight="1">
      <c r="A308" s="770"/>
      <c r="B308" s="57"/>
      <c r="C308" s="57"/>
      <c r="D308" s="57"/>
      <c r="E308" s="3"/>
      <c r="F308" s="57"/>
      <c r="G308" s="57"/>
      <c r="H308" s="57"/>
      <c r="I308" s="57"/>
      <c r="J308" s="57"/>
      <c r="K308" s="57"/>
      <c r="L308" s="57"/>
      <c r="M308" s="57"/>
      <c r="N308" s="57"/>
      <c r="O308" s="57"/>
      <c r="P308" s="57"/>
      <c r="Q308" s="57"/>
      <c r="R308" s="57"/>
      <c r="S308" s="57"/>
      <c r="T308" s="57"/>
      <c r="U308" s="57"/>
      <c r="V308" s="57"/>
      <c r="W308" s="57"/>
      <c r="X308" s="57"/>
      <c r="Y308" s="57"/>
      <c r="Z308" s="3"/>
      <c r="AA308" s="57"/>
      <c r="AB308" s="175"/>
      <c r="AC308" s="175"/>
      <c r="AD308" s="175"/>
      <c r="AE308" s="175"/>
      <c r="AF308" s="57"/>
      <c r="AG308" s="57"/>
      <c r="AH308" s="57"/>
      <c r="AI308" s="57"/>
      <c r="AJ308" s="57"/>
      <c r="AK308" s="57"/>
      <c r="AL308" s="57"/>
      <c r="AM308" s="57"/>
      <c r="AN308" s="57"/>
      <c r="AO308" s="57"/>
      <c r="AP308" s="57"/>
      <c r="AQ308" s="57"/>
      <c r="AR308" s="57"/>
      <c r="AS308" s="57"/>
      <c r="AT308" s="57"/>
      <c r="AU308" s="57"/>
      <c r="AV308" s="57"/>
      <c r="AW308" s="57"/>
      <c r="AX308" s="57"/>
    </row>
    <row r="309" spans="1:50" ht="15.75" customHeight="1">
      <c r="A309" s="770"/>
      <c r="B309" s="57"/>
      <c r="C309" s="57"/>
      <c r="D309" s="57"/>
      <c r="E309" s="3"/>
      <c r="F309" s="57"/>
      <c r="G309" s="57"/>
      <c r="H309" s="57"/>
      <c r="I309" s="57"/>
      <c r="J309" s="57"/>
      <c r="K309" s="57"/>
      <c r="L309" s="57"/>
      <c r="M309" s="57"/>
      <c r="N309" s="57"/>
      <c r="O309" s="57"/>
      <c r="P309" s="57"/>
      <c r="Q309" s="57"/>
      <c r="R309" s="57"/>
      <c r="S309" s="57"/>
      <c r="T309" s="57"/>
      <c r="U309" s="57"/>
      <c r="V309" s="57"/>
      <c r="W309" s="57"/>
      <c r="X309" s="57"/>
      <c r="Y309" s="57"/>
      <c r="Z309" s="3"/>
      <c r="AA309" s="57"/>
      <c r="AB309" s="175"/>
      <c r="AC309" s="175"/>
      <c r="AD309" s="175"/>
      <c r="AE309" s="175"/>
      <c r="AF309" s="57"/>
      <c r="AG309" s="57"/>
      <c r="AH309" s="57"/>
      <c r="AI309" s="57"/>
      <c r="AJ309" s="57"/>
      <c r="AK309" s="57"/>
      <c r="AL309" s="57"/>
      <c r="AM309" s="57"/>
      <c r="AN309" s="57"/>
      <c r="AO309" s="57"/>
      <c r="AP309" s="57"/>
      <c r="AQ309" s="57"/>
      <c r="AR309" s="57"/>
      <c r="AS309" s="57"/>
      <c r="AT309" s="57"/>
      <c r="AU309" s="57"/>
      <c r="AV309" s="57"/>
      <c r="AW309" s="57"/>
      <c r="AX309" s="57"/>
    </row>
    <row r="310" spans="1:50" ht="15.75" customHeight="1">
      <c r="A310" s="770"/>
      <c r="B310" s="57"/>
      <c r="C310" s="57"/>
      <c r="D310" s="57"/>
      <c r="E310" s="3"/>
      <c r="F310" s="57"/>
      <c r="G310" s="57"/>
      <c r="H310" s="57"/>
      <c r="I310" s="57"/>
      <c r="J310" s="57"/>
      <c r="K310" s="57"/>
      <c r="L310" s="57"/>
      <c r="M310" s="57"/>
      <c r="N310" s="57"/>
      <c r="O310" s="57"/>
      <c r="P310" s="57"/>
      <c r="Q310" s="57"/>
      <c r="R310" s="57"/>
      <c r="S310" s="57"/>
      <c r="T310" s="57"/>
      <c r="U310" s="57"/>
      <c r="V310" s="57"/>
      <c r="W310" s="57"/>
      <c r="X310" s="57"/>
      <c r="Y310" s="57"/>
      <c r="Z310" s="3"/>
      <c r="AA310" s="57"/>
      <c r="AB310" s="175"/>
      <c r="AC310" s="175"/>
      <c r="AD310" s="175"/>
      <c r="AE310" s="175"/>
      <c r="AF310" s="57"/>
      <c r="AG310" s="57"/>
      <c r="AH310" s="57"/>
      <c r="AI310" s="57"/>
      <c r="AJ310" s="57"/>
      <c r="AK310" s="57"/>
      <c r="AL310" s="57"/>
      <c r="AM310" s="57"/>
      <c r="AN310" s="57"/>
      <c r="AO310" s="57"/>
      <c r="AP310" s="57"/>
      <c r="AQ310" s="57"/>
      <c r="AR310" s="57"/>
      <c r="AS310" s="57"/>
      <c r="AT310" s="57"/>
      <c r="AU310" s="57"/>
      <c r="AV310" s="57"/>
      <c r="AW310" s="57"/>
      <c r="AX310" s="57"/>
    </row>
    <row r="311" spans="1:50" ht="15.75" customHeight="1">
      <c r="A311" s="770"/>
      <c r="B311" s="57"/>
      <c r="C311" s="57"/>
      <c r="D311" s="57"/>
      <c r="E311" s="3"/>
      <c r="F311" s="57"/>
      <c r="G311" s="57"/>
      <c r="H311" s="57"/>
      <c r="I311" s="57"/>
      <c r="J311" s="57"/>
      <c r="K311" s="57"/>
      <c r="L311" s="57"/>
      <c r="M311" s="57"/>
      <c r="N311" s="57"/>
      <c r="O311" s="57"/>
      <c r="P311" s="57"/>
      <c r="Q311" s="57"/>
      <c r="R311" s="57"/>
      <c r="S311" s="57"/>
      <c r="T311" s="57"/>
      <c r="U311" s="57"/>
      <c r="V311" s="57"/>
      <c r="W311" s="57"/>
      <c r="X311" s="57"/>
      <c r="Y311" s="57"/>
      <c r="Z311" s="3"/>
      <c r="AA311" s="57"/>
      <c r="AB311" s="175"/>
      <c r="AC311" s="175"/>
      <c r="AD311" s="175"/>
      <c r="AE311" s="175"/>
      <c r="AF311" s="57"/>
      <c r="AG311" s="57"/>
      <c r="AH311" s="57"/>
      <c r="AI311" s="57"/>
      <c r="AJ311" s="57"/>
      <c r="AK311" s="57"/>
      <c r="AL311" s="57"/>
      <c r="AM311" s="57"/>
      <c r="AN311" s="57"/>
      <c r="AO311" s="57"/>
      <c r="AP311" s="57"/>
      <c r="AQ311" s="57"/>
      <c r="AR311" s="57"/>
      <c r="AS311" s="57"/>
      <c r="AT311" s="57"/>
      <c r="AU311" s="57"/>
      <c r="AV311" s="57"/>
      <c r="AW311" s="57"/>
      <c r="AX311" s="57"/>
    </row>
    <row r="312" spans="1:50" ht="15.75" customHeight="1">
      <c r="A312" s="770"/>
      <c r="B312" s="57"/>
      <c r="C312" s="57"/>
      <c r="D312" s="57"/>
      <c r="E312" s="3"/>
      <c r="F312" s="57"/>
      <c r="G312" s="57"/>
      <c r="H312" s="57"/>
      <c r="I312" s="57"/>
      <c r="J312" s="57"/>
      <c r="K312" s="57"/>
      <c r="L312" s="57"/>
      <c r="M312" s="57"/>
      <c r="N312" s="57"/>
      <c r="O312" s="57"/>
      <c r="P312" s="57"/>
      <c r="Q312" s="57"/>
      <c r="R312" s="57"/>
      <c r="S312" s="57"/>
      <c r="T312" s="57"/>
      <c r="U312" s="57"/>
      <c r="V312" s="57"/>
      <c r="W312" s="57"/>
      <c r="X312" s="57"/>
      <c r="Y312" s="57"/>
      <c r="Z312" s="3"/>
      <c r="AA312" s="57"/>
      <c r="AB312" s="175"/>
      <c r="AC312" s="175"/>
      <c r="AD312" s="175"/>
      <c r="AE312" s="175"/>
      <c r="AF312" s="57"/>
      <c r="AG312" s="57"/>
      <c r="AH312" s="57"/>
      <c r="AI312" s="57"/>
      <c r="AJ312" s="57"/>
      <c r="AK312" s="57"/>
      <c r="AL312" s="57"/>
      <c r="AM312" s="57"/>
      <c r="AN312" s="57"/>
      <c r="AO312" s="57"/>
      <c r="AP312" s="57"/>
      <c r="AQ312" s="57"/>
      <c r="AR312" s="57"/>
      <c r="AS312" s="57"/>
      <c r="AT312" s="57"/>
      <c r="AU312" s="57"/>
      <c r="AV312" s="57"/>
      <c r="AW312" s="57"/>
      <c r="AX312" s="57"/>
    </row>
    <row r="313" spans="1:50" ht="15.75" customHeight="1">
      <c r="A313" s="770"/>
      <c r="B313" s="57"/>
      <c r="C313" s="57"/>
      <c r="D313" s="57"/>
      <c r="E313" s="3"/>
      <c r="F313" s="57"/>
      <c r="G313" s="57"/>
      <c r="H313" s="57"/>
      <c r="I313" s="57"/>
      <c r="J313" s="57"/>
      <c r="K313" s="57"/>
      <c r="L313" s="57"/>
      <c r="M313" s="57"/>
      <c r="N313" s="57"/>
      <c r="O313" s="57"/>
      <c r="P313" s="57"/>
      <c r="Q313" s="57"/>
      <c r="R313" s="57"/>
      <c r="S313" s="57"/>
      <c r="T313" s="57"/>
      <c r="U313" s="57"/>
      <c r="V313" s="57"/>
      <c r="W313" s="57"/>
      <c r="X313" s="57"/>
      <c r="Y313" s="57"/>
      <c r="Z313" s="3"/>
      <c r="AA313" s="57"/>
      <c r="AB313" s="175"/>
      <c r="AC313" s="175"/>
      <c r="AD313" s="175"/>
      <c r="AE313" s="175"/>
      <c r="AF313" s="57"/>
      <c r="AG313" s="57"/>
      <c r="AH313" s="57"/>
      <c r="AI313" s="57"/>
      <c r="AJ313" s="57"/>
      <c r="AK313" s="57"/>
      <c r="AL313" s="57"/>
      <c r="AM313" s="57"/>
      <c r="AN313" s="57"/>
      <c r="AO313" s="57"/>
      <c r="AP313" s="57"/>
      <c r="AQ313" s="57"/>
      <c r="AR313" s="57"/>
      <c r="AS313" s="57"/>
      <c r="AT313" s="57"/>
      <c r="AU313" s="57"/>
      <c r="AV313" s="57"/>
      <c r="AW313" s="57"/>
      <c r="AX313" s="57"/>
    </row>
    <row r="314" spans="1:50" ht="15.75" customHeight="1">
      <c r="A314" s="770"/>
      <c r="B314" s="57"/>
      <c r="C314" s="57"/>
      <c r="D314" s="57"/>
      <c r="E314" s="3"/>
      <c r="F314" s="57"/>
      <c r="G314" s="57"/>
      <c r="H314" s="57"/>
      <c r="I314" s="57"/>
      <c r="J314" s="57"/>
      <c r="K314" s="57"/>
      <c r="L314" s="57"/>
      <c r="M314" s="57"/>
      <c r="N314" s="57"/>
      <c r="O314" s="57"/>
      <c r="P314" s="57"/>
      <c r="Q314" s="57"/>
      <c r="R314" s="57"/>
      <c r="S314" s="57"/>
      <c r="T314" s="57"/>
      <c r="U314" s="57"/>
      <c r="V314" s="57"/>
      <c r="W314" s="57"/>
      <c r="X314" s="57"/>
      <c r="Y314" s="57"/>
      <c r="Z314" s="3"/>
      <c r="AA314" s="57"/>
      <c r="AB314" s="175"/>
      <c r="AC314" s="175"/>
      <c r="AD314" s="175"/>
      <c r="AE314" s="175"/>
      <c r="AF314" s="57"/>
      <c r="AG314" s="57"/>
      <c r="AH314" s="57"/>
      <c r="AI314" s="57"/>
      <c r="AJ314" s="57"/>
      <c r="AK314" s="57"/>
      <c r="AL314" s="57"/>
      <c r="AM314" s="57"/>
      <c r="AN314" s="57"/>
      <c r="AO314" s="57"/>
      <c r="AP314" s="57"/>
      <c r="AQ314" s="57"/>
      <c r="AR314" s="57"/>
      <c r="AS314" s="57"/>
      <c r="AT314" s="57"/>
      <c r="AU314" s="57"/>
      <c r="AV314" s="57"/>
      <c r="AW314" s="57"/>
      <c r="AX314" s="57"/>
    </row>
    <row r="315" spans="1:50" ht="15.75" customHeight="1">
      <c r="A315" s="770"/>
      <c r="B315" s="57"/>
      <c r="C315" s="57"/>
      <c r="D315" s="57"/>
      <c r="E315" s="3"/>
      <c r="F315" s="57"/>
      <c r="G315" s="57"/>
      <c r="H315" s="57"/>
      <c r="I315" s="57"/>
      <c r="J315" s="57"/>
      <c r="K315" s="57"/>
      <c r="L315" s="57"/>
      <c r="M315" s="57"/>
      <c r="N315" s="57"/>
      <c r="O315" s="57"/>
      <c r="P315" s="57"/>
      <c r="Q315" s="57"/>
      <c r="R315" s="57"/>
      <c r="S315" s="57"/>
      <c r="T315" s="57"/>
      <c r="U315" s="57"/>
      <c r="V315" s="57"/>
      <c r="W315" s="57"/>
      <c r="X315" s="57"/>
      <c r="Y315" s="57"/>
      <c r="Z315" s="3"/>
      <c r="AA315" s="57"/>
      <c r="AB315" s="175"/>
      <c r="AC315" s="175"/>
      <c r="AD315" s="175"/>
      <c r="AE315" s="175"/>
      <c r="AF315" s="57"/>
      <c r="AG315" s="57"/>
      <c r="AH315" s="57"/>
      <c r="AI315" s="57"/>
      <c r="AJ315" s="57"/>
      <c r="AK315" s="57"/>
      <c r="AL315" s="57"/>
      <c r="AM315" s="57"/>
      <c r="AN315" s="57"/>
      <c r="AO315" s="57"/>
      <c r="AP315" s="57"/>
      <c r="AQ315" s="57"/>
      <c r="AR315" s="57"/>
      <c r="AS315" s="57"/>
      <c r="AT315" s="57"/>
      <c r="AU315" s="57"/>
      <c r="AV315" s="57"/>
      <c r="AW315" s="57"/>
      <c r="AX315" s="57"/>
    </row>
    <row r="316" spans="1:50" ht="15.75" customHeight="1">
      <c r="A316" s="770"/>
      <c r="B316" s="57"/>
      <c r="C316" s="57"/>
      <c r="D316" s="57"/>
      <c r="E316" s="3"/>
      <c r="F316" s="57"/>
      <c r="G316" s="57"/>
      <c r="H316" s="57"/>
      <c r="I316" s="57"/>
      <c r="J316" s="57"/>
      <c r="K316" s="57"/>
      <c r="L316" s="57"/>
      <c r="M316" s="57"/>
      <c r="N316" s="57"/>
      <c r="O316" s="57"/>
      <c r="P316" s="57"/>
      <c r="Q316" s="57"/>
      <c r="R316" s="57"/>
      <c r="S316" s="57"/>
      <c r="T316" s="57"/>
      <c r="U316" s="57"/>
      <c r="V316" s="57"/>
      <c r="W316" s="57"/>
      <c r="X316" s="57"/>
      <c r="Y316" s="57"/>
      <c r="Z316" s="3"/>
      <c r="AA316" s="57"/>
      <c r="AB316" s="175"/>
      <c r="AC316" s="175"/>
      <c r="AD316" s="175"/>
      <c r="AE316" s="175"/>
      <c r="AF316" s="57"/>
      <c r="AG316" s="57"/>
      <c r="AH316" s="57"/>
      <c r="AI316" s="57"/>
      <c r="AJ316" s="57"/>
      <c r="AK316" s="57"/>
      <c r="AL316" s="57"/>
      <c r="AM316" s="57"/>
      <c r="AN316" s="57"/>
      <c r="AO316" s="57"/>
      <c r="AP316" s="57"/>
      <c r="AQ316" s="57"/>
      <c r="AR316" s="57"/>
      <c r="AS316" s="57"/>
      <c r="AT316" s="57"/>
      <c r="AU316" s="57"/>
      <c r="AV316" s="57"/>
      <c r="AW316" s="57"/>
      <c r="AX316" s="57"/>
    </row>
    <row r="317" spans="1:50" ht="15.75" customHeight="1">
      <c r="A317" s="770"/>
      <c r="B317" s="57"/>
      <c r="C317" s="57"/>
      <c r="D317" s="57"/>
      <c r="E317" s="3"/>
      <c r="F317" s="57"/>
      <c r="G317" s="57"/>
      <c r="H317" s="57"/>
      <c r="I317" s="57"/>
      <c r="J317" s="57"/>
      <c r="K317" s="57"/>
      <c r="L317" s="57"/>
      <c r="M317" s="57"/>
      <c r="N317" s="57"/>
      <c r="O317" s="57"/>
      <c r="P317" s="57"/>
      <c r="Q317" s="57"/>
      <c r="R317" s="57"/>
      <c r="S317" s="57"/>
      <c r="T317" s="57"/>
      <c r="U317" s="57"/>
      <c r="V317" s="57"/>
      <c r="W317" s="57"/>
      <c r="X317" s="57"/>
      <c r="Y317" s="57"/>
      <c r="Z317" s="3"/>
      <c r="AA317" s="57"/>
      <c r="AB317" s="175"/>
      <c r="AC317" s="175"/>
      <c r="AD317" s="175"/>
      <c r="AE317" s="175"/>
      <c r="AF317" s="57"/>
      <c r="AG317" s="57"/>
      <c r="AH317" s="57"/>
      <c r="AI317" s="57"/>
      <c r="AJ317" s="57"/>
      <c r="AK317" s="57"/>
      <c r="AL317" s="57"/>
      <c r="AM317" s="57"/>
      <c r="AN317" s="57"/>
      <c r="AO317" s="57"/>
      <c r="AP317" s="57"/>
      <c r="AQ317" s="57"/>
      <c r="AR317" s="57"/>
      <c r="AS317" s="57"/>
      <c r="AT317" s="57"/>
      <c r="AU317" s="57"/>
      <c r="AV317" s="57"/>
      <c r="AW317" s="57"/>
      <c r="AX317" s="57"/>
    </row>
    <row r="318" spans="1:50" ht="15.75" customHeight="1">
      <c r="A318" s="770"/>
      <c r="B318" s="57"/>
      <c r="C318" s="57"/>
      <c r="D318" s="57"/>
      <c r="E318" s="3"/>
      <c r="F318" s="57"/>
      <c r="G318" s="57"/>
      <c r="H318" s="57"/>
      <c r="I318" s="57"/>
      <c r="J318" s="57"/>
      <c r="K318" s="57"/>
      <c r="L318" s="57"/>
      <c r="M318" s="57"/>
      <c r="N318" s="57"/>
      <c r="O318" s="57"/>
      <c r="P318" s="57"/>
      <c r="Q318" s="57"/>
      <c r="R318" s="57"/>
      <c r="S318" s="57"/>
      <c r="T318" s="57"/>
      <c r="U318" s="57"/>
      <c r="V318" s="57"/>
      <c r="W318" s="57"/>
      <c r="X318" s="57"/>
      <c r="Y318" s="57"/>
      <c r="Z318" s="3"/>
      <c r="AA318" s="57"/>
      <c r="AB318" s="175"/>
      <c r="AC318" s="175"/>
      <c r="AD318" s="175"/>
      <c r="AE318" s="175"/>
      <c r="AF318" s="57"/>
      <c r="AG318" s="57"/>
      <c r="AH318" s="57"/>
      <c r="AI318" s="57"/>
      <c r="AJ318" s="57"/>
      <c r="AK318" s="57"/>
      <c r="AL318" s="57"/>
      <c r="AM318" s="57"/>
      <c r="AN318" s="57"/>
      <c r="AO318" s="57"/>
      <c r="AP318" s="57"/>
      <c r="AQ318" s="57"/>
      <c r="AR318" s="57"/>
      <c r="AS318" s="57"/>
      <c r="AT318" s="57"/>
      <c r="AU318" s="57"/>
      <c r="AV318" s="57"/>
      <c r="AW318" s="57"/>
      <c r="AX318" s="57"/>
    </row>
    <row r="319" spans="1:50" ht="15.75" customHeight="1">
      <c r="A319" s="770"/>
      <c r="B319" s="57"/>
      <c r="C319" s="57"/>
      <c r="D319" s="57"/>
      <c r="E319" s="3"/>
      <c r="F319" s="57"/>
      <c r="G319" s="57"/>
      <c r="H319" s="57"/>
      <c r="I319" s="57"/>
      <c r="J319" s="57"/>
      <c r="K319" s="57"/>
      <c r="L319" s="57"/>
      <c r="M319" s="57"/>
      <c r="N319" s="57"/>
      <c r="O319" s="57"/>
      <c r="P319" s="57"/>
      <c r="Q319" s="57"/>
      <c r="R319" s="57"/>
      <c r="S319" s="57"/>
      <c r="T319" s="57"/>
      <c r="U319" s="57"/>
      <c r="V319" s="57"/>
      <c r="W319" s="57"/>
      <c r="X319" s="57"/>
      <c r="Y319" s="57"/>
      <c r="Z319" s="3"/>
      <c r="AA319" s="57"/>
      <c r="AB319" s="175"/>
      <c r="AC319" s="175"/>
      <c r="AD319" s="175"/>
      <c r="AE319" s="175"/>
      <c r="AF319" s="57"/>
      <c r="AG319" s="57"/>
      <c r="AH319" s="57"/>
      <c r="AI319" s="57"/>
      <c r="AJ319" s="57"/>
      <c r="AK319" s="57"/>
      <c r="AL319" s="57"/>
      <c r="AM319" s="57"/>
      <c r="AN319" s="57"/>
      <c r="AO319" s="57"/>
      <c r="AP319" s="57"/>
      <c r="AQ319" s="57"/>
      <c r="AR319" s="57"/>
      <c r="AS319" s="57"/>
      <c r="AT319" s="57"/>
      <c r="AU319" s="57"/>
      <c r="AV319" s="57"/>
      <c r="AW319" s="57"/>
      <c r="AX319" s="57"/>
    </row>
    <row r="320" spans="1:50" ht="15.75" customHeight="1">
      <c r="A320" s="770"/>
      <c r="B320" s="57"/>
      <c r="C320" s="57"/>
      <c r="D320" s="57"/>
      <c r="E320" s="3"/>
      <c r="F320" s="57"/>
      <c r="G320" s="57"/>
      <c r="H320" s="57"/>
      <c r="I320" s="57"/>
      <c r="J320" s="57"/>
      <c r="K320" s="57"/>
      <c r="L320" s="57"/>
      <c r="M320" s="57"/>
      <c r="N320" s="57"/>
      <c r="O320" s="57"/>
      <c r="P320" s="57"/>
      <c r="Q320" s="57"/>
      <c r="R320" s="57"/>
      <c r="S320" s="57"/>
      <c r="T320" s="57"/>
      <c r="U320" s="57"/>
      <c r="V320" s="57"/>
      <c r="W320" s="57"/>
      <c r="X320" s="57"/>
      <c r="Y320" s="57"/>
      <c r="Z320" s="3"/>
      <c r="AA320" s="57"/>
      <c r="AB320" s="175"/>
      <c r="AC320" s="175"/>
      <c r="AD320" s="175"/>
      <c r="AE320" s="175"/>
      <c r="AF320" s="57"/>
      <c r="AG320" s="57"/>
      <c r="AH320" s="57"/>
      <c r="AI320" s="57"/>
      <c r="AJ320" s="57"/>
      <c r="AK320" s="57"/>
      <c r="AL320" s="57"/>
      <c r="AM320" s="57"/>
      <c r="AN320" s="57"/>
      <c r="AO320" s="57"/>
      <c r="AP320" s="57"/>
      <c r="AQ320" s="57"/>
      <c r="AR320" s="57"/>
      <c r="AS320" s="57"/>
      <c r="AT320" s="57"/>
      <c r="AU320" s="57"/>
      <c r="AV320" s="57"/>
      <c r="AW320" s="57"/>
      <c r="AX320" s="57"/>
    </row>
    <row r="321" spans="1:50" ht="15.75" customHeight="1">
      <c r="A321" s="770"/>
      <c r="B321" s="57"/>
      <c r="C321" s="57"/>
      <c r="D321" s="57"/>
      <c r="E321" s="3"/>
      <c r="F321" s="57"/>
      <c r="G321" s="57"/>
      <c r="H321" s="57"/>
      <c r="I321" s="57"/>
      <c r="J321" s="57"/>
      <c r="K321" s="57"/>
      <c r="L321" s="57"/>
      <c r="M321" s="57"/>
      <c r="N321" s="57"/>
      <c r="O321" s="57"/>
      <c r="P321" s="57"/>
      <c r="Q321" s="57"/>
      <c r="R321" s="57"/>
      <c r="S321" s="57"/>
      <c r="T321" s="57"/>
      <c r="U321" s="57"/>
      <c r="V321" s="57"/>
      <c r="W321" s="57"/>
      <c r="X321" s="57"/>
      <c r="Y321" s="57"/>
      <c r="Z321" s="3"/>
      <c r="AA321" s="57"/>
      <c r="AB321" s="175"/>
      <c r="AC321" s="175"/>
      <c r="AD321" s="175"/>
      <c r="AE321" s="175"/>
      <c r="AF321" s="57"/>
      <c r="AG321" s="57"/>
      <c r="AH321" s="57"/>
      <c r="AI321" s="57"/>
      <c r="AJ321" s="57"/>
      <c r="AK321" s="57"/>
      <c r="AL321" s="57"/>
      <c r="AM321" s="57"/>
      <c r="AN321" s="57"/>
      <c r="AO321" s="57"/>
      <c r="AP321" s="57"/>
      <c r="AQ321" s="57"/>
      <c r="AR321" s="57"/>
      <c r="AS321" s="57"/>
      <c r="AT321" s="57"/>
      <c r="AU321" s="57"/>
      <c r="AV321" s="57"/>
      <c r="AW321" s="57"/>
      <c r="AX321" s="57"/>
    </row>
    <row r="322" spans="1:50" ht="15.75" customHeight="1">
      <c r="A322" s="770"/>
      <c r="B322" s="57"/>
      <c r="C322" s="57"/>
      <c r="D322" s="57"/>
      <c r="E322" s="3"/>
      <c r="F322" s="57"/>
      <c r="G322" s="57"/>
      <c r="H322" s="57"/>
      <c r="I322" s="57"/>
      <c r="J322" s="57"/>
      <c r="K322" s="57"/>
      <c r="L322" s="57"/>
      <c r="M322" s="57"/>
      <c r="N322" s="57"/>
      <c r="O322" s="57"/>
      <c r="P322" s="57"/>
      <c r="Q322" s="57"/>
      <c r="R322" s="57"/>
      <c r="S322" s="57"/>
      <c r="T322" s="57"/>
      <c r="U322" s="57"/>
      <c r="V322" s="57"/>
      <c r="W322" s="57"/>
      <c r="X322" s="57"/>
      <c r="Y322" s="57"/>
      <c r="Z322" s="3"/>
      <c r="AA322" s="57"/>
      <c r="AB322" s="175"/>
      <c r="AC322" s="175"/>
      <c r="AD322" s="175"/>
      <c r="AE322" s="175"/>
      <c r="AF322" s="57"/>
      <c r="AG322" s="57"/>
      <c r="AH322" s="57"/>
      <c r="AI322" s="57"/>
      <c r="AJ322" s="57"/>
      <c r="AK322" s="57"/>
      <c r="AL322" s="57"/>
      <c r="AM322" s="57"/>
      <c r="AN322" s="57"/>
      <c r="AO322" s="57"/>
      <c r="AP322" s="57"/>
      <c r="AQ322" s="57"/>
      <c r="AR322" s="57"/>
      <c r="AS322" s="57"/>
      <c r="AT322" s="57"/>
      <c r="AU322" s="57"/>
      <c r="AV322" s="57"/>
      <c r="AW322" s="57"/>
      <c r="AX322" s="57"/>
    </row>
    <row r="323" spans="1:50" ht="15.75" customHeight="1">
      <c r="A323" s="770"/>
      <c r="B323" s="57"/>
      <c r="C323" s="57"/>
      <c r="D323" s="57"/>
      <c r="E323" s="3"/>
      <c r="F323" s="57"/>
      <c r="G323" s="57"/>
      <c r="H323" s="57"/>
      <c r="I323" s="57"/>
      <c r="J323" s="57"/>
      <c r="K323" s="57"/>
      <c r="L323" s="57"/>
      <c r="M323" s="57"/>
      <c r="N323" s="57"/>
      <c r="O323" s="57"/>
      <c r="P323" s="57"/>
      <c r="Q323" s="57"/>
      <c r="R323" s="57"/>
      <c r="S323" s="57"/>
      <c r="T323" s="57"/>
      <c r="U323" s="57"/>
      <c r="V323" s="57"/>
      <c r="W323" s="57"/>
      <c r="X323" s="57"/>
      <c r="Y323" s="57"/>
      <c r="Z323" s="3"/>
      <c r="AA323" s="57"/>
      <c r="AB323" s="175"/>
      <c r="AC323" s="175"/>
      <c r="AD323" s="175"/>
      <c r="AE323" s="175"/>
      <c r="AF323" s="57"/>
      <c r="AG323" s="57"/>
      <c r="AH323" s="57"/>
      <c r="AI323" s="57"/>
      <c r="AJ323" s="57"/>
      <c r="AK323" s="57"/>
      <c r="AL323" s="57"/>
      <c r="AM323" s="57"/>
      <c r="AN323" s="57"/>
      <c r="AO323" s="57"/>
      <c r="AP323" s="57"/>
      <c r="AQ323" s="57"/>
      <c r="AR323" s="57"/>
      <c r="AS323" s="57"/>
      <c r="AT323" s="57"/>
      <c r="AU323" s="57"/>
      <c r="AV323" s="57"/>
      <c r="AW323" s="57"/>
      <c r="AX323" s="57"/>
    </row>
    <row r="324" spans="1:50" ht="15.75" customHeight="1">
      <c r="A324" s="770"/>
      <c r="B324" s="57"/>
      <c r="C324" s="57"/>
      <c r="D324" s="57"/>
      <c r="E324" s="3"/>
      <c r="F324" s="57"/>
      <c r="G324" s="57"/>
      <c r="H324" s="57"/>
      <c r="I324" s="57"/>
      <c r="J324" s="57"/>
      <c r="K324" s="57"/>
      <c r="L324" s="57"/>
      <c r="M324" s="57"/>
      <c r="N324" s="57"/>
      <c r="O324" s="57"/>
      <c r="P324" s="57"/>
      <c r="Q324" s="57"/>
      <c r="R324" s="57"/>
      <c r="S324" s="57"/>
      <c r="T324" s="57"/>
      <c r="U324" s="57"/>
      <c r="V324" s="57"/>
      <c r="W324" s="57"/>
      <c r="X324" s="57"/>
      <c r="Y324" s="57"/>
      <c r="Z324" s="3"/>
      <c r="AA324" s="57"/>
      <c r="AB324" s="175"/>
      <c r="AC324" s="175"/>
      <c r="AD324" s="175"/>
      <c r="AE324" s="175"/>
      <c r="AF324" s="57"/>
      <c r="AG324" s="57"/>
      <c r="AH324" s="57"/>
      <c r="AI324" s="57"/>
      <c r="AJ324" s="57"/>
      <c r="AK324" s="57"/>
      <c r="AL324" s="57"/>
      <c r="AM324" s="57"/>
      <c r="AN324" s="57"/>
      <c r="AO324" s="57"/>
      <c r="AP324" s="57"/>
      <c r="AQ324" s="57"/>
      <c r="AR324" s="57"/>
      <c r="AS324" s="57"/>
      <c r="AT324" s="57"/>
      <c r="AU324" s="57"/>
      <c r="AV324" s="57"/>
      <c r="AW324" s="57"/>
      <c r="AX324" s="57"/>
    </row>
    <row r="325" spans="1:50" ht="15.75" customHeight="1">
      <c r="A325" s="770"/>
      <c r="B325" s="57"/>
      <c r="C325" s="57"/>
      <c r="D325" s="57"/>
      <c r="E325" s="3"/>
      <c r="F325" s="57"/>
      <c r="G325" s="57"/>
      <c r="H325" s="57"/>
      <c r="I325" s="57"/>
      <c r="J325" s="57"/>
      <c r="K325" s="57"/>
      <c r="L325" s="57"/>
      <c r="M325" s="57"/>
      <c r="N325" s="57"/>
      <c r="O325" s="57"/>
      <c r="P325" s="57"/>
      <c r="Q325" s="57"/>
      <c r="R325" s="57"/>
      <c r="S325" s="57"/>
      <c r="T325" s="57"/>
      <c r="U325" s="57"/>
      <c r="V325" s="57"/>
      <c r="W325" s="57"/>
      <c r="X325" s="57"/>
      <c r="Y325" s="57"/>
      <c r="Z325" s="3"/>
      <c r="AA325" s="57"/>
      <c r="AB325" s="175"/>
      <c r="AC325" s="175"/>
      <c r="AD325" s="175"/>
      <c r="AE325" s="175"/>
      <c r="AF325" s="57"/>
      <c r="AG325" s="57"/>
      <c r="AH325" s="57"/>
      <c r="AI325" s="57"/>
      <c r="AJ325" s="57"/>
      <c r="AK325" s="57"/>
      <c r="AL325" s="57"/>
      <c r="AM325" s="57"/>
      <c r="AN325" s="57"/>
      <c r="AO325" s="57"/>
      <c r="AP325" s="57"/>
      <c r="AQ325" s="57"/>
      <c r="AR325" s="57"/>
      <c r="AS325" s="57"/>
      <c r="AT325" s="57"/>
      <c r="AU325" s="57"/>
      <c r="AV325" s="57"/>
      <c r="AW325" s="57"/>
      <c r="AX325" s="57"/>
    </row>
    <row r="326" spans="1:50" ht="15.75" customHeight="1">
      <c r="A326" s="770"/>
      <c r="B326" s="57"/>
      <c r="C326" s="57"/>
      <c r="D326" s="57"/>
      <c r="E326" s="3"/>
      <c r="F326" s="57"/>
      <c r="G326" s="57"/>
      <c r="H326" s="57"/>
      <c r="I326" s="57"/>
      <c r="J326" s="57"/>
      <c r="K326" s="57"/>
      <c r="L326" s="57"/>
      <c r="M326" s="57"/>
      <c r="N326" s="57"/>
      <c r="O326" s="57"/>
      <c r="P326" s="57"/>
      <c r="Q326" s="57"/>
      <c r="R326" s="57"/>
      <c r="S326" s="57"/>
      <c r="T326" s="57"/>
      <c r="U326" s="57"/>
      <c r="V326" s="57"/>
      <c r="W326" s="57"/>
      <c r="X326" s="57"/>
      <c r="Y326" s="57"/>
      <c r="Z326" s="3"/>
      <c r="AA326" s="57"/>
      <c r="AB326" s="175"/>
      <c r="AC326" s="175"/>
      <c r="AD326" s="175"/>
      <c r="AE326" s="175"/>
      <c r="AF326" s="57"/>
      <c r="AG326" s="57"/>
      <c r="AH326" s="57"/>
      <c r="AI326" s="57"/>
      <c r="AJ326" s="57"/>
      <c r="AK326" s="57"/>
      <c r="AL326" s="57"/>
      <c r="AM326" s="57"/>
      <c r="AN326" s="57"/>
      <c r="AO326" s="57"/>
      <c r="AP326" s="57"/>
      <c r="AQ326" s="57"/>
      <c r="AR326" s="57"/>
      <c r="AS326" s="57"/>
      <c r="AT326" s="57"/>
      <c r="AU326" s="57"/>
      <c r="AV326" s="57"/>
      <c r="AW326" s="57"/>
      <c r="AX326" s="57"/>
    </row>
    <row r="327" spans="1:50" ht="15.75" customHeight="1">
      <c r="A327" s="770"/>
      <c r="B327" s="57"/>
      <c r="C327" s="57"/>
      <c r="D327" s="57"/>
      <c r="E327" s="3"/>
      <c r="F327" s="57"/>
      <c r="G327" s="57"/>
      <c r="H327" s="57"/>
      <c r="I327" s="57"/>
      <c r="J327" s="57"/>
      <c r="K327" s="57"/>
      <c r="L327" s="57"/>
      <c r="M327" s="57"/>
      <c r="N327" s="57"/>
      <c r="O327" s="57"/>
      <c r="P327" s="57"/>
      <c r="Q327" s="57"/>
      <c r="R327" s="57"/>
      <c r="S327" s="57"/>
      <c r="T327" s="57"/>
      <c r="U327" s="57"/>
      <c r="V327" s="57"/>
      <c r="W327" s="57"/>
      <c r="X327" s="57"/>
      <c r="Y327" s="57"/>
      <c r="Z327" s="3"/>
      <c r="AA327" s="57"/>
      <c r="AB327" s="175"/>
      <c r="AC327" s="175"/>
      <c r="AD327" s="175"/>
      <c r="AE327" s="175"/>
      <c r="AF327" s="57"/>
      <c r="AG327" s="57"/>
      <c r="AH327" s="57"/>
      <c r="AI327" s="57"/>
      <c r="AJ327" s="57"/>
      <c r="AK327" s="57"/>
      <c r="AL327" s="57"/>
      <c r="AM327" s="57"/>
      <c r="AN327" s="57"/>
      <c r="AO327" s="57"/>
      <c r="AP327" s="57"/>
      <c r="AQ327" s="57"/>
      <c r="AR327" s="57"/>
      <c r="AS327" s="57"/>
      <c r="AT327" s="57"/>
      <c r="AU327" s="57"/>
      <c r="AV327" s="57"/>
      <c r="AW327" s="57"/>
      <c r="AX327" s="57"/>
    </row>
    <row r="328" spans="1:50" ht="15.75" customHeight="1">
      <c r="A328" s="770"/>
      <c r="B328" s="57"/>
      <c r="C328" s="57"/>
      <c r="D328" s="57"/>
      <c r="E328" s="3"/>
      <c r="F328" s="57"/>
      <c r="G328" s="57"/>
      <c r="H328" s="57"/>
      <c r="I328" s="57"/>
      <c r="J328" s="57"/>
      <c r="K328" s="57"/>
      <c r="L328" s="57"/>
      <c r="M328" s="57"/>
      <c r="N328" s="57"/>
      <c r="O328" s="57"/>
      <c r="P328" s="57"/>
      <c r="Q328" s="57"/>
      <c r="R328" s="57"/>
      <c r="S328" s="57"/>
      <c r="T328" s="57"/>
      <c r="U328" s="57"/>
      <c r="V328" s="57"/>
      <c r="W328" s="57"/>
      <c r="X328" s="57"/>
      <c r="Y328" s="57"/>
      <c r="Z328" s="3"/>
      <c r="AA328" s="57"/>
      <c r="AB328" s="175"/>
      <c r="AC328" s="175"/>
      <c r="AD328" s="175"/>
      <c r="AE328" s="175"/>
      <c r="AF328" s="57"/>
      <c r="AG328" s="57"/>
      <c r="AH328" s="57"/>
      <c r="AI328" s="57"/>
      <c r="AJ328" s="57"/>
      <c r="AK328" s="57"/>
      <c r="AL328" s="57"/>
      <c r="AM328" s="57"/>
      <c r="AN328" s="57"/>
      <c r="AO328" s="57"/>
      <c r="AP328" s="57"/>
      <c r="AQ328" s="57"/>
      <c r="AR328" s="57"/>
      <c r="AS328" s="57"/>
      <c r="AT328" s="57"/>
      <c r="AU328" s="57"/>
      <c r="AV328" s="57"/>
      <c r="AW328" s="57"/>
      <c r="AX328" s="57"/>
    </row>
    <row r="329" spans="1:50" ht="15.75" customHeight="1">
      <c r="A329" s="770"/>
      <c r="B329" s="57"/>
      <c r="C329" s="57"/>
      <c r="D329" s="57"/>
      <c r="E329" s="3"/>
      <c r="F329" s="57"/>
      <c r="G329" s="57"/>
      <c r="H329" s="57"/>
      <c r="I329" s="57"/>
      <c r="J329" s="57"/>
      <c r="K329" s="57"/>
      <c r="L329" s="57"/>
      <c r="M329" s="57"/>
      <c r="N329" s="57"/>
      <c r="O329" s="57"/>
      <c r="P329" s="57"/>
      <c r="Q329" s="57"/>
      <c r="R329" s="57"/>
      <c r="S329" s="57"/>
      <c r="T329" s="57"/>
      <c r="U329" s="57"/>
      <c r="V329" s="57"/>
      <c r="W329" s="57"/>
      <c r="X329" s="57"/>
      <c r="Y329" s="57"/>
      <c r="Z329" s="3"/>
      <c r="AA329" s="57"/>
      <c r="AB329" s="175"/>
      <c r="AC329" s="175"/>
      <c r="AD329" s="175"/>
      <c r="AE329" s="175"/>
      <c r="AF329" s="57"/>
      <c r="AG329" s="57"/>
      <c r="AH329" s="57"/>
      <c r="AI329" s="57"/>
      <c r="AJ329" s="57"/>
      <c r="AK329" s="57"/>
      <c r="AL329" s="57"/>
      <c r="AM329" s="57"/>
      <c r="AN329" s="57"/>
      <c r="AO329" s="57"/>
      <c r="AP329" s="57"/>
      <c r="AQ329" s="57"/>
      <c r="AR329" s="57"/>
      <c r="AS329" s="57"/>
      <c r="AT329" s="57"/>
      <c r="AU329" s="57"/>
      <c r="AV329" s="57"/>
      <c r="AW329" s="57"/>
      <c r="AX329" s="57"/>
    </row>
    <row r="330" spans="1:50" ht="15.75" customHeight="1">
      <c r="A330" s="770"/>
      <c r="B330" s="57"/>
      <c r="C330" s="57"/>
      <c r="D330" s="57"/>
      <c r="E330" s="3"/>
      <c r="F330" s="57"/>
      <c r="G330" s="57"/>
      <c r="H330" s="57"/>
      <c r="I330" s="57"/>
      <c r="J330" s="57"/>
      <c r="K330" s="57"/>
      <c r="L330" s="57"/>
      <c r="M330" s="57"/>
      <c r="N330" s="57"/>
      <c r="O330" s="57"/>
      <c r="P330" s="57"/>
      <c r="Q330" s="57"/>
      <c r="R330" s="57"/>
      <c r="S330" s="57"/>
      <c r="T330" s="57"/>
      <c r="U330" s="57"/>
      <c r="V330" s="57"/>
      <c r="W330" s="57"/>
      <c r="X330" s="57"/>
      <c r="Y330" s="57"/>
      <c r="Z330" s="3"/>
      <c r="AA330" s="57"/>
      <c r="AB330" s="175"/>
      <c r="AC330" s="175"/>
      <c r="AD330" s="175"/>
      <c r="AE330" s="175"/>
      <c r="AF330" s="57"/>
      <c r="AG330" s="57"/>
      <c r="AH330" s="57"/>
      <c r="AI330" s="57"/>
      <c r="AJ330" s="57"/>
      <c r="AK330" s="57"/>
      <c r="AL330" s="57"/>
      <c r="AM330" s="57"/>
      <c r="AN330" s="57"/>
      <c r="AO330" s="57"/>
      <c r="AP330" s="57"/>
      <c r="AQ330" s="57"/>
      <c r="AR330" s="57"/>
      <c r="AS330" s="57"/>
      <c r="AT330" s="57"/>
      <c r="AU330" s="57"/>
      <c r="AV330" s="57"/>
      <c r="AW330" s="57"/>
      <c r="AX330" s="57"/>
    </row>
    <row r="331" spans="1:50" ht="15.75" customHeight="1">
      <c r="A331" s="770"/>
      <c r="B331" s="57"/>
      <c r="C331" s="57"/>
      <c r="D331" s="57"/>
      <c r="E331" s="3"/>
      <c r="F331" s="57"/>
      <c r="G331" s="57"/>
      <c r="H331" s="57"/>
      <c r="I331" s="57"/>
      <c r="J331" s="57"/>
      <c r="K331" s="57"/>
      <c r="L331" s="57"/>
      <c r="M331" s="57"/>
      <c r="N331" s="57"/>
      <c r="O331" s="57"/>
      <c r="P331" s="57"/>
      <c r="Q331" s="57"/>
      <c r="R331" s="57"/>
      <c r="S331" s="57"/>
      <c r="T331" s="57"/>
      <c r="U331" s="57"/>
      <c r="V331" s="57"/>
      <c r="W331" s="57"/>
      <c r="X331" s="57"/>
      <c r="Y331" s="57"/>
      <c r="Z331" s="3"/>
      <c r="AA331" s="57"/>
      <c r="AB331" s="175"/>
      <c r="AC331" s="175"/>
      <c r="AD331" s="175"/>
      <c r="AE331" s="175"/>
      <c r="AF331" s="57"/>
      <c r="AG331" s="57"/>
      <c r="AH331" s="57"/>
      <c r="AI331" s="57"/>
      <c r="AJ331" s="57"/>
      <c r="AK331" s="57"/>
      <c r="AL331" s="57"/>
      <c r="AM331" s="57"/>
      <c r="AN331" s="57"/>
      <c r="AO331" s="57"/>
      <c r="AP331" s="57"/>
      <c r="AQ331" s="57"/>
      <c r="AR331" s="57"/>
      <c r="AS331" s="57"/>
      <c r="AT331" s="57"/>
      <c r="AU331" s="57"/>
      <c r="AV331" s="57"/>
      <c r="AW331" s="57"/>
      <c r="AX331" s="57"/>
    </row>
    <row r="332" spans="1:50" ht="15.75" customHeight="1">
      <c r="A332" s="770"/>
      <c r="B332" s="57"/>
      <c r="C332" s="57"/>
      <c r="D332" s="57"/>
      <c r="E332" s="3"/>
      <c r="F332" s="57"/>
      <c r="G332" s="57"/>
      <c r="H332" s="57"/>
      <c r="I332" s="57"/>
      <c r="J332" s="57"/>
      <c r="K332" s="57"/>
      <c r="L332" s="57"/>
      <c r="M332" s="57"/>
      <c r="N332" s="57"/>
      <c r="O332" s="57"/>
      <c r="P332" s="57"/>
      <c r="Q332" s="57"/>
      <c r="R332" s="57"/>
      <c r="S332" s="57"/>
      <c r="T332" s="57"/>
      <c r="U332" s="57"/>
      <c r="V332" s="57"/>
      <c r="W332" s="57"/>
      <c r="X332" s="57"/>
      <c r="Y332" s="57"/>
      <c r="Z332" s="3"/>
      <c r="AA332" s="57"/>
      <c r="AB332" s="175"/>
      <c r="AC332" s="175"/>
      <c r="AD332" s="175"/>
      <c r="AE332" s="175"/>
      <c r="AF332" s="57"/>
      <c r="AG332" s="57"/>
      <c r="AH332" s="57"/>
      <c r="AI332" s="57"/>
      <c r="AJ332" s="57"/>
      <c r="AK332" s="57"/>
      <c r="AL332" s="57"/>
      <c r="AM332" s="57"/>
      <c r="AN332" s="57"/>
      <c r="AO332" s="57"/>
      <c r="AP332" s="57"/>
      <c r="AQ332" s="57"/>
      <c r="AR332" s="57"/>
      <c r="AS332" s="57"/>
      <c r="AT332" s="57"/>
      <c r="AU332" s="57"/>
      <c r="AV332" s="57"/>
      <c r="AW332" s="57"/>
      <c r="AX332" s="57"/>
    </row>
    <row r="333" spans="1:50" ht="15.75" customHeight="1">
      <c r="A333" s="770"/>
      <c r="B333" s="57"/>
      <c r="C333" s="57"/>
      <c r="D333" s="57"/>
      <c r="E333" s="3"/>
      <c r="F333" s="57"/>
      <c r="G333" s="57"/>
      <c r="H333" s="57"/>
      <c r="I333" s="57"/>
      <c r="J333" s="57"/>
      <c r="K333" s="57"/>
      <c r="L333" s="57"/>
      <c r="M333" s="57"/>
      <c r="N333" s="57"/>
      <c r="O333" s="57"/>
      <c r="P333" s="57"/>
      <c r="Q333" s="57"/>
      <c r="R333" s="57"/>
      <c r="S333" s="57"/>
      <c r="T333" s="57"/>
      <c r="U333" s="57"/>
      <c r="V333" s="57"/>
      <c r="W333" s="57"/>
      <c r="X333" s="57"/>
      <c r="Y333" s="57"/>
      <c r="Z333" s="3"/>
      <c r="AA333" s="57"/>
      <c r="AB333" s="175"/>
      <c r="AC333" s="175"/>
      <c r="AD333" s="175"/>
      <c r="AE333" s="175"/>
      <c r="AF333" s="57"/>
      <c r="AG333" s="57"/>
      <c r="AH333" s="57"/>
      <c r="AI333" s="57"/>
      <c r="AJ333" s="57"/>
      <c r="AK333" s="57"/>
      <c r="AL333" s="57"/>
      <c r="AM333" s="57"/>
      <c r="AN333" s="57"/>
      <c r="AO333" s="57"/>
      <c r="AP333" s="57"/>
      <c r="AQ333" s="57"/>
      <c r="AR333" s="57"/>
      <c r="AS333" s="57"/>
      <c r="AT333" s="57"/>
      <c r="AU333" s="57"/>
      <c r="AV333" s="57"/>
      <c r="AW333" s="57"/>
      <c r="AX333" s="57"/>
    </row>
    <row r="334" spans="1:50" ht="15.75" customHeight="1">
      <c r="A334" s="770"/>
      <c r="B334" s="57"/>
      <c r="C334" s="57"/>
      <c r="D334" s="57"/>
      <c r="E334" s="3"/>
      <c r="F334" s="57"/>
      <c r="G334" s="57"/>
      <c r="H334" s="57"/>
      <c r="I334" s="57"/>
      <c r="J334" s="57"/>
      <c r="K334" s="57"/>
      <c r="L334" s="57"/>
      <c r="M334" s="57"/>
      <c r="N334" s="57"/>
      <c r="O334" s="57"/>
      <c r="P334" s="57"/>
      <c r="Q334" s="57"/>
      <c r="R334" s="57"/>
      <c r="S334" s="57"/>
      <c r="T334" s="57"/>
      <c r="U334" s="57"/>
      <c r="V334" s="57"/>
      <c r="W334" s="57"/>
      <c r="X334" s="57"/>
      <c r="Y334" s="57"/>
      <c r="Z334" s="3"/>
      <c r="AA334" s="57"/>
      <c r="AB334" s="175"/>
      <c r="AC334" s="175"/>
      <c r="AD334" s="175"/>
      <c r="AE334" s="175"/>
      <c r="AF334" s="57"/>
      <c r="AG334" s="57"/>
      <c r="AH334" s="57"/>
      <c r="AI334" s="57"/>
      <c r="AJ334" s="57"/>
      <c r="AK334" s="57"/>
      <c r="AL334" s="57"/>
      <c r="AM334" s="57"/>
      <c r="AN334" s="57"/>
      <c r="AO334" s="57"/>
      <c r="AP334" s="57"/>
      <c r="AQ334" s="57"/>
      <c r="AR334" s="57"/>
      <c r="AS334" s="57"/>
      <c r="AT334" s="57"/>
      <c r="AU334" s="57"/>
      <c r="AV334" s="57"/>
      <c r="AW334" s="57"/>
      <c r="AX334" s="57"/>
    </row>
    <row r="335" spans="1:50" ht="15.75" customHeight="1">
      <c r="A335" s="770"/>
      <c r="B335" s="57"/>
      <c r="C335" s="57"/>
      <c r="D335" s="57"/>
      <c r="E335" s="3"/>
      <c r="F335" s="57"/>
      <c r="G335" s="57"/>
      <c r="H335" s="57"/>
      <c r="I335" s="57"/>
      <c r="J335" s="57"/>
      <c r="K335" s="57"/>
      <c r="L335" s="57"/>
      <c r="M335" s="57"/>
      <c r="N335" s="57"/>
      <c r="O335" s="57"/>
      <c r="P335" s="57"/>
      <c r="Q335" s="57"/>
      <c r="R335" s="57"/>
      <c r="S335" s="57"/>
      <c r="T335" s="57"/>
      <c r="U335" s="57"/>
      <c r="V335" s="57"/>
      <c r="W335" s="57"/>
      <c r="X335" s="57"/>
      <c r="Y335" s="57"/>
      <c r="Z335" s="3"/>
      <c r="AA335" s="57"/>
      <c r="AB335" s="175"/>
      <c r="AC335" s="175"/>
      <c r="AD335" s="175"/>
      <c r="AE335" s="175"/>
      <c r="AF335" s="57"/>
      <c r="AG335" s="57"/>
      <c r="AH335" s="57"/>
      <c r="AI335" s="57"/>
      <c r="AJ335" s="57"/>
      <c r="AK335" s="57"/>
      <c r="AL335" s="57"/>
      <c r="AM335" s="57"/>
      <c r="AN335" s="57"/>
      <c r="AO335" s="57"/>
      <c r="AP335" s="57"/>
      <c r="AQ335" s="57"/>
      <c r="AR335" s="57"/>
      <c r="AS335" s="57"/>
      <c r="AT335" s="57"/>
      <c r="AU335" s="57"/>
      <c r="AV335" s="57"/>
      <c r="AW335" s="57"/>
      <c r="AX335" s="57"/>
    </row>
    <row r="336" spans="1:50" ht="15.75" customHeight="1">
      <c r="A336" s="770"/>
      <c r="B336" s="57"/>
      <c r="C336" s="57"/>
      <c r="D336" s="57"/>
      <c r="E336" s="3"/>
      <c r="F336" s="57"/>
      <c r="G336" s="57"/>
      <c r="H336" s="57"/>
      <c r="I336" s="57"/>
      <c r="J336" s="57"/>
      <c r="K336" s="57"/>
      <c r="L336" s="57"/>
      <c r="M336" s="57"/>
      <c r="N336" s="57"/>
      <c r="O336" s="57"/>
      <c r="P336" s="57"/>
      <c r="Q336" s="57"/>
      <c r="R336" s="57"/>
      <c r="S336" s="57"/>
      <c r="T336" s="57"/>
      <c r="U336" s="57"/>
      <c r="V336" s="57"/>
      <c r="W336" s="57"/>
      <c r="X336" s="57"/>
      <c r="Y336" s="57"/>
      <c r="Z336" s="3"/>
      <c r="AA336" s="57"/>
      <c r="AB336" s="175"/>
      <c r="AC336" s="175"/>
      <c r="AD336" s="175"/>
      <c r="AE336" s="175"/>
      <c r="AF336" s="57"/>
      <c r="AG336" s="57"/>
      <c r="AH336" s="57"/>
      <c r="AI336" s="57"/>
      <c r="AJ336" s="57"/>
      <c r="AK336" s="57"/>
      <c r="AL336" s="57"/>
      <c r="AM336" s="57"/>
      <c r="AN336" s="57"/>
      <c r="AO336" s="57"/>
      <c r="AP336" s="57"/>
      <c r="AQ336" s="57"/>
      <c r="AR336" s="57"/>
      <c r="AS336" s="57"/>
      <c r="AT336" s="57"/>
      <c r="AU336" s="57"/>
      <c r="AV336" s="57"/>
      <c r="AW336" s="57"/>
      <c r="AX336" s="57"/>
    </row>
    <row r="337" spans="1:50" ht="15.75" customHeight="1">
      <c r="A337" s="770"/>
      <c r="B337" s="57"/>
      <c r="C337" s="57"/>
      <c r="D337" s="57"/>
      <c r="E337" s="3"/>
      <c r="F337" s="57"/>
      <c r="G337" s="57"/>
      <c r="H337" s="57"/>
      <c r="I337" s="57"/>
      <c r="J337" s="57"/>
      <c r="K337" s="57"/>
      <c r="L337" s="57"/>
      <c r="M337" s="57"/>
      <c r="N337" s="57"/>
      <c r="O337" s="57"/>
      <c r="P337" s="57"/>
      <c r="Q337" s="57"/>
      <c r="R337" s="57"/>
      <c r="S337" s="57"/>
      <c r="T337" s="57"/>
      <c r="U337" s="57"/>
      <c r="V337" s="57"/>
      <c r="W337" s="57"/>
      <c r="X337" s="57"/>
      <c r="Y337" s="57"/>
      <c r="Z337" s="3"/>
      <c r="AA337" s="57"/>
      <c r="AB337" s="175"/>
      <c r="AC337" s="175"/>
      <c r="AD337" s="175"/>
      <c r="AE337" s="175"/>
      <c r="AF337" s="57"/>
      <c r="AG337" s="57"/>
      <c r="AH337" s="57"/>
      <c r="AI337" s="57"/>
      <c r="AJ337" s="57"/>
      <c r="AK337" s="57"/>
      <c r="AL337" s="57"/>
      <c r="AM337" s="57"/>
      <c r="AN337" s="57"/>
      <c r="AO337" s="57"/>
      <c r="AP337" s="57"/>
      <c r="AQ337" s="57"/>
      <c r="AR337" s="57"/>
      <c r="AS337" s="57"/>
      <c r="AT337" s="57"/>
      <c r="AU337" s="57"/>
      <c r="AV337" s="57"/>
      <c r="AW337" s="57"/>
      <c r="AX337" s="57"/>
    </row>
    <row r="338" spans="1:50" ht="15.75" customHeight="1">
      <c r="A338" s="770"/>
      <c r="B338" s="57"/>
      <c r="C338" s="57"/>
      <c r="D338" s="57"/>
      <c r="E338" s="3"/>
      <c r="F338" s="57"/>
      <c r="G338" s="57"/>
      <c r="H338" s="57"/>
      <c r="I338" s="57"/>
      <c r="J338" s="57"/>
      <c r="K338" s="57"/>
      <c r="L338" s="57"/>
      <c r="M338" s="57"/>
      <c r="N338" s="57"/>
      <c r="O338" s="57"/>
      <c r="P338" s="57"/>
      <c r="Q338" s="57"/>
      <c r="R338" s="57"/>
      <c r="S338" s="57"/>
      <c r="T338" s="57"/>
      <c r="U338" s="57"/>
      <c r="V338" s="57"/>
      <c r="W338" s="57"/>
      <c r="X338" s="57"/>
      <c r="Y338" s="57"/>
      <c r="Z338" s="3"/>
      <c r="AA338" s="57"/>
      <c r="AB338" s="175"/>
      <c r="AC338" s="175"/>
      <c r="AD338" s="175"/>
      <c r="AE338" s="175"/>
      <c r="AF338" s="57"/>
      <c r="AG338" s="57"/>
      <c r="AH338" s="57"/>
      <c r="AI338" s="57"/>
      <c r="AJ338" s="57"/>
      <c r="AK338" s="57"/>
      <c r="AL338" s="57"/>
      <c r="AM338" s="57"/>
      <c r="AN338" s="57"/>
      <c r="AO338" s="57"/>
      <c r="AP338" s="57"/>
      <c r="AQ338" s="57"/>
      <c r="AR338" s="57"/>
      <c r="AS338" s="57"/>
      <c r="AT338" s="57"/>
      <c r="AU338" s="57"/>
      <c r="AV338" s="57"/>
      <c r="AW338" s="57"/>
      <c r="AX338" s="57"/>
    </row>
    <row r="339" spans="1:50" ht="15.75" customHeight="1">
      <c r="A339" s="770"/>
      <c r="B339" s="57"/>
      <c r="C339" s="57"/>
      <c r="D339" s="57"/>
      <c r="E339" s="3"/>
      <c r="F339" s="57"/>
      <c r="G339" s="57"/>
      <c r="H339" s="57"/>
      <c r="I339" s="57"/>
      <c r="J339" s="57"/>
      <c r="K339" s="57"/>
      <c r="L339" s="57"/>
      <c r="M339" s="57"/>
      <c r="N339" s="57"/>
      <c r="O339" s="57"/>
      <c r="P339" s="57"/>
      <c r="Q339" s="57"/>
      <c r="R339" s="57"/>
      <c r="S339" s="57"/>
      <c r="T339" s="57"/>
      <c r="U339" s="57"/>
      <c r="V339" s="57"/>
      <c r="W339" s="57"/>
      <c r="X339" s="57"/>
      <c r="Y339" s="57"/>
      <c r="Z339" s="3"/>
      <c r="AA339" s="57"/>
      <c r="AB339" s="175"/>
      <c r="AC339" s="175"/>
      <c r="AD339" s="175"/>
      <c r="AE339" s="175"/>
      <c r="AF339" s="57"/>
      <c r="AG339" s="57"/>
      <c r="AH339" s="57"/>
      <c r="AI339" s="57"/>
      <c r="AJ339" s="57"/>
      <c r="AK339" s="57"/>
      <c r="AL339" s="57"/>
      <c r="AM339" s="57"/>
      <c r="AN339" s="57"/>
      <c r="AO339" s="57"/>
      <c r="AP339" s="57"/>
      <c r="AQ339" s="57"/>
      <c r="AR339" s="57"/>
      <c r="AS339" s="57"/>
      <c r="AT339" s="57"/>
      <c r="AU339" s="57"/>
      <c r="AV339" s="57"/>
      <c r="AW339" s="57"/>
      <c r="AX339" s="57"/>
    </row>
    <row r="340" spans="1:50" ht="15.75" customHeight="1">
      <c r="A340" s="770"/>
      <c r="B340" s="57"/>
      <c r="C340" s="57"/>
      <c r="D340" s="57"/>
      <c r="E340" s="3"/>
      <c r="F340" s="57"/>
      <c r="G340" s="57"/>
      <c r="H340" s="57"/>
      <c r="I340" s="57"/>
      <c r="J340" s="57"/>
      <c r="K340" s="57"/>
      <c r="L340" s="57"/>
      <c r="M340" s="57"/>
      <c r="N340" s="57"/>
      <c r="O340" s="57"/>
      <c r="P340" s="57"/>
      <c r="Q340" s="57"/>
      <c r="R340" s="57"/>
      <c r="S340" s="57"/>
      <c r="T340" s="57"/>
      <c r="U340" s="57"/>
      <c r="V340" s="57"/>
      <c r="W340" s="57"/>
      <c r="X340" s="57"/>
      <c r="Y340" s="57"/>
      <c r="Z340" s="3"/>
      <c r="AA340" s="57"/>
      <c r="AB340" s="175"/>
      <c r="AC340" s="175"/>
      <c r="AD340" s="175"/>
      <c r="AE340" s="175"/>
      <c r="AF340" s="57"/>
      <c r="AG340" s="57"/>
      <c r="AH340" s="57"/>
      <c r="AI340" s="57"/>
      <c r="AJ340" s="57"/>
      <c r="AK340" s="57"/>
      <c r="AL340" s="57"/>
      <c r="AM340" s="57"/>
      <c r="AN340" s="57"/>
      <c r="AO340" s="57"/>
      <c r="AP340" s="57"/>
      <c r="AQ340" s="57"/>
      <c r="AR340" s="57"/>
      <c r="AS340" s="57"/>
      <c r="AT340" s="57"/>
      <c r="AU340" s="57"/>
      <c r="AV340" s="57"/>
      <c r="AW340" s="57"/>
      <c r="AX340" s="57"/>
    </row>
    <row r="341" spans="1:50" ht="15.75" customHeight="1">
      <c r="A341" s="770"/>
      <c r="B341" s="57"/>
      <c r="C341" s="57"/>
      <c r="D341" s="57"/>
      <c r="E341" s="3"/>
      <c r="F341" s="57"/>
      <c r="G341" s="57"/>
      <c r="H341" s="57"/>
      <c r="I341" s="57"/>
      <c r="J341" s="57"/>
      <c r="K341" s="57"/>
      <c r="L341" s="57"/>
      <c r="M341" s="57"/>
      <c r="N341" s="57"/>
      <c r="O341" s="57"/>
      <c r="P341" s="57"/>
      <c r="Q341" s="57"/>
      <c r="R341" s="57"/>
      <c r="S341" s="57"/>
      <c r="T341" s="57"/>
      <c r="U341" s="57"/>
      <c r="V341" s="57"/>
      <c r="W341" s="57"/>
      <c r="X341" s="57"/>
      <c r="Y341" s="57"/>
      <c r="Z341" s="3"/>
      <c r="AA341" s="57"/>
      <c r="AB341" s="175"/>
      <c r="AC341" s="175"/>
      <c r="AD341" s="175"/>
      <c r="AE341" s="175"/>
      <c r="AF341" s="57"/>
      <c r="AG341" s="57"/>
      <c r="AH341" s="57"/>
      <c r="AI341" s="57"/>
      <c r="AJ341" s="57"/>
      <c r="AK341" s="57"/>
      <c r="AL341" s="57"/>
      <c r="AM341" s="57"/>
      <c r="AN341" s="57"/>
      <c r="AO341" s="57"/>
      <c r="AP341" s="57"/>
      <c r="AQ341" s="57"/>
      <c r="AR341" s="57"/>
      <c r="AS341" s="57"/>
      <c r="AT341" s="57"/>
      <c r="AU341" s="57"/>
      <c r="AV341" s="57"/>
      <c r="AW341" s="57"/>
      <c r="AX341" s="57"/>
    </row>
    <row r="342" spans="1:50" ht="15.75" customHeight="1">
      <c r="A342" s="770"/>
      <c r="B342" s="57"/>
      <c r="C342" s="57"/>
      <c r="D342" s="57"/>
      <c r="E342" s="3"/>
      <c r="F342" s="57"/>
      <c r="G342" s="57"/>
      <c r="H342" s="57"/>
      <c r="I342" s="57"/>
      <c r="J342" s="57"/>
      <c r="K342" s="57"/>
      <c r="L342" s="57"/>
      <c r="M342" s="57"/>
      <c r="N342" s="57"/>
      <c r="O342" s="57"/>
      <c r="P342" s="57"/>
      <c r="Q342" s="57"/>
      <c r="R342" s="57"/>
      <c r="S342" s="57"/>
      <c r="T342" s="57"/>
      <c r="U342" s="57"/>
      <c r="V342" s="57"/>
      <c r="W342" s="57"/>
      <c r="X342" s="57"/>
      <c r="Y342" s="57"/>
      <c r="Z342" s="3"/>
      <c r="AA342" s="57"/>
      <c r="AB342" s="175"/>
      <c r="AC342" s="175"/>
      <c r="AD342" s="175"/>
      <c r="AE342" s="175"/>
      <c r="AF342" s="57"/>
      <c r="AG342" s="57"/>
      <c r="AH342" s="57"/>
      <c r="AI342" s="57"/>
      <c r="AJ342" s="57"/>
      <c r="AK342" s="57"/>
      <c r="AL342" s="57"/>
      <c r="AM342" s="57"/>
      <c r="AN342" s="57"/>
      <c r="AO342" s="57"/>
      <c r="AP342" s="57"/>
      <c r="AQ342" s="57"/>
      <c r="AR342" s="57"/>
      <c r="AS342" s="57"/>
      <c r="AT342" s="57"/>
      <c r="AU342" s="57"/>
      <c r="AV342" s="57"/>
      <c r="AW342" s="57"/>
      <c r="AX342" s="57"/>
    </row>
    <row r="343" spans="1:50" ht="15.75" customHeight="1">
      <c r="A343" s="770"/>
      <c r="B343" s="57"/>
      <c r="C343" s="57"/>
      <c r="D343" s="57"/>
      <c r="E343" s="3"/>
      <c r="F343" s="57"/>
      <c r="G343" s="57"/>
      <c r="H343" s="57"/>
      <c r="I343" s="57"/>
      <c r="J343" s="57"/>
      <c r="K343" s="57"/>
      <c r="L343" s="57"/>
      <c r="M343" s="57"/>
      <c r="N343" s="57"/>
      <c r="O343" s="57"/>
      <c r="P343" s="57"/>
      <c r="Q343" s="57"/>
      <c r="R343" s="57"/>
      <c r="S343" s="57"/>
      <c r="T343" s="57"/>
      <c r="U343" s="57"/>
      <c r="V343" s="57"/>
      <c r="W343" s="57"/>
      <c r="X343" s="57"/>
      <c r="Y343" s="57"/>
      <c r="Z343" s="3"/>
      <c r="AA343" s="57"/>
      <c r="AB343" s="175"/>
      <c r="AC343" s="175"/>
      <c r="AD343" s="175"/>
      <c r="AE343" s="175"/>
      <c r="AF343" s="57"/>
      <c r="AG343" s="57"/>
      <c r="AH343" s="57"/>
      <c r="AI343" s="57"/>
      <c r="AJ343" s="57"/>
      <c r="AK343" s="57"/>
      <c r="AL343" s="57"/>
      <c r="AM343" s="57"/>
      <c r="AN343" s="57"/>
      <c r="AO343" s="57"/>
      <c r="AP343" s="57"/>
      <c r="AQ343" s="57"/>
      <c r="AR343" s="57"/>
      <c r="AS343" s="57"/>
      <c r="AT343" s="57"/>
      <c r="AU343" s="57"/>
      <c r="AV343" s="57"/>
      <c r="AW343" s="57"/>
      <c r="AX343" s="57"/>
    </row>
    <row r="344" spans="1:50" ht="15.75" customHeight="1">
      <c r="A344" s="770"/>
      <c r="B344" s="57"/>
      <c r="C344" s="57"/>
      <c r="D344" s="57"/>
      <c r="E344" s="3"/>
      <c r="F344" s="57"/>
      <c r="G344" s="57"/>
      <c r="H344" s="57"/>
      <c r="I344" s="57"/>
      <c r="J344" s="57"/>
      <c r="K344" s="57"/>
      <c r="L344" s="57"/>
      <c r="M344" s="57"/>
      <c r="N344" s="57"/>
      <c r="O344" s="57"/>
      <c r="P344" s="57"/>
      <c r="Q344" s="57"/>
      <c r="R344" s="57"/>
      <c r="S344" s="57"/>
      <c r="T344" s="57"/>
      <c r="U344" s="57"/>
      <c r="V344" s="57"/>
      <c r="W344" s="57"/>
      <c r="X344" s="57"/>
      <c r="Y344" s="57"/>
      <c r="Z344" s="3"/>
      <c r="AA344" s="57"/>
      <c r="AB344" s="175"/>
      <c r="AC344" s="175"/>
      <c r="AD344" s="175"/>
      <c r="AE344" s="175"/>
      <c r="AF344" s="57"/>
      <c r="AG344" s="57"/>
      <c r="AH344" s="57"/>
      <c r="AI344" s="57"/>
      <c r="AJ344" s="57"/>
      <c r="AK344" s="57"/>
      <c r="AL344" s="57"/>
      <c r="AM344" s="57"/>
      <c r="AN344" s="57"/>
      <c r="AO344" s="57"/>
      <c r="AP344" s="57"/>
      <c r="AQ344" s="57"/>
      <c r="AR344" s="57"/>
      <c r="AS344" s="57"/>
      <c r="AT344" s="57"/>
      <c r="AU344" s="57"/>
      <c r="AV344" s="57"/>
      <c r="AW344" s="57"/>
      <c r="AX344" s="57"/>
    </row>
    <row r="345" spans="1:50" ht="15.75" customHeight="1">
      <c r="A345" s="770"/>
      <c r="B345" s="57"/>
      <c r="C345" s="57"/>
      <c r="D345" s="57"/>
      <c r="E345" s="3"/>
      <c r="F345" s="57"/>
      <c r="G345" s="57"/>
      <c r="H345" s="57"/>
      <c r="I345" s="57"/>
      <c r="J345" s="57"/>
      <c r="K345" s="57"/>
      <c r="L345" s="57"/>
      <c r="M345" s="57"/>
      <c r="N345" s="57"/>
      <c r="O345" s="57"/>
      <c r="P345" s="57"/>
      <c r="Q345" s="57"/>
      <c r="R345" s="57"/>
      <c r="S345" s="57"/>
      <c r="T345" s="57"/>
      <c r="U345" s="57"/>
      <c r="V345" s="57"/>
      <c r="W345" s="57"/>
      <c r="X345" s="57"/>
      <c r="Y345" s="57"/>
      <c r="Z345" s="3"/>
      <c r="AA345" s="57"/>
      <c r="AB345" s="175"/>
      <c r="AC345" s="175"/>
      <c r="AD345" s="175"/>
      <c r="AE345" s="175"/>
      <c r="AF345" s="57"/>
      <c r="AG345" s="57"/>
      <c r="AH345" s="57"/>
      <c r="AI345" s="57"/>
      <c r="AJ345" s="57"/>
      <c r="AK345" s="57"/>
      <c r="AL345" s="57"/>
      <c r="AM345" s="57"/>
      <c r="AN345" s="57"/>
      <c r="AO345" s="57"/>
      <c r="AP345" s="57"/>
      <c r="AQ345" s="57"/>
      <c r="AR345" s="57"/>
      <c r="AS345" s="57"/>
      <c r="AT345" s="57"/>
      <c r="AU345" s="57"/>
      <c r="AV345" s="57"/>
      <c r="AW345" s="57"/>
      <c r="AX345" s="57"/>
    </row>
    <row r="346" spans="1:50" ht="15.75" customHeight="1">
      <c r="A346" s="770"/>
      <c r="B346" s="57"/>
      <c r="C346" s="57"/>
      <c r="D346" s="57"/>
      <c r="E346" s="3"/>
      <c r="F346" s="57"/>
      <c r="G346" s="57"/>
      <c r="H346" s="57"/>
      <c r="I346" s="57"/>
      <c r="J346" s="57"/>
      <c r="K346" s="57"/>
      <c r="L346" s="57"/>
      <c r="M346" s="57"/>
      <c r="N346" s="57"/>
      <c r="O346" s="57"/>
      <c r="P346" s="57"/>
      <c r="Q346" s="57"/>
      <c r="R346" s="57"/>
      <c r="S346" s="57"/>
      <c r="T346" s="57"/>
      <c r="U346" s="57"/>
      <c r="V346" s="57"/>
      <c r="W346" s="57"/>
      <c r="X346" s="57"/>
      <c r="Y346" s="57"/>
      <c r="Z346" s="3"/>
      <c r="AA346" s="57"/>
      <c r="AB346" s="175"/>
      <c r="AC346" s="175"/>
      <c r="AD346" s="175"/>
      <c r="AE346" s="175"/>
      <c r="AF346" s="57"/>
      <c r="AG346" s="57"/>
      <c r="AH346" s="57"/>
      <c r="AI346" s="57"/>
      <c r="AJ346" s="57"/>
      <c r="AK346" s="57"/>
      <c r="AL346" s="57"/>
      <c r="AM346" s="57"/>
      <c r="AN346" s="57"/>
      <c r="AO346" s="57"/>
      <c r="AP346" s="57"/>
      <c r="AQ346" s="57"/>
      <c r="AR346" s="57"/>
      <c r="AS346" s="57"/>
      <c r="AT346" s="57"/>
      <c r="AU346" s="57"/>
      <c r="AV346" s="57"/>
      <c r="AW346" s="57"/>
      <c r="AX346" s="57"/>
    </row>
    <row r="347" spans="1:50" ht="15.75" customHeight="1">
      <c r="A347" s="770"/>
      <c r="B347" s="57"/>
      <c r="C347" s="57"/>
      <c r="D347" s="57"/>
      <c r="E347" s="3"/>
      <c r="F347" s="57"/>
      <c r="G347" s="57"/>
      <c r="H347" s="57"/>
      <c r="I347" s="57"/>
      <c r="J347" s="57"/>
      <c r="K347" s="57"/>
      <c r="L347" s="57"/>
      <c r="M347" s="57"/>
      <c r="N347" s="57"/>
      <c r="O347" s="57"/>
      <c r="P347" s="57"/>
      <c r="Q347" s="57"/>
      <c r="R347" s="57"/>
      <c r="S347" s="57"/>
      <c r="T347" s="57"/>
      <c r="U347" s="57"/>
      <c r="V347" s="57"/>
      <c r="W347" s="57"/>
      <c r="X347" s="57"/>
      <c r="Y347" s="57"/>
      <c r="Z347" s="3"/>
      <c r="AA347" s="57"/>
      <c r="AB347" s="175"/>
      <c r="AC347" s="175"/>
      <c r="AD347" s="175"/>
      <c r="AE347" s="175"/>
      <c r="AF347" s="57"/>
      <c r="AG347" s="57"/>
      <c r="AH347" s="57"/>
      <c r="AI347" s="57"/>
      <c r="AJ347" s="57"/>
      <c r="AK347" s="57"/>
      <c r="AL347" s="57"/>
      <c r="AM347" s="57"/>
      <c r="AN347" s="57"/>
      <c r="AO347" s="57"/>
      <c r="AP347" s="57"/>
      <c r="AQ347" s="57"/>
      <c r="AR347" s="57"/>
      <c r="AS347" s="57"/>
      <c r="AT347" s="57"/>
      <c r="AU347" s="57"/>
      <c r="AV347" s="57"/>
      <c r="AW347" s="57"/>
      <c r="AX347" s="57"/>
    </row>
    <row r="348" spans="1:50" ht="15.75" customHeight="1">
      <c r="A348" s="770"/>
      <c r="B348" s="57"/>
      <c r="C348" s="57"/>
      <c r="D348" s="57"/>
      <c r="E348" s="3"/>
      <c r="F348" s="57"/>
      <c r="G348" s="57"/>
      <c r="H348" s="57"/>
      <c r="I348" s="57"/>
      <c r="J348" s="57"/>
      <c r="K348" s="57"/>
      <c r="L348" s="57"/>
      <c r="M348" s="57"/>
      <c r="N348" s="57"/>
      <c r="O348" s="57"/>
      <c r="P348" s="57"/>
      <c r="Q348" s="57"/>
      <c r="R348" s="57"/>
      <c r="S348" s="57"/>
      <c r="T348" s="57"/>
      <c r="U348" s="57"/>
      <c r="V348" s="57"/>
      <c r="W348" s="57"/>
      <c r="X348" s="57"/>
      <c r="Y348" s="57"/>
      <c r="Z348" s="3"/>
      <c r="AA348" s="57"/>
      <c r="AB348" s="175"/>
      <c r="AC348" s="175"/>
      <c r="AD348" s="175"/>
      <c r="AE348" s="175"/>
      <c r="AF348" s="57"/>
      <c r="AG348" s="57"/>
      <c r="AH348" s="57"/>
      <c r="AI348" s="57"/>
      <c r="AJ348" s="57"/>
      <c r="AK348" s="57"/>
      <c r="AL348" s="57"/>
      <c r="AM348" s="57"/>
      <c r="AN348" s="57"/>
      <c r="AO348" s="57"/>
      <c r="AP348" s="57"/>
      <c r="AQ348" s="57"/>
      <c r="AR348" s="57"/>
      <c r="AS348" s="57"/>
      <c r="AT348" s="57"/>
      <c r="AU348" s="57"/>
      <c r="AV348" s="57"/>
      <c r="AW348" s="57"/>
      <c r="AX348" s="57"/>
    </row>
    <row r="349" spans="1:50" ht="15.75" customHeight="1">
      <c r="A349" s="770"/>
      <c r="B349" s="57"/>
      <c r="C349" s="57"/>
      <c r="D349" s="57"/>
      <c r="E349" s="3"/>
      <c r="F349" s="57"/>
      <c r="G349" s="57"/>
      <c r="H349" s="57"/>
      <c r="I349" s="57"/>
      <c r="J349" s="57"/>
      <c r="K349" s="57"/>
      <c r="L349" s="57"/>
      <c r="M349" s="57"/>
      <c r="N349" s="57"/>
      <c r="O349" s="57"/>
      <c r="P349" s="57"/>
      <c r="Q349" s="57"/>
      <c r="R349" s="57"/>
      <c r="S349" s="57"/>
      <c r="T349" s="57"/>
      <c r="U349" s="57"/>
      <c r="V349" s="57"/>
      <c r="W349" s="57"/>
      <c r="X349" s="57"/>
      <c r="Y349" s="57"/>
      <c r="Z349" s="3"/>
      <c r="AA349" s="57"/>
      <c r="AB349" s="175"/>
      <c r="AC349" s="175"/>
      <c r="AD349" s="175"/>
      <c r="AE349" s="175"/>
      <c r="AF349" s="57"/>
      <c r="AG349" s="57"/>
      <c r="AH349" s="57"/>
      <c r="AI349" s="57"/>
      <c r="AJ349" s="57"/>
      <c r="AK349" s="57"/>
      <c r="AL349" s="57"/>
      <c r="AM349" s="57"/>
      <c r="AN349" s="57"/>
      <c r="AO349" s="57"/>
      <c r="AP349" s="57"/>
      <c r="AQ349" s="57"/>
      <c r="AR349" s="57"/>
      <c r="AS349" s="57"/>
      <c r="AT349" s="57"/>
      <c r="AU349" s="57"/>
      <c r="AV349" s="57"/>
      <c r="AW349" s="57"/>
      <c r="AX349" s="57"/>
    </row>
    <row r="350" spans="1:50" ht="15.75" customHeight="1">
      <c r="A350" s="770"/>
      <c r="B350" s="57"/>
      <c r="C350" s="57"/>
      <c r="D350" s="57"/>
      <c r="E350" s="3"/>
      <c r="F350" s="57"/>
      <c r="G350" s="57"/>
      <c r="H350" s="57"/>
      <c r="I350" s="57"/>
      <c r="J350" s="57"/>
      <c r="K350" s="57"/>
      <c r="L350" s="57"/>
      <c r="M350" s="57"/>
      <c r="N350" s="57"/>
      <c r="O350" s="57"/>
      <c r="P350" s="57"/>
      <c r="Q350" s="57"/>
      <c r="R350" s="57"/>
      <c r="S350" s="57"/>
      <c r="T350" s="57"/>
      <c r="U350" s="57"/>
      <c r="V350" s="57"/>
      <c r="W350" s="57"/>
      <c r="X350" s="57"/>
      <c r="Y350" s="57"/>
      <c r="Z350" s="3"/>
      <c r="AA350" s="57"/>
      <c r="AB350" s="175"/>
      <c r="AC350" s="175"/>
      <c r="AD350" s="175"/>
      <c r="AE350" s="175"/>
      <c r="AF350" s="57"/>
      <c r="AG350" s="57"/>
      <c r="AH350" s="57"/>
      <c r="AI350" s="57"/>
      <c r="AJ350" s="57"/>
      <c r="AK350" s="57"/>
      <c r="AL350" s="57"/>
      <c r="AM350" s="57"/>
      <c r="AN350" s="57"/>
      <c r="AO350" s="57"/>
      <c r="AP350" s="57"/>
      <c r="AQ350" s="57"/>
      <c r="AR350" s="57"/>
      <c r="AS350" s="57"/>
      <c r="AT350" s="57"/>
      <c r="AU350" s="57"/>
      <c r="AV350" s="57"/>
      <c r="AW350" s="57"/>
      <c r="AX350" s="57"/>
    </row>
    <row r="351" spans="1:50" ht="15.75" customHeight="1">
      <c r="A351" s="770"/>
      <c r="B351" s="57"/>
      <c r="C351" s="57"/>
      <c r="D351" s="57"/>
      <c r="E351" s="3"/>
      <c r="F351" s="57"/>
      <c r="G351" s="57"/>
      <c r="H351" s="57"/>
      <c r="I351" s="57"/>
      <c r="J351" s="57"/>
      <c r="K351" s="57"/>
      <c r="L351" s="57"/>
      <c r="M351" s="57"/>
      <c r="N351" s="57"/>
      <c r="O351" s="57"/>
      <c r="P351" s="57"/>
      <c r="Q351" s="57"/>
      <c r="R351" s="57"/>
      <c r="S351" s="57"/>
      <c r="T351" s="57"/>
      <c r="U351" s="57"/>
      <c r="V351" s="57"/>
      <c r="W351" s="57"/>
      <c r="X351" s="57"/>
      <c r="Y351" s="57"/>
      <c r="Z351" s="3"/>
      <c r="AA351" s="57"/>
      <c r="AB351" s="175"/>
      <c r="AC351" s="175"/>
      <c r="AD351" s="175"/>
      <c r="AE351" s="175"/>
      <c r="AF351" s="57"/>
      <c r="AG351" s="57"/>
      <c r="AH351" s="57"/>
      <c r="AI351" s="57"/>
      <c r="AJ351" s="57"/>
      <c r="AK351" s="57"/>
      <c r="AL351" s="57"/>
      <c r="AM351" s="57"/>
      <c r="AN351" s="57"/>
      <c r="AO351" s="57"/>
      <c r="AP351" s="57"/>
      <c r="AQ351" s="57"/>
      <c r="AR351" s="57"/>
      <c r="AS351" s="57"/>
      <c r="AT351" s="57"/>
      <c r="AU351" s="57"/>
      <c r="AV351" s="57"/>
      <c r="AW351" s="57"/>
      <c r="AX351" s="57"/>
    </row>
    <row r="352" spans="1:50" ht="15.75" customHeight="1">
      <c r="A352" s="770"/>
      <c r="B352" s="57"/>
      <c r="C352" s="57"/>
      <c r="D352" s="57"/>
      <c r="E352" s="3"/>
      <c r="F352" s="57"/>
      <c r="G352" s="57"/>
      <c r="H352" s="57"/>
      <c r="I352" s="57"/>
      <c r="J352" s="57"/>
      <c r="K352" s="57"/>
      <c r="L352" s="57"/>
      <c r="M352" s="57"/>
      <c r="N352" s="57"/>
      <c r="O352" s="57"/>
      <c r="P352" s="57"/>
      <c r="Q352" s="57"/>
      <c r="R352" s="57"/>
      <c r="S352" s="57"/>
      <c r="T352" s="57"/>
      <c r="U352" s="57"/>
      <c r="V352" s="57"/>
      <c r="W352" s="57"/>
      <c r="X352" s="57"/>
      <c r="Y352" s="57"/>
      <c r="Z352" s="3"/>
      <c r="AA352" s="57"/>
      <c r="AB352" s="175"/>
      <c r="AC352" s="175"/>
      <c r="AD352" s="175"/>
      <c r="AE352" s="175"/>
      <c r="AF352" s="57"/>
      <c r="AG352" s="57"/>
      <c r="AH352" s="57"/>
      <c r="AI352" s="57"/>
      <c r="AJ352" s="57"/>
      <c r="AK352" s="57"/>
      <c r="AL352" s="57"/>
      <c r="AM352" s="57"/>
      <c r="AN352" s="57"/>
      <c r="AO352" s="57"/>
      <c r="AP352" s="57"/>
      <c r="AQ352" s="57"/>
      <c r="AR352" s="57"/>
      <c r="AS352" s="57"/>
      <c r="AT352" s="57"/>
      <c r="AU352" s="57"/>
      <c r="AV352" s="57"/>
      <c r="AW352" s="57"/>
      <c r="AX352" s="57"/>
    </row>
    <row r="353" spans="1:50" ht="15.75" customHeight="1">
      <c r="A353" s="770"/>
      <c r="B353" s="57"/>
      <c r="C353" s="57"/>
      <c r="D353" s="57"/>
      <c r="E353" s="3"/>
      <c r="F353" s="57"/>
      <c r="G353" s="57"/>
      <c r="H353" s="57"/>
      <c r="I353" s="57"/>
      <c r="J353" s="57"/>
      <c r="K353" s="57"/>
      <c r="L353" s="57"/>
      <c r="M353" s="57"/>
      <c r="N353" s="57"/>
      <c r="O353" s="57"/>
      <c r="P353" s="57"/>
      <c r="Q353" s="57"/>
      <c r="R353" s="57"/>
      <c r="S353" s="57"/>
      <c r="T353" s="57"/>
      <c r="U353" s="57"/>
      <c r="V353" s="57"/>
      <c r="W353" s="57"/>
      <c r="X353" s="57"/>
      <c r="Y353" s="57"/>
      <c r="Z353" s="3"/>
      <c r="AA353" s="57"/>
      <c r="AB353" s="175"/>
      <c r="AC353" s="175"/>
      <c r="AD353" s="175"/>
      <c r="AE353" s="175"/>
      <c r="AF353" s="57"/>
      <c r="AG353" s="57"/>
      <c r="AH353" s="57"/>
      <c r="AI353" s="57"/>
      <c r="AJ353" s="57"/>
      <c r="AK353" s="57"/>
      <c r="AL353" s="57"/>
      <c r="AM353" s="57"/>
      <c r="AN353" s="57"/>
      <c r="AO353" s="57"/>
      <c r="AP353" s="57"/>
      <c r="AQ353" s="57"/>
      <c r="AR353" s="57"/>
      <c r="AS353" s="57"/>
      <c r="AT353" s="57"/>
      <c r="AU353" s="57"/>
      <c r="AV353" s="57"/>
      <c r="AW353" s="57"/>
      <c r="AX353" s="57"/>
    </row>
    <row r="354" spans="1:50" ht="15.75" customHeight="1">
      <c r="A354" s="770"/>
      <c r="B354" s="57"/>
      <c r="C354" s="57"/>
      <c r="D354" s="57"/>
      <c r="E354" s="3"/>
      <c r="F354" s="57"/>
      <c r="G354" s="57"/>
      <c r="H354" s="57"/>
      <c r="I354" s="57"/>
      <c r="J354" s="57"/>
      <c r="K354" s="57"/>
      <c r="L354" s="57"/>
      <c r="M354" s="57"/>
      <c r="N354" s="57"/>
      <c r="O354" s="57"/>
      <c r="P354" s="57"/>
      <c r="Q354" s="57"/>
      <c r="R354" s="57"/>
      <c r="S354" s="57"/>
      <c r="T354" s="57"/>
      <c r="U354" s="57"/>
      <c r="V354" s="57"/>
      <c r="W354" s="57"/>
      <c r="X354" s="57"/>
      <c r="Y354" s="57"/>
      <c r="Z354" s="3"/>
      <c r="AA354" s="57"/>
      <c r="AB354" s="175"/>
      <c r="AC354" s="175"/>
      <c r="AD354" s="175"/>
      <c r="AE354" s="175"/>
      <c r="AF354" s="57"/>
      <c r="AG354" s="57"/>
      <c r="AH354" s="57"/>
      <c r="AI354" s="57"/>
      <c r="AJ354" s="57"/>
      <c r="AK354" s="57"/>
      <c r="AL354" s="57"/>
      <c r="AM354" s="57"/>
      <c r="AN354" s="57"/>
      <c r="AO354" s="57"/>
      <c r="AP354" s="57"/>
      <c r="AQ354" s="57"/>
      <c r="AR354" s="57"/>
      <c r="AS354" s="57"/>
      <c r="AT354" s="57"/>
      <c r="AU354" s="57"/>
      <c r="AV354" s="57"/>
      <c r="AW354" s="57"/>
      <c r="AX354" s="57"/>
    </row>
    <row r="355" spans="1:50" ht="15.75" customHeight="1">
      <c r="A355" s="770"/>
      <c r="B355" s="57"/>
      <c r="C355" s="57"/>
      <c r="D355" s="57"/>
      <c r="E355" s="3"/>
      <c r="F355" s="57"/>
      <c r="G355" s="57"/>
      <c r="H355" s="57"/>
      <c r="I355" s="57"/>
      <c r="J355" s="57"/>
      <c r="K355" s="57"/>
      <c r="L355" s="57"/>
      <c r="M355" s="57"/>
      <c r="N355" s="57"/>
      <c r="O355" s="57"/>
      <c r="P355" s="57"/>
      <c r="Q355" s="57"/>
      <c r="R355" s="57"/>
      <c r="S355" s="57"/>
      <c r="T355" s="57"/>
      <c r="U355" s="57"/>
      <c r="V355" s="57"/>
      <c r="W355" s="57"/>
      <c r="X355" s="57"/>
      <c r="Y355" s="57"/>
      <c r="Z355" s="3"/>
      <c r="AA355" s="57"/>
      <c r="AB355" s="175"/>
      <c r="AC355" s="175"/>
      <c r="AD355" s="175"/>
      <c r="AE355" s="175"/>
      <c r="AF355" s="57"/>
      <c r="AG355" s="57"/>
      <c r="AH355" s="57"/>
      <c r="AI355" s="57"/>
      <c r="AJ355" s="57"/>
      <c r="AK355" s="57"/>
      <c r="AL355" s="57"/>
      <c r="AM355" s="57"/>
      <c r="AN355" s="57"/>
      <c r="AO355" s="57"/>
      <c r="AP355" s="57"/>
      <c r="AQ355" s="57"/>
      <c r="AR355" s="57"/>
      <c r="AS355" s="57"/>
      <c r="AT355" s="57"/>
      <c r="AU355" s="57"/>
      <c r="AV355" s="57"/>
      <c r="AW355" s="57"/>
      <c r="AX355" s="57"/>
    </row>
    <row r="356" spans="1:50" ht="15.75" customHeight="1">
      <c r="A356" s="770"/>
      <c r="B356" s="57"/>
      <c r="C356" s="57"/>
      <c r="D356" s="57"/>
      <c r="E356" s="3"/>
      <c r="F356" s="57"/>
      <c r="G356" s="57"/>
      <c r="H356" s="57"/>
      <c r="I356" s="57"/>
      <c r="J356" s="57"/>
      <c r="K356" s="57"/>
      <c r="L356" s="57"/>
      <c r="M356" s="57"/>
      <c r="N356" s="57"/>
      <c r="O356" s="57"/>
      <c r="P356" s="57"/>
      <c r="Q356" s="57"/>
      <c r="R356" s="57"/>
      <c r="S356" s="57"/>
      <c r="T356" s="57"/>
      <c r="U356" s="57"/>
      <c r="V356" s="57"/>
      <c r="W356" s="57"/>
      <c r="X356" s="57"/>
      <c r="Y356" s="57"/>
      <c r="Z356" s="3"/>
      <c r="AA356" s="57"/>
      <c r="AB356" s="175"/>
      <c r="AC356" s="175"/>
      <c r="AD356" s="175"/>
      <c r="AE356" s="175"/>
      <c r="AF356" s="57"/>
      <c r="AG356" s="57"/>
      <c r="AH356" s="57"/>
      <c r="AI356" s="57"/>
      <c r="AJ356" s="57"/>
      <c r="AK356" s="57"/>
      <c r="AL356" s="57"/>
      <c r="AM356" s="57"/>
      <c r="AN356" s="57"/>
      <c r="AO356" s="57"/>
      <c r="AP356" s="57"/>
      <c r="AQ356" s="57"/>
      <c r="AR356" s="57"/>
      <c r="AS356" s="57"/>
      <c r="AT356" s="57"/>
      <c r="AU356" s="57"/>
      <c r="AV356" s="57"/>
      <c r="AW356" s="57"/>
      <c r="AX356" s="57"/>
    </row>
    <row r="357" spans="1:50" ht="15.75" customHeight="1">
      <c r="A357" s="770"/>
      <c r="B357" s="57"/>
      <c r="C357" s="57"/>
      <c r="D357" s="57"/>
      <c r="E357" s="3"/>
      <c r="F357" s="57"/>
      <c r="G357" s="57"/>
      <c r="H357" s="57"/>
      <c r="I357" s="57"/>
      <c r="J357" s="57"/>
      <c r="K357" s="57"/>
      <c r="L357" s="57"/>
      <c r="M357" s="57"/>
      <c r="N357" s="57"/>
      <c r="O357" s="57"/>
      <c r="P357" s="57"/>
      <c r="Q357" s="57"/>
      <c r="R357" s="57"/>
      <c r="S357" s="57"/>
      <c r="T357" s="57"/>
      <c r="U357" s="57"/>
      <c r="V357" s="57"/>
      <c r="W357" s="57"/>
      <c r="X357" s="57"/>
      <c r="Y357" s="57"/>
      <c r="Z357" s="3"/>
      <c r="AA357" s="57"/>
      <c r="AB357" s="175"/>
      <c r="AC357" s="175"/>
      <c r="AD357" s="175"/>
      <c r="AE357" s="175"/>
      <c r="AF357" s="57"/>
      <c r="AG357" s="57"/>
      <c r="AH357" s="57"/>
      <c r="AI357" s="57"/>
      <c r="AJ357" s="57"/>
      <c r="AK357" s="57"/>
      <c r="AL357" s="57"/>
      <c r="AM357" s="57"/>
      <c r="AN357" s="57"/>
      <c r="AO357" s="57"/>
      <c r="AP357" s="57"/>
      <c r="AQ357" s="57"/>
      <c r="AR357" s="57"/>
      <c r="AS357" s="57"/>
      <c r="AT357" s="57"/>
      <c r="AU357" s="57"/>
      <c r="AV357" s="57"/>
      <c r="AW357" s="57"/>
      <c r="AX357" s="57"/>
    </row>
    <row r="358" spans="1:50" ht="15.75" customHeight="1">
      <c r="A358" s="770"/>
      <c r="B358" s="57"/>
      <c r="C358" s="57"/>
      <c r="D358" s="57"/>
      <c r="E358" s="3"/>
      <c r="F358" s="57"/>
      <c r="G358" s="57"/>
      <c r="H358" s="57"/>
      <c r="I358" s="57"/>
      <c r="J358" s="57"/>
      <c r="K358" s="57"/>
      <c r="L358" s="57"/>
      <c r="M358" s="57"/>
      <c r="N358" s="57"/>
      <c r="O358" s="57"/>
      <c r="P358" s="57"/>
      <c r="Q358" s="57"/>
      <c r="R358" s="57"/>
      <c r="S358" s="57"/>
      <c r="T358" s="57"/>
      <c r="U358" s="57"/>
      <c r="V358" s="57"/>
      <c r="W358" s="57"/>
      <c r="X358" s="57"/>
      <c r="Y358" s="57"/>
      <c r="Z358" s="3"/>
      <c r="AA358" s="57"/>
      <c r="AB358" s="175"/>
      <c r="AC358" s="175"/>
      <c r="AD358" s="175"/>
      <c r="AE358" s="175"/>
      <c r="AF358" s="57"/>
      <c r="AG358" s="57"/>
      <c r="AH358" s="57"/>
      <c r="AI358" s="57"/>
      <c r="AJ358" s="57"/>
      <c r="AK358" s="57"/>
      <c r="AL358" s="57"/>
      <c r="AM358" s="57"/>
      <c r="AN358" s="57"/>
      <c r="AO358" s="57"/>
      <c r="AP358" s="57"/>
      <c r="AQ358" s="57"/>
      <c r="AR358" s="57"/>
      <c r="AS358" s="57"/>
      <c r="AT358" s="57"/>
      <c r="AU358" s="57"/>
      <c r="AV358" s="57"/>
      <c r="AW358" s="57"/>
      <c r="AX358" s="57"/>
    </row>
    <row r="359" spans="1:50" ht="15.75" customHeight="1">
      <c r="A359" s="770"/>
      <c r="B359" s="57"/>
      <c r="C359" s="57"/>
      <c r="D359" s="57"/>
      <c r="E359" s="3"/>
      <c r="F359" s="57"/>
      <c r="G359" s="57"/>
      <c r="H359" s="57"/>
      <c r="I359" s="57"/>
      <c r="J359" s="57"/>
      <c r="K359" s="57"/>
      <c r="L359" s="57"/>
      <c r="M359" s="57"/>
      <c r="N359" s="57"/>
      <c r="O359" s="57"/>
      <c r="P359" s="57"/>
      <c r="Q359" s="57"/>
      <c r="R359" s="57"/>
      <c r="S359" s="57"/>
      <c r="T359" s="57"/>
      <c r="U359" s="57"/>
      <c r="V359" s="57"/>
      <c r="W359" s="57"/>
      <c r="X359" s="57"/>
      <c r="Y359" s="57"/>
      <c r="Z359" s="3"/>
      <c r="AA359" s="57"/>
      <c r="AB359" s="175"/>
      <c r="AC359" s="175"/>
      <c r="AD359" s="175"/>
      <c r="AE359" s="175"/>
      <c r="AF359" s="57"/>
      <c r="AG359" s="57"/>
      <c r="AH359" s="57"/>
      <c r="AI359" s="57"/>
      <c r="AJ359" s="57"/>
      <c r="AK359" s="57"/>
      <c r="AL359" s="57"/>
      <c r="AM359" s="57"/>
      <c r="AN359" s="57"/>
      <c r="AO359" s="57"/>
      <c r="AP359" s="57"/>
      <c r="AQ359" s="57"/>
      <c r="AR359" s="57"/>
      <c r="AS359" s="57"/>
      <c r="AT359" s="57"/>
      <c r="AU359" s="57"/>
      <c r="AV359" s="57"/>
      <c r="AW359" s="57"/>
      <c r="AX359" s="57"/>
    </row>
    <row r="360" spans="1:50" ht="15.75" customHeight="1">
      <c r="A360" s="770"/>
      <c r="B360" s="57"/>
      <c r="C360" s="57"/>
      <c r="D360" s="57"/>
      <c r="E360" s="3"/>
      <c r="F360" s="57"/>
      <c r="G360" s="57"/>
      <c r="H360" s="57"/>
      <c r="I360" s="57"/>
      <c r="J360" s="57"/>
      <c r="K360" s="57"/>
      <c r="L360" s="57"/>
      <c r="M360" s="57"/>
      <c r="N360" s="57"/>
      <c r="O360" s="57"/>
      <c r="P360" s="57"/>
      <c r="Q360" s="57"/>
      <c r="R360" s="57"/>
      <c r="S360" s="57"/>
      <c r="T360" s="57"/>
      <c r="U360" s="57"/>
      <c r="V360" s="57"/>
      <c r="W360" s="57"/>
      <c r="X360" s="57"/>
      <c r="Y360" s="57"/>
      <c r="Z360" s="3"/>
      <c r="AA360" s="57"/>
      <c r="AB360" s="175"/>
      <c r="AC360" s="175"/>
      <c r="AD360" s="175"/>
      <c r="AE360" s="175"/>
      <c r="AF360" s="57"/>
      <c r="AG360" s="57"/>
      <c r="AH360" s="57"/>
      <c r="AI360" s="57"/>
      <c r="AJ360" s="57"/>
      <c r="AK360" s="57"/>
      <c r="AL360" s="57"/>
      <c r="AM360" s="57"/>
      <c r="AN360" s="57"/>
      <c r="AO360" s="57"/>
      <c r="AP360" s="57"/>
      <c r="AQ360" s="57"/>
      <c r="AR360" s="57"/>
      <c r="AS360" s="57"/>
      <c r="AT360" s="57"/>
      <c r="AU360" s="57"/>
      <c r="AV360" s="57"/>
      <c r="AW360" s="57"/>
      <c r="AX360" s="57"/>
    </row>
    <row r="361" spans="1:50" ht="15.75" customHeight="1">
      <c r="A361" s="770"/>
      <c r="B361" s="57"/>
      <c r="C361" s="57"/>
      <c r="D361" s="57"/>
      <c r="E361" s="3"/>
      <c r="F361" s="57"/>
      <c r="G361" s="57"/>
      <c r="H361" s="57"/>
      <c r="I361" s="57"/>
      <c r="J361" s="57"/>
      <c r="K361" s="57"/>
      <c r="L361" s="57"/>
      <c r="M361" s="57"/>
      <c r="N361" s="57"/>
      <c r="O361" s="57"/>
      <c r="P361" s="57"/>
      <c r="Q361" s="57"/>
      <c r="R361" s="57"/>
      <c r="S361" s="57"/>
      <c r="T361" s="57"/>
      <c r="U361" s="57"/>
      <c r="V361" s="57"/>
      <c r="W361" s="57"/>
      <c r="X361" s="57"/>
      <c r="Y361" s="57"/>
      <c r="Z361" s="3"/>
      <c r="AA361" s="57"/>
      <c r="AB361" s="175"/>
      <c r="AC361" s="175"/>
      <c r="AD361" s="175"/>
      <c r="AE361" s="175"/>
      <c r="AF361" s="57"/>
      <c r="AG361" s="57"/>
      <c r="AH361" s="57"/>
      <c r="AI361" s="57"/>
      <c r="AJ361" s="57"/>
      <c r="AK361" s="57"/>
      <c r="AL361" s="57"/>
      <c r="AM361" s="57"/>
      <c r="AN361" s="57"/>
      <c r="AO361" s="57"/>
      <c r="AP361" s="57"/>
      <c r="AQ361" s="57"/>
      <c r="AR361" s="57"/>
      <c r="AS361" s="57"/>
      <c r="AT361" s="57"/>
      <c r="AU361" s="57"/>
      <c r="AV361" s="57"/>
      <c r="AW361" s="57"/>
      <c r="AX361" s="57"/>
    </row>
    <row r="362" spans="1:50" ht="15.75" customHeight="1">
      <c r="A362" s="770"/>
      <c r="B362" s="57"/>
      <c r="C362" s="57"/>
      <c r="D362" s="57"/>
      <c r="E362" s="3"/>
      <c r="F362" s="57"/>
      <c r="G362" s="57"/>
      <c r="H362" s="57"/>
      <c r="I362" s="57"/>
      <c r="J362" s="57"/>
      <c r="K362" s="57"/>
      <c r="L362" s="57"/>
      <c r="M362" s="57"/>
      <c r="N362" s="57"/>
      <c r="O362" s="57"/>
      <c r="P362" s="57"/>
      <c r="Q362" s="57"/>
      <c r="R362" s="57"/>
      <c r="S362" s="57"/>
      <c r="T362" s="57"/>
      <c r="U362" s="57"/>
      <c r="V362" s="57"/>
      <c r="W362" s="57"/>
      <c r="X362" s="57"/>
      <c r="Y362" s="57"/>
      <c r="Z362" s="3"/>
      <c r="AA362" s="57"/>
      <c r="AB362" s="175"/>
      <c r="AC362" s="175"/>
      <c r="AD362" s="175"/>
      <c r="AE362" s="175"/>
      <c r="AF362" s="57"/>
      <c r="AG362" s="57"/>
      <c r="AH362" s="57"/>
      <c r="AI362" s="57"/>
      <c r="AJ362" s="57"/>
      <c r="AK362" s="57"/>
      <c r="AL362" s="57"/>
      <c r="AM362" s="57"/>
      <c r="AN362" s="57"/>
      <c r="AO362" s="57"/>
      <c r="AP362" s="57"/>
      <c r="AQ362" s="57"/>
      <c r="AR362" s="57"/>
      <c r="AS362" s="57"/>
      <c r="AT362" s="57"/>
      <c r="AU362" s="57"/>
      <c r="AV362" s="57"/>
      <c r="AW362" s="57"/>
      <c r="AX362" s="57"/>
    </row>
    <row r="363" spans="1:50" ht="15.75" customHeight="1">
      <c r="A363" s="770"/>
      <c r="B363" s="57"/>
      <c r="C363" s="57"/>
      <c r="D363" s="57"/>
      <c r="E363" s="3"/>
      <c r="F363" s="57"/>
      <c r="G363" s="57"/>
      <c r="H363" s="57"/>
      <c r="I363" s="57"/>
      <c r="J363" s="57"/>
      <c r="K363" s="57"/>
      <c r="L363" s="57"/>
      <c r="M363" s="57"/>
      <c r="N363" s="57"/>
      <c r="O363" s="57"/>
      <c r="P363" s="57"/>
      <c r="Q363" s="57"/>
      <c r="R363" s="57"/>
      <c r="S363" s="57"/>
      <c r="T363" s="57"/>
      <c r="U363" s="57"/>
      <c r="V363" s="57"/>
      <c r="W363" s="57"/>
      <c r="X363" s="57"/>
      <c r="Y363" s="57"/>
      <c r="Z363" s="3"/>
      <c r="AA363" s="57"/>
      <c r="AB363" s="175"/>
      <c r="AC363" s="175"/>
      <c r="AD363" s="175"/>
      <c r="AE363" s="175"/>
      <c r="AF363" s="57"/>
      <c r="AG363" s="57"/>
      <c r="AH363" s="57"/>
      <c r="AI363" s="57"/>
      <c r="AJ363" s="57"/>
      <c r="AK363" s="57"/>
      <c r="AL363" s="57"/>
      <c r="AM363" s="57"/>
      <c r="AN363" s="57"/>
      <c r="AO363" s="57"/>
      <c r="AP363" s="57"/>
      <c r="AQ363" s="57"/>
      <c r="AR363" s="57"/>
      <c r="AS363" s="57"/>
      <c r="AT363" s="57"/>
      <c r="AU363" s="57"/>
      <c r="AV363" s="57"/>
      <c r="AW363" s="57"/>
      <c r="AX363" s="57"/>
    </row>
    <row r="364" spans="1:50" ht="15.75" customHeight="1">
      <c r="A364" s="770"/>
      <c r="B364" s="57"/>
      <c r="C364" s="57"/>
      <c r="D364" s="57"/>
      <c r="E364" s="3"/>
      <c r="F364" s="57"/>
      <c r="G364" s="57"/>
      <c r="H364" s="57"/>
      <c r="I364" s="57"/>
      <c r="J364" s="57"/>
      <c r="K364" s="57"/>
      <c r="L364" s="57"/>
      <c r="M364" s="57"/>
      <c r="N364" s="57"/>
      <c r="O364" s="57"/>
      <c r="P364" s="57"/>
      <c r="Q364" s="57"/>
      <c r="R364" s="57"/>
      <c r="S364" s="57"/>
      <c r="T364" s="57"/>
      <c r="U364" s="57"/>
      <c r="V364" s="57"/>
      <c r="W364" s="57"/>
      <c r="X364" s="57"/>
      <c r="Y364" s="57"/>
      <c r="Z364" s="3"/>
      <c r="AA364" s="57"/>
      <c r="AB364" s="175"/>
      <c r="AC364" s="175"/>
      <c r="AD364" s="175"/>
      <c r="AE364" s="175"/>
      <c r="AF364" s="57"/>
      <c r="AG364" s="57"/>
      <c r="AH364" s="57"/>
      <c r="AI364" s="57"/>
      <c r="AJ364" s="57"/>
      <c r="AK364" s="57"/>
      <c r="AL364" s="57"/>
      <c r="AM364" s="57"/>
      <c r="AN364" s="57"/>
      <c r="AO364" s="57"/>
      <c r="AP364" s="57"/>
      <c r="AQ364" s="57"/>
      <c r="AR364" s="57"/>
      <c r="AS364" s="57"/>
      <c r="AT364" s="57"/>
      <c r="AU364" s="57"/>
      <c r="AV364" s="57"/>
      <c r="AW364" s="57"/>
      <c r="AX364" s="57"/>
    </row>
    <row r="365" spans="1:50" ht="15.75" customHeight="1">
      <c r="A365" s="770"/>
      <c r="B365" s="57"/>
      <c r="C365" s="57"/>
      <c r="D365" s="57"/>
      <c r="E365" s="3"/>
      <c r="F365" s="57"/>
      <c r="G365" s="57"/>
      <c r="H365" s="57"/>
      <c r="I365" s="57"/>
      <c r="J365" s="57"/>
      <c r="K365" s="57"/>
      <c r="L365" s="57"/>
      <c r="M365" s="57"/>
      <c r="N365" s="57"/>
      <c r="O365" s="57"/>
      <c r="P365" s="57"/>
      <c r="Q365" s="57"/>
      <c r="R365" s="57"/>
      <c r="S365" s="57"/>
      <c r="T365" s="57"/>
      <c r="U365" s="57"/>
      <c r="V365" s="57"/>
      <c r="W365" s="57"/>
      <c r="X365" s="57"/>
      <c r="Y365" s="57"/>
      <c r="Z365" s="3"/>
      <c r="AA365" s="57"/>
      <c r="AB365" s="175"/>
      <c r="AC365" s="175"/>
      <c r="AD365" s="175"/>
      <c r="AE365" s="175"/>
      <c r="AF365" s="57"/>
      <c r="AG365" s="57"/>
      <c r="AH365" s="57"/>
      <c r="AI365" s="57"/>
      <c r="AJ365" s="57"/>
      <c r="AK365" s="57"/>
      <c r="AL365" s="57"/>
      <c r="AM365" s="57"/>
      <c r="AN365" s="57"/>
      <c r="AO365" s="57"/>
      <c r="AP365" s="57"/>
      <c r="AQ365" s="57"/>
      <c r="AR365" s="57"/>
      <c r="AS365" s="57"/>
      <c r="AT365" s="57"/>
      <c r="AU365" s="57"/>
      <c r="AV365" s="57"/>
      <c r="AW365" s="57"/>
      <c r="AX365" s="57"/>
    </row>
    <row r="366" spans="1:50" ht="15.75" customHeight="1">
      <c r="A366" s="770"/>
      <c r="B366" s="57"/>
      <c r="C366" s="57"/>
      <c r="D366" s="57"/>
      <c r="E366" s="3"/>
      <c r="F366" s="57"/>
      <c r="G366" s="57"/>
      <c r="H366" s="57"/>
      <c r="I366" s="57"/>
      <c r="J366" s="57"/>
      <c r="K366" s="57"/>
      <c r="L366" s="57"/>
      <c r="M366" s="57"/>
      <c r="N366" s="57"/>
      <c r="O366" s="57"/>
      <c r="P366" s="57"/>
      <c r="Q366" s="57"/>
      <c r="R366" s="57"/>
      <c r="S366" s="57"/>
      <c r="T366" s="57"/>
      <c r="U366" s="57"/>
      <c r="V366" s="57"/>
      <c r="W366" s="57"/>
      <c r="X366" s="57"/>
      <c r="Y366" s="57"/>
      <c r="Z366" s="3"/>
      <c r="AA366" s="57"/>
      <c r="AB366" s="175"/>
      <c r="AC366" s="175"/>
      <c r="AD366" s="175"/>
      <c r="AE366" s="175"/>
      <c r="AF366" s="57"/>
      <c r="AG366" s="57"/>
      <c r="AH366" s="57"/>
      <c r="AI366" s="57"/>
      <c r="AJ366" s="57"/>
      <c r="AK366" s="57"/>
      <c r="AL366" s="57"/>
      <c r="AM366" s="57"/>
      <c r="AN366" s="57"/>
      <c r="AO366" s="57"/>
      <c r="AP366" s="57"/>
      <c r="AQ366" s="57"/>
      <c r="AR366" s="57"/>
      <c r="AS366" s="57"/>
      <c r="AT366" s="57"/>
      <c r="AU366" s="57"/>
      <c r="AV366" s="57"/>
      <c r="AW366" s="57"/>
      <c r="AX366" s="57"/>
    </row>
    <row r="367" spans="1:50" ht="15.75" customHeight="1">
      <c r="A367" s="770"/>
      <c r="B367" s="57"/>
      <c r="C367" s="57"/>
      <c r="D367" s="57"/>
      <c r="E367" s="3"/>
      <c r="F367" s="57"/>
      <c r="G367" s="57"/>
      <c r="H367" s="57"/>
      <c r="I367" s="57"/>
      <c r="J367" s="57"/>
      <c r="K367" s="57"/>
      <c r="L367" s="57"/>
      <c r="M367" s="57"/>
      <c r="N367" s="57"/>
      <c r="O367" s="57"/>
      <c r="P367" s="57"/>
      <c r="Q367" s="57"/>
      <c r="R367" s="57"/>
      <c r="S367" s="57"/>
      <c r="T367" s="57"/>
      <c r="U367" s="57"/>
      <c r="V367" s="57"/>
      <c r="W367" s="57"/>
      <c r="X367" s="57"/>
      <c r="Y367" s="57"/>
      <c r="Z367" s="3"/>
      <c r="AA367" s="57"/>
      <c r="AB367" s="175"/>
      <c r="AC367" s="175"/>
      <c r="AD367" s="175"/>
      <c r="AE367" s="175"/>
      <c r="AF367" s="57"/>
      <c r="AG367" s="57"/>
      <c r="AH367" s="57"/>
      <c r="AI367" s="57"/>
      <c r="AJ367" s="57"/>
      <c r="AK367" s="57"/>
      <c r="AL367" s="57"/>
      <c r="AM367" s="57"/>
      <c r="AN367" s="57"/>
      <c r="AO367" s="57"/>
      <c r="AP367" s="57"/>
      <c r="AQ367" s="57"/>
      <c r="AR367" s="57"/>
      <c r="AS367" s="57"/>
      <c r="AT367" s="57"/>
      <c r="AU367" s="57"/>
      <c r="AV367" s="57"/>
      <c r="AW367" s="57"/>
      <c r="AX367" s="57"/>
    </row>
    <row r="368" spans="1:50" ht="15.75" customHeight="1">
      <c r="A368" s="770"/>
      <c r="B368" s="57"/>
      <c r="C368" s="57"/>
      <c r="D368" s="57"/>
      <c r="E368" s="3"/>
      <c r="F368" s="57"/>
      <c r="G368" s="57"/>
      <c r="H368" s="57"/>
      <c r="I368" s="57"/>
      <c r="J368" s="57"/>
      <c r="K368" s="57"/>
      <c r="L368" s="57"/>
      <c r="M368" s="57"/>
      <c r="N368" s="57"/>
      <c r="O368" s="57"/>
      <c r="P368" s="57"/>
      <c r="Q368" s="57"/>
      <c r="R368" s="57"/>
      <c r="S368" s="57"/>
      <c r="T368" s="57"/>
      <c r="U368" s="57"/>
      <c r="V368" s="57"/>
      <c r="W368" s="57"/>
      <c r="X368" s="57"/>
      <c r="Y368" s="57"/>
      <c r="Z368" s="3"/>
      <c r="AA368" s="57"/>
      <c r="AB368" s="175"/>
      <c r="AC368" s="175"/>
      <c r="AD368" s="175"/>
      <c r="AE368" s="175"/>
      <c r="AF368" s="57"/>
      <c r="AG368" s="57"/>
      <c r="AH368" s="57"/>
      <c r="AI368" s="57"/>
      <c r="AJ368" s="57"/>
      <c r="AK368" s="57"/>
      <c r="AL368" s="57"/>
      <c r="AM368" s="57"/>
      <c r="AN368" s="57"/>
      <c r="AO368" s="57"/>
      <c r="AP368" s="57"/>
      <c r="AQ368" s="57"/>
      <c r="AR368" s="57"/>
      <c r="AS368" s="57"/>
      <c r="AT368" s="57"/>
      <c r="AU368" s="57"/>
      <c r="AV368" s="57"/>
      <c r="AW368" s="57"/>
      <c r="AX368" s="57"/>
    </row>
    <row r="369" spans="1:50" ht="15.75" customHeight="1">
      <c r="A369" s="770"/>
      <c r="B369" s="57"/>
      <c r="C369" s="57"/>
      <c r="D369" s="57"/>
      <c r="E369" s="3"/>
      <c r="F369" s="57"/>
      <c r="G369" s="57"/>
      <c r="H369" s="57"/>
      <c r="I369" s="57"/>
      <c r="J369" s="57"/>
      <c r="K369" s="57"/>
      <c r="L369" s="57"/>
      <c r="M369" s="57"/>
      <c r="N369" s="57"/>
      <c r="O369" s="57"/>
      <c r="P369" s="57"/>
      <c r="Q369" s="57"/>
      <c r="R369" s="57"/>
      <c r="S369" s="57"/>
      <c r="T369" s="57"/>
      <c r="U369" s="57"/>
      <c r="V369" s="57"/>
      <c r="W369" s="57"/>
      <c r="X369" s="57"/>
      <c r="Y369" s="57"/>
      <c r="Z369" s="3"/>
      <c r="AA369" s="57"/>
      <c r="AB369" s="175"/>
      <c r="AC369" s="175"/>
      <c r="AD369" s="175"/>
      <c r="AE369" s="175"/>
      <c r="AF369" s="57"/>
      <c r="AG369" s="57"/>
      <c r="AH369" s="57"/>
      <c r="AI369" s="57"/>
      <c r="AJ369" s="57"/>
      <c r="AK369" s="57"/>
      <c r="AL369" s="57"/>
      <c r="AM369" s="57"/>
      <c r="AN369" s="57"/>
      <c r="AO369" s="57"/>
      <c r="AP369" s="57"/>
      <c r="AQ369" s="57"/>
      <c r="AR369" s="57"/>
      <c r="AS369" s="57"/>
      <c r="AT369" s="57"/>
      <c r="AU369" s="57"/>
      <c r="AV369" s="57"/>
      <c r="AW369" s="57"/>
      <c r="AX369" s="57"/>
    </row>
    <row r="370" spans="1:50" ht="15.75" customHeight="1">
      <c r="A370" s="770"/>
      <c r="B370" s="57"/>
      <c r="C370" s="57"/>
      <c r="D370" s="57"/>
      <c r="E370" s="3"/>
      <c r="F370" s="57"/>
      <c r="G370" s="57"/>
      <c r="H370" s="57"/>
      <c r="I370" s="57"/>
      <c r="J370" s="57"/>
      <c r="K370" s="57"/>
      <c r="L370" s="57"/>
      <c r="M370" s="57"/>
      <c r="N370" s="57"/>
      <c r="O370" s="57"/>
      <c r="P370" s="57"/>
      <c r="Q370" s="57"/>
      <c r="R370" s="57"/>
      <c r="S370" s="57"/>
      <c r="T370" s="57"/>
      <c r="U370" s="57"/>
      <c r="V370" s="57"/>
      <c r="W370" s="57"/>
      <c r="X370" s="57"/>
      <c r="Y370" s="57"/>
      <c r="Z370" s="3"/>
      <c r="AA370" s="57"/>
      <c r="AB370" s="175"/>
      <c r="AC370" s="175"/>
      <c r="AD370" s="175"/>
      <c r="AE370" s="175"/>
      <c r="AF370" s="57"/>
      <c r="AG370" s="57"/>
      <c r="AH370" s="57"/>
      <c r="AI370" s="57"/>
      <c r="AJ370" s="57"/>
      <c r="AK370" s="57"/>
      <c r="AL370" s="57"/>
      <c r="AM370" s="57"/>
      <c r="AN370" s="57"/>
      <c r="AO370" s="57"/>
      <c r="AP370" s="57"/>
      <c r="AQ370" s="57"/>
      <c r="AR370" s="57"/>
      <c r="AS370" s="57"/>
      <c r="AT370" s="57"/>
      <c r="AU370" s="57"/>
      <c r="AV370" s="57"/>
      <c r="AW370" s="57"/>
      <c r="AX370" s="57"/>
    </row>
    <row r="371" spans="1:50" ht="15.75" customHeight="1">
      <c r="A371" s="770"/>
      <c r="B371" s="57"/>
      <c r="C371" s="57"/>
      <c r="D371" s="57"/>
      <c r="E371" s="3"/>
      <c r="F371" s="57"/>
      <c r="G371" s="57"/>
      <c r="H371" s="57"/>
      <c r="I371" s="57"/>
      <c r="J371" s="57"/>
      <c r="K371" s="57"/>
      <c r="L371" s="57"/>
      <c r="M371" s="57"/>
      <c r="N371" s="57"/>
      <c r="O371" s="57"/>
      <c r="P371" s="57"/>
      <c r="Q371" s="57"/>
      <c r="R371" s="57"/>
      <c r="S371" s="57"/>
      <c r="T371" s="57"/>
      <c r="U371" s="57"/>
      <c r="V371" s="57"/>
      <c r="W371" s="57"/>
      <c r="X371" s="57"/>
      <c r="Y371" s="57"/>
      <c r="Z371" s="3"/>
      <c r="AA371" s="57"/>
      <c r="AB371" s="175"/>
      <c r="AC371" s="175"/>
      <c r="AD371" s="175"/>
      <c r="AE371" s="175"/>
      <c r="AF371" s="57"/>
      <c r="AG371" s="57"/>
      <c r="AH371" s="57"/>
      <c r="AI371" s="57"/>
      <c r="AJ371" s="57"/>
      <c r="AK371" s="57"/>
      <c r="AL371" s="57"/>
      <c r="AM371" s="57"/>
      <c r="AN371" s="57"/>
      <c r="AO371" s="57"/>
      <c r="AP371" s="57"/>
      <c r="AQ371" s="57"/>
      <c r="AR371" s="57"/>
      <c r="AS371" s="57"/>
      <c r="AT371" s="57"/>
      <c r="AU371" s="57"/>
      <c r="AV371" s="57"/>
      <c r="AW371" s="57"/>
      <c r="AX371" s="57"/>
    </row>
    <row r="372" spans="1:50" ht="15.75" customHeight="1">
      <c r="A372" s="770"/>
      <c r="B372" s="57"/>
      <c r="C372" s="57"/>
      <c r="D372" s="57"/>
      <c r="E372" s="3"/>
      <c r="F372" s="57"/>
      <c r="G372" s="57"/>
      <c r="H372" s="57"/>
      <c r="I372" s="57"/>
      <c r="J372" s="57"/>
      <c r="K372" s="57"/>
      <c r="L372" s="57"/>
      <c r="M372" s="57"/>
      <c r="N372" s="57"/>
      <c r="O372" s="57"/>
      <c r="P372" s="57"/>
      <c r="Q372" s="57"/>
      <c r="R372" s="57"/>
      <c r="S372" s="57"/>
      <c r="T372" s="57"/>
      <c r="U372" s="57"/>
      <c r="V372" s="57"/>
      <c r="W372" s="57"/>
      <c r="X372" s="57"/>
      <c r="Y372" s="57"/>
      <c r="Z372" s="3"/>
      <c r="AA372" s="57"/>
      <c r="AB372" s="175"/>
      <c r="AC372" s="175"/>
      <c r="AD372" s="175"/>
      <c r="AE372" s="175"/>
      <c r="AF372" s="57"/>
      <c r="AG372" s="57"/>
      <c r="AH372" s="57"/>
      <c r="AI372" s="57"/>
      <c r="AJ372" s="57"/>
      <c r="AK372" s="57"/>
      <c r="AL372" s="57"/>
      <c r="AM372" s="57"/>
      <c r="AN372" s="57"/>
      <c r="AO372" s="57"/>
      <c r="AP372" s="57"/>
      <c r="AQ372" s="57"/>
      <c r="AR372" s="57"/>
      <c r="AS372" s="57"/>
      <c r="AT372" s="57"/>
      <c r="AU372" s="57"/>
      <c r="AV372" s="57"/>
      <c r="AW372" s="57"/>
      <c r="AX372" s="57"/>
    </row>
    <row r="373" spans="1:50" ht="15.75" customHeight="1">
      <c r="A373" s="770"/>
      <c r="B373" s="57"/>
      <c r="C373" s="57"/>
      <c r="D373" s="57"/>
      <c r="E373" s="3"/>
      <c r="F373" s="57"/>
      <c r="G373" s="57"/>
      <c r="H373" s="57"/>
      <c r="I373" s="57"/>
      <c r="J373" s="57"/>
      <c r="K373" s="57"/>
      <c r="L373" s="57"/>
      <c r="M373" s="57"/>
      <c r="N373" s="57"/>
      <c r="O373" s="57"/>
      <c r="P373" s="57"/>
      <c r="Q373" s="57"/>
      <c r="R373" s="57"/>
      <c r="S373" s="57"/>
      <c r="T373" s="57"/>
      <c r="U373" s="57"/>
      <c r="V373" s="57"/>
      <c r="W373" s="57"/>
      <c r="X373" s="57"/>
      <c r="Y373" s="57"/>
      <c r="Z373" s="3"/>
      <c r="AA373" s="57"/>
      <c r="AB373" s="175"/>
      <c r="AC373" s="175"/>
      <c r="AD373" s="175"/>
      <c r="AE373" s="175"/>
      <c r="AF373" s="57"/>
      <c r="AG373" s="57"/>
      <c r="AH373" s="57"/>
      <c r="AI373" s="57"/>
      <c r="AJ373" s="57"/>
      <c r="AK373" s="57"/>
      <c r="AL373" s="57"/>
      <c r="AM373" s="57"/>
      <c r="AN373" s="57"/>
      <c r="AO373" s="57"/>
      <c r="AP373" s="57"/>
      <c r="AQ373" s="57"/>
      <c r="AR373" s="57"/>
      <c r="AS373" s="57"/>
      <c r="AT373" s="57"/>
      <c r="AU373" s="57"/>
      <c r="AV373" s="57"/>
      <c r="AW373" s="57"/>
      <c r="AX373" s="57"/>
    </row>
    <row r="374" spans="1:50" ht="15.75" customHeight="1">
      <c r="A374" s="770"/>
      <c r="B374" s="57"/>
      <c r="C374" s="57"/>
      <c r="D374" s="57"/>
      <c r="E374" s="3"/>
      <c r="F374" s="57"/>
      <c r="G374" s="57"/>
      <c r="H374" s="57"/>
      <c r="I374" s="57"/>
      <c r="J374" s="57"/>
      <c r="K374" s="57"/>
      <c r="L374" s="57"/>
      <c r="M374" s="57"/>
      <c r="N374" s="57"/>
      <c r="O374" s="57"/>
      <c r="P374" s="57"/>
      <c r="Q374" s="57"/>
      <c r="R374" s="57"/>
      <c r="S374" s="57"/>
      <c r="T374" s="57"/>
      <c r="U374" s="57"/>
      <c r="V374" s="57"/>
      <c r="W374" s="57"/>
      <c r="X374" s="57"/>
      <c r="Y374" s="57"/>
      <c r="Z374" s="3"/>
      <c r="AA374" s="57"/>
      <c r="AB374" s="175"/>
      <c r="AC374" s="175"/>
      <c r="AD374" s="175"/>
      <c r="AE374" s="175"/>
      <c r="AF374" s="57"/>
      <c r="AG374" s="57"/>
      <c r="AH374" s="57"/>
      <c r="AI374" s="57"/>
      <c r="AJ374" s="57"/>
      <c r="AK374" s="57"/>
      <c r="AL374" s="57"/>
      <c r="AM374" s="57"/>
      <c r="AN374" s="57"/>
      <c r="AO374" s="57"/>
      <c r="AP374" s="57"/>
      <c r="AQ374" s="57"/>
      <c r="AR374" s="57"/>
      <c r="AS374" s="57"/>
      <c r="AT374" s="57"/>
      <c r="AU374" s="57"/>
      <c r="AV374" s="57"/>
      <c r="AW374" s="57"/>
      <c r="AX374" s="57"/>
    </row>
    <row r="375" spans="1:50" ht="15.75" customHeight="1">
      <c r="A375" s="670"/>
      <c r="AB375" s="175"/>
      <c r="AC375" s="175"/>
      <c r="AD375" s="175"/>
      <c r="AE375" s="175"/>
    </row>
    <row r="376" spans="1:50" ht="15.75" customHeight="1">
      <c r="A376" s="670"/>
      <c r="AB376" s="175"/>
      <c r="AC376" s="175"/>
      <c r="AD376" s="175"/>
      <c r="AE376" s="175"/>
    </row>
    <row r="377" spans="1:50" ht="15.75" customHeight="1">
      <c r="A377" s="670"/>
      <c r="AB377" s="175"/>
      <c r="AC377" s="175"/>
      <c r="AD377" s="175"/>
      <c r="AE377" s="175"/>
    </row>
    <row r="378" spans="1:50" ht="15.75" customHeight="1">
      <c r="A378" s="670"/>
      <c r="AB378" s="175"/>
      <c r="AC378" s="175"/>
      <c r="AD378" s="175"/>
      <c r="AE378" s="175"/>
    </row>
    <row r="379" spans="1:50" ht="15.75" customHeight="1">
      <c r="A379" s="670"/>
      <c r="AB379" s="175"/>
      <c r="AC379" s="175"/>
      <c r="AD379" s="175"/>
      <c r="AE379" s="175"/>
    </row>
    <row r="380" spans="1:50" ht="15.75" customHeight="1">
      <c r="A380" s="670"/>
      <c r="AB380" s="175"/>
      <c r="AC380" s="175"/>
      <c r="AD380" s="175"/>
      <c r="AE380" s="175"/>
    </row>
    <row r="381" spans="1:50" ht="15.75" customHeight="1">
      <c r="A381" s="670"/>
      <c r="AB381" s="175"/>
      <c r="AC381" s="175"/>
      <c r="AD381" s="175"/>
      <c r="AE381" s="175"/>
    </row>
    <row r="382" spans="1:50" ht="15.75" customHeight="1">
      <c r="A382" s="670"/>
      <c r="AB382" s="175"/>
      <c r="AC382" s="175"/>
      <c r="AD382" s="175"/>
      <c r="AE382" s="175"/>
    </row>
    <row r="383" spans="1:50" ht="15.75" customHeight="1">
      <c r="A383" s="670"/>
      <c r="AB383" s="175"/>
      <c r="AC383" s="175"/>
      <c r="AD383" s="175"/>
      <c r="AE383" s="175"/>
    </row>
    <row r="384" spans="1:50" ht="15.75" customHeight="1">
      <c r="A384" s="670"/>
      <c r="AB384" s="175"/>
      <c r="AC384" s="175"/>
      <c r="AD384" s="175"/>
      <c r="AE384" s="175"/>
    </row>
    <row r="385" spans="1:31" ht="15.75" customHeight="1">
      <c r="A385" s="670"/>
      <c r="AB385" s="175"/>
      <c r="AC385" s="175"/>
      <c r="AD385" s="175"/>
      <c r="AE385" s="175"/>
    </row>
    <row r="386" spans="1:31" ht="15.75" customHeight="1">
      <c r="A386" s="670"/>
      <c r="AB386" s="175"/>
      <c r="AC386" s="175"/>
      <c r="AD386" s="175"/>
      <c r="AE386" s="175"/>
    </row>
    <row r="387" spans="1:31" ht="15.75" customHeight="1">
      <c r="A387" s="670"/>
      <c r="AB387" s="175"/>
      <c r="AC387" s="175"/>
      <c r="AD387" s="175"/>
      <c r="AE387" s="175"/>
    </row>
    <row r="388" spans="1:31" ht="15.75" customHeight="1">
      <c r="A388" s="670"/>
      <c r="AB388" s="175"/>
      <c r="AC388" s="175"/>
      <c r="AD388" s="175"/>
      <c r="AE388" s="175"/>
    </row>
    <row r="389" spans="1:31" ht="15.75" customHeight="1">
      <c r="A389" s="670"/>
      <c r="AB389" s="175"/>
      <c r="AC389" s="175"/>
      <c r="AD389" s="175"/>
      <c r="AE389" s="175"/>
    </row>
    <row r="390" spans="1:31" ht="15.75" customHeight="1">
      <c r="A390" s="670"/>
      <c r="AB390" s="175"/>
      <c r="AC390" s="175"/>
      <c r="AD390" s="175"/>
      <c r="AE390" s="175"/>
    </row>
    <row r="391" spans="1:31" ht="15.75" customHeight="1">
      <c r="A391" s="670"/>
      <c r="AB391" s="175"/>
      <c r="AC391" s="175"/>
      <c r="AD391" s="175"/>
      <c r="AE391" s="175"/>
    </row>
    <row r="392" spans="1:31" ht="15.75" customHeight="1">
      <c r="A392" s="670"/>
      <c r="AB392" s="175"/>
      <c r="AC392" s="175"/>
      <c r="AD392" s="175"/>
      <c r="AE392" s="175"/>
    </row>
    <row r="393" spans="1:31" ht="15.75" customHeight="1">
      <c r="A393" s="670"/>
      <c r="AB393" s="175"/>
      <c r="AC393" s="175"/>
      <c r="AD393" s="175"/>
      <c r="AE393" s="175"/>
    </row>
    <row r="394" spans="1:31" ht="15.75" customHeight="1">
      <c r="A394" s="670"/>
      <c r="AB394" s="175"/>
      <c r="AC394" s="175"/>
      <c r="AD394" s="175"/>
      <c r="AE394" s="175"/>
    </row>
    <row r="395" spans="1:31" ht="15.75" customHeight="1">
      <c r="A395" s="670"/>
      <c r="AB395" s="175"/>
      <c r="AC395" s="175"/>
      <c r="AD395" s="175"/>
      <c r="AE395" s="175"/>
    </row>
    <row r="396" spans="1:31" ht="15.75" customHeight="1">
      <c r="A396" s="670"/>
      <c r="AB396" s="175"/>
      <c r="AC396" s="175"/>
      <c r="AD396" s="175"/>
      <c r="AE396" s="175"/>
    </row>
    <row r="397" spans="1:31" ht="15.75" customHeight="1">
      <c r="A397" s="670"/>
      <c r="AB397" s="175"/>
      <c r="AC397" s="175"/>
      <c r="AD397" s="175"/>
      <c r="AE397" s="175"/>
    </row>
    <row r="398" spans="1:31" ht="15.75" customHeight="1">
      <c r="A398" s="670"/>
      <c r="AB398" s="175"/>
      <c r="AC398" s="175"/>
      <c r="AD398" s="175"/>
      <c r="AE398" s="175"/>
    </row>
    <row r="399" spans="1:31" ht="15.75" customHeight="1">
      <c r="A399" s="670"/>
      <c r="AB399" s="175"/>
      <c r="AC399" s="175"/>
      <c r="AD399" s="175"/>
      <c r="AE399" s="175"/>
    </row>
    <row r="400" spans="1:31" ht="15.75" customHeight="1">
      <c r="A400" s="670"/>
      <c r="AB400" s="175"/>
      <c r="AC400" s="175"/>
      <c r="AD400" s="175"/>
      <c r="AE400" s="175"/>
    </row>
    <row r="401" spans="1:31" ht="15.75" customHeight="1">
      <c r="A401" s="670"/>
      <c r="AB401" s="175"/>
      <c r="AC401" s="175"/>
      <c r="AD401" s="175"/>
      <c r="AE401" s="175"/>
    </row>
    <row r="402" spans="1:31" ht="15.75" customHeight="1">
      <c r="A402" s="670"/>
      <c r="AB402" s="175"/>
      <c r="AC402" s="175"/>
      <c r="AD402" s="175"/>
      <c r="AE402" s="175"/>
    </row>
    <row r="403" spans="1:31" ht="15.75" customHeight="1">
      <c r="A403" s="670"/>
      <c r="AB403" s="175"/>
      <c r="AC403" s="175"/>
      <c r="AD403" s="175"/>
      <c r="AE403" s="175"/>
    </row>
    <row r="404" spans="1:31" ht="15.75" customHeight="1">
      <c r="A404" s="670"/>
      <c r="AB404" s="175"/>
      <c r="AC404" s="175"/>
      <c r="AD404" s="175"/>
      <c r="AE404" s="175"/>
    </row>
    <row r="405" spans="1:31" ht="15.75" customHeight="1">
      <c r="A405" s="670"/>
      <c r="AB405" s="175"/>
      <c r="AC405" s="175"/>
      <c r="AD405" s="175"/>
      <c r="AE405" s="175"/>
    </row>
    <row r="406" spans="1:31" ht="15.75" customHeight="1">
      <c r="A406" s="670"/>
      <c r="AB406" s="175"/>
      <c r="AC406" s="175"/>
      <c r="AD406" s="175"/>
      <c r="AE406" s="175"/>
    </row>
    <row r="407" spans="1:31" ht="15.75" customHeight="1">
      <c r="A407" s="670"/>
      <c r="AB407" s="175"/>
      <c r="AC407" s="175"/>
      <c r="AD407" s="175"/>
      <c r="AE407" s="175"/>
    </row>
    <row r="408" spans="1:31" ht="15.75" customHeight="1">
      <c r="A408" s="670"/>
      <c r="AB408" s="175"/>
      <c r="AC408" s="175"/>
      <c r="AD408" s="175"/>
      <c r="AE408" s="175"/>
    </row>
    <row r="409" spans="1:31" ht="15.75" customHeight="1">
      <c r="A409" s="670"/>
      <c r="AB409" s="175"/>
      <c r="AC409" s="175"/>
      <c r="AD409" s="175"/>
      <c r="AE409" s="175"/>
    </row>
    <row r="410" spans="1:31" ht="15.75" customHeight="1">
      <c r="A410" s="670"/>
      <c r="AB410" s="175"/>
      <c r="AC410" s="175"/>
      <c r="AD410" s="175"/>
      <c r="AE410" s="175"/>
    </row>
    <row r="411" spans="1:31" ht="15.75" customHeight="1">
      <c r="A411" s="670"/>
      <c r="AB411" s="175"/>
      <c r="AC411" s="175"/>
      <c r="AD411" s="175"/>
      <c r="AE411" s="175"/>
    </row>
    <row r="412" spans="1:31" ht="15.75" customHeight="1">
      <c r="A412" s="670"/>
      <c r="AB412" s="175"/>
      <c r="AC412" s="175"/>
      <c r="AD412" s="175"/>
      <c r="AE412" s="175"/>
    </row>
    <row r="413" spans="1:31" ht="15.75" customHeight="1">
      <c r="A413" s="670"/>
      <c r="AB413" s="175"/>
      <c r="AC413" s="175"/>
      <c r="AD413" s="175"/>
      <c r="AE413" s="175"/>
    </row>
    <row r="414" spans="1:31" ht="15.75" customHeight="1">
      <c r="A414" s="670"/>
      <c r="AB414" s="175"/>
      <c r="AC414" s="175"/>
      <c r="AD414" s="175"/>
      <c r="AE414" s="175"/>
    </row>
    <row r="415" spans="1:31" ht="15.75" customHeight="1">
      <c r="A415" s="670"/>
      <c r="AB415" s="175"/>
      <c r="AC415" s="175"/>
      <c r="AD415" s="175"/>
      <c r="AE415" s="175"/>
    </row>
    <row r="416" spans="1:31" ht="15.75" customHeight="1">
      <c r="A416" s="670"/>
      <c r="AB416" s="175"/>
      <c r="AC416" s="175"/>
      <c r="AD416" s="175"/>
      <c r="AE416" s="175"/>
    </row>
    <row r="417" spans="1:31" ht="15.75" customHeight="1">
      <c r="A417" s="670"/>
      <c r="AB417" s="175"/>
      <c r="AC417" s="175"/>
      <c r="AD417" s="175"/>
      <c r="AE417" s="175"/>
    </row>
    <row r="418" spans="1:31" ht="15.75" customHeight="1">
      <c r="A418" s="670"/>
      <c r="AB418" s="175"/>
      <c r="AC418" s="175"/>
      <c r="AD418" s="175"/>
      <c r="AE418" s="175"/>
    </row>
    <row r="419" spans="1:31" ht="15.75" customHeight="1">
      <c r="A419" s="670"/>
      <c r="AB419" s="175"/>
      <c r="AC419" s="175"/>
      <c r="AD419" s="175"/>
      <c r="AE419" s="175"/>
    </row>
    <row r="420" spans="1:31" ht="15.75" customHeight="1">
      <c r="A420" s="670"/>
      <c r="AB420" s="175"/>
      <c r="AC420" s="175"/>
      <c r="AD420" s="175"/>
      <c r="AE420" s="175"/>
    </row>
    <row r="421" spans="1:31" ht="15.75" customHeight="1">
      <c r="A421" s="670"/>
      <c r="AB421" s="175"/>
      <c r="AC421" s="175"/>
      <c r="AD421" s="175"/>
      <c r="AE421" s="175"/>
    </row>
    <row r="422" spans="1:31" ht="15.75" customHeight="1">
      <c r="A422" s="670"/>
      <c r="AB422" s="175"/>
      <c r="AC422" s="175"/>
      <c r="AD422" s="175"/>
      <c r="AE422" s="175"/>
    </row>
    <row r="423" spans="1:31" ht="15.75" customHeight="1">
      <c r="A423" s="670"/>
      <c r="AB423" s="175"/>
      <c r="AC423" s="175"/>
      <c r="AD423" s="175"/>
      <c r="AE423" s="175"/>
    </row>
    <row r="424" spans="1:31" ht="15.75" customHeight="1">
      <c r="A424" s="670"/>
      <c r="AB424" s="175"/>
      <c r="AC424" s="175"/>
      <c r="AD424" s="175"/>
      <c r="AE424" s="175"/>
    </row>
    <row r="425" spans="1:31" ht="15.75" customHeight="1">
      <c r="A425" s="670"/>
      <c r="AB425" s="175"/>
      <c r="AC425" s="175"/>
      <c r="AD425" s="175"/>
      <c r="AE425" s="175"/>
    </row>
    <row r="426" spans="1:31" ht="15.75" customHeight="1">
      <c r="A426" s="670"/>
      <c r="AB426" s="175"/>
      <c r="AC426" s="175"/>
      <c r="AD426" s="175"/>
      <c r="AE426" s="175"/>
    </row>
    <row r="427" spans="1:31" ht="15.75" customHeight="1">
      <c r="A427" s="670"/>
      <c r="AB427" s="175"/>
      <c r="AC427" s="175"/>
      <c r="AD427" s="175"/>
      <c r="AE427" s="175"/>
    </row>
    <row r="428" spans="1:31" ht="15.75" customHeight="1">
      <c r="A428" s="670"/>
      <c r="AB428" s="175"/>
      <c r="AC428" s="175"/>
      <c r="AD428" s="175"/>
      <c r="AE428" s="175"/>
    </row>
    <row r="429" spans="1:31" ht="15.75" customHeight="1">
      <c r="A429" s="670"/>
      <c r="AB429" s="175"/>
      <c r="AC429" s="175"/>
      <c r="AD429" s="175"/>
      <c r="AE429" s="175"/>
    </row>
    <row r="430" spans="1:31" ht="15.75" customHeight="1">
      <c r="A430" s="670"/>
      <c r="AB430" s="175"/>
      <c r="AC430" s="175"/>
      <c r="AD430" s="175"/>
      <c r="AE430" s="175"/>
    </row>
    <row r="431" spans="1:31" ht="15.75" customHeight="1">
      <c r="A431" s="670"/>
      <c r="AB431" s="175"/>
      <c r="AC431" s="175"/>
      <c r="AD431" s="175"/>
      <c r="AE431" s="175"/>
    </row>
    <row r="432" spans="1:31" ht="15.75" customHeight="1">
      <c r="A432" s="670"/>
      <c r="AB432" s="175"/>
      <c r="AC432" s="175"/>
      <c r="AD432" s="175"/>
      <c r="AE432" s="175"/>
    </row>
    <row r="433" spans="1:31" ht="15.75" customHeight="1">
      <c r="A433" s="670"/>
      <c r="AB433" s="175"/>
      <c r="AC433" s="175"/>
      <c r="AD433" s="175"/>
      <c r="AE433" s="175"/>
    </row>
    <row r="434" spans="1:31" ht="15.75" customHeight="1">
      <c r="A434" s="670"/>
      <c r="AB434" s="175"/>
      <c r="AC434" s="175"/>
      <c r="AD434" s="175"/>
      <c r="AE434" s="175"/>
    </row>
    <row r="435" spans="1:31" ht="15.75" customHeight="1">
      <c r="A435" s="670"/>
      <c r="AB435" s="175"/>
      <c r="AC435" s="175"/>
      <c r="AD435" s="175"/>
      <c r="AE435" s="175"/>
    </row>
    <row r="436" spans="1:31" ht="15.75" customHeight="1">
      <c r="A436" s="670"/>
      <c r="AB436" s="175"/>
      <c r="AC436" s="175"/>
      <c r="AD436" s="175"/>
      <c r="AE436" s="175"/>
    </row>
    <row r="437" spans="1:31" ht="15.75" customHeight="1">
      <c r="A437" s="670"/>
      <c r="AB437" s="175"/>
      <c r="AC437" s="175"/>
      <c r="AD437" s="175"/>
      <c r="AE437" s="175"/>
    </row>
    <row r="438" spans="1:31" ht="15.75" customHeight="1">
      <c r="A438" s="670"/>
      <c r="AB438" s="175"/>
      <c r="AC438" s="175"/>
      <c r="AD438" s="175"/>
      <c r="AE438" s="175"/>
    </row>
    <row r="439" spans="1:31" ht="15.75" customHeight="1">
      <c r="A439" s="670"/>
      <c r="AB439" s="175"/>
      <c r="AC439" s="175"/>
      <c r="AD439" s="175"/>
      <c r="AE439" s="175"/>
    </row>
    <row r="440" spans="1:31" ht="15.75" customHeight="1">
      <c r="A440" s="670"/>
      <c r="AB440" s="175"/>
      <c r="AC440" s="175"/>
      <c r="AD440" s="175"/>
      <c r="AE440" s="175"/>
    </row>
    <row r="441" spans="1:31" ht="15.75" customHeight="1">
      <c r="A441" s="670"/>
      <c r="AB441" s="175"/>
      <c r="AC441" s="175"/>
      <c r="AD441" s="175"/>
      <c r="AE441" s="175"/>
    </row>
    <row r="442" spans="1:31" ht="15.75" customHeight="1">
      <c r="A442" s="670"/>
      <c r="AB442" s="175"/>
      <c r="AC442" s="175"/>
      <c r="AD442" s="175"/>
      <c r="AE442" s="175"/>
    </row>
    <row r="443" spans="1:31" ht="15.75" customHeight="1">
      <c r="A443" s="670"/>
      <c r="AB443" s="175"/>
      <c r="AC443" s="175"/>
      <c r="AD443" s="175"/>
      <c r="AE443" s="175"/>
    </row>
    <row r="444" spans="1:31" ht="15.75" customHeight="1">
      <c r="A444" s="670"/>
      <c r="AB444" s="175"/>
      <c r="AC444" s="175"/>
      <c r="AD444" s="175"/>
      <c r="AE444" s="175"/>
    </row>
    <row r="445" spans="1:31" ht="15.75" customHeight="1">
      <c r="A445" s="670"/>
      <c r="AB445" s="175"/>
      <c r="AC445" s="175"/>
      <c r="AD445" s="175"/>
      <c r="AE445" s="175"/>
    </row>
    <row r="446" spans="1:31" ht="15.75" customHeight="1">
      <c r="A446" s="670"/>
      <c r="AB446" s="175"/>
      <c r="AC446" s="175"/>
      <c r="AD446" s="175"/>
      <c r="AE446" s="175"/>
    </row>
    <row r="447" spans="1:31" ht="15.75" customHeight="1">
      <c r="A447" s="670"/>
      <c r="AB447" s="175"/>
      <c r="AC447" s="175"/>
      <c r="AD447" s="175"/>
      <c r="AE447" s="175"/>
    </row>
    <row r="448" spans="1:31" ht="15.75" customHeight="1">
      <c r="A448" s="670"/>
      <c r="AB448" s="175"/>
      <c r="AC448" s="175"/>
      <c r="AD448" s="175"/>
      <c r="AE448" s="175"/>
    </row>
    <row r="449" spans="1:31" ht="15.75" customHeight="1">
      <c r="A449" s="670"/>
      <c r="AB449" s="175"/>
      <c r="AC449" s="175"/>
      <c r="AD449" s="175"/>
      <c r="AE449" s="175"/>
    </row>
    <row r="450" spans="1:31" ht="15.75" customHeight="1">
      <c r="A450" s="670"/>
      <c r="AB450" s="175"/>
      <c r="AC450" s="175"/>
      <c r="AD450" s="175"/>
      <c r="AE450" s="175"/>
    </row>
    <row r="451" spans="1:31" ht="15.75" customHeight="1">
      <c r="A451" s="670"/>
      <c r="AB451" s="175"/>
      <c r="AC451" s="175"/>
      <c r="AD451" s="175"/>
      <c r="AE451" s="175"/>
    </row>
    <row r="452" spans="1:31" ht="15.75" customHeight="1">
      <c r="A452" s="670"/>
      <c r="AB452" s="175"/>
      <c r="AC452" s="175"/>
      <c r="AD452" s="175"/>
      <c r="AE452" s="175"/>
    </row>
    <row r="453" spans="1:31" ht="15.75" customHeight="1">
      <c r="A453" s="670"/>
      <c r="AB453" s="175"/>
      <c r="AC453" s="175"/>
      <c r="AD453" s="175"/>
      <c r="AE453" s="175"/>
    </row>
    <row r="454" spans="1:31" ht="15.75" customHeight="1">
      <c r="A454" s="670"/>
      <c r="AB454" s="175"/>
      <c r="AC454" s="175"/>
      <c r="AD454" s="175"/>
      <c r="AE454" s="175"/>
    </row>
    <row r="455" spans="1:31" ht="15.75" customHeight="1">
      <c r="A455" s="670"/>
      <c r="AB455" s="175"/>
      <c r="AC455" s="175"/>
      <c r="AD455" s="175"/>
      <c r="AE455" s="175"/>
    </row>
    <row r="456" spans="1:31" ht="15.75" customHeight="1">
      <c r="A456" s="670"/>
      <c r="AB456" s="175"/>
      <c r="AC456" s="175"/>
      <c r="AD456" s="175"/>
      <c r="AE456" s="175"/>
    </row>
    <row r="457" spans="1:31" ht="15.75" customHeight="1">
      <c r="A457" s="670"/>
      <c r="AB457" s="175"/>
      <c r="AC457" s="175"/>
      <c r="AD457" s="175"/>
      <c r="AE457" s="175"/>
    </row>
    <row r="458" spans="1:31" ht="15.75" customHeight="1">
      <c r="A458" s="670"/>
      <c r="AB458" s="175"/>
      <c r="AC458" s="175"/>
      <c r="AD458" s="175"/>
      <c r="AE458" s="175"/>
    </row>
    <row r="459" spans="1:31" ht="15.75" customHeight="1">
      <c r="A459" s="670"/>
      <c r="AB459" s="175"/>
      <c r="AC459" s="175"/>
      <c r="AD459" s="175"/>
      <c r="AE459" s="175"/>
    </row>
    <row r="460" spans="1:31" ht="15.75" customHeight="1">
      <c r="A460" s="670"/>
      <c r="AB460" s="175"/>
      <c r="AC460" s="175"/>
      <c r="AD460" s="175"/>
      <c r="AE460" s="175"/>
    </row>
    <row r="461" spans="1:31" ht="15.75" customHeight="1">
      <c r="A461" s="670"/>
      <c r="AB461" s="175"/>
      <c r="AC461" s="175"/>
      <c r="AD461" s="175"/>
      <c r="AE461" s="175"/>
    </row>
    <row r="462" spans="1:31" ht="15.75" customHeight="1">
      <c r="A462" s="670"/>
      <c r="AB462" s="175"/>
      <c r="AC462" s="175"/>
      <c r="AD462" s="175"/>
      <c r="AE462" s="175"/>
    </row>
    <row r="463" spans="1:31" ht="15.75" customHeight="1">
      <c r="A463" s="670"/>
      <c r="AB463" s="175"/>
      <c r="AC463" s="175"/>
      <c r="AD463" s="175"/>
      <c r="AE463" s="175"/>
    </row>
    <row r="464" spans="1:31" ht="15.75" customHeight="1">
      <c r="A464" s="670"/>
      <c r="AB464" s="175"/>
      <c r="AC464" s="175"/>
      <c r="AD464" s="175"/>
      <c r="AE464" s="175"/>
    </row>
    <row r="465" spans="1:31" ht="15.75" customHeight="1">
      <c r="A465" s="670"/>
      <c r="AB465" s="175"/>
      <c r="AC465" s="175"/>
      <c r="AD465" s="175"/>
      <c r="AE465" s="175"/>
    </row>
    <row r="466" spans="1:31" ht="15.75" customHeight="1">
      <c r="A466" s="670"/>
      <c r="AB466" s="175"/>
      <c r="AC466" s="175"/>
      <c r="AD466" s="175"/>
      <c r="AE466" s="175"/>
    </row>
    <row r="467" spans="1:31" ht="15.75" customHeight="1">
      <c r="A467" s="670"/>
      <c r="AB467" s="175"/>
      <c r="AC467" s="175"/>
      <c r="AD467" s="175"/>
      <c r="AE467" s="175"/>
    </row>
    <row r="468" spans="1:31" ht="15.75" customHeight="1">
      <c r="A468" s="670"/>
      <c r="AB468" s="175"/>
      <c r="AC468" s="175"/>
      <c r="AD468" s="175"/>
      <c r="AE468" s="175"/>
    </row>
    <row r="469" spans="1:31" ht="15.75" customHeight="1">
      <c r="A469" s="670"/>
      <c r="AB469" s="175"/>
      <c r="AC469" s="175"/>
      <c r="AD469" s="175"/>
      <c r="AE469" s="175"/>
    </row>
    <row r="470" spans="1:31" ht="15.75" customHeight="1">
      <c r="A470" s="670"/>
      <c r="AB470" s="175"/>
      <c r="AC470" s="175"/>
      <c r="AD470" s="175"/>
      <c r="AE470" s="175"/>
    </row>
    <row r="471" spans="1:31" ht="15.75" customHeight="1">
      <c r="A471" s="670"/>
      <c r="AB471" s="175"/>
      <c r="AC471" s="175"/>
      <c r="AD471" s="175"/>
      <c r="AE471" s="175"/>
    </row>
    <row r="472" spans="1:31" ht="15.75" customHeight="1">
      <c r="A472" s="670"/>
      <c r="AB472" s="175"/>
      <c r="AC472" s="175"/>
      <c r="AD472" s="175"/>
      <c r="AE472" s="175"/>
    </row>
    <row r="473" spans="1:31" ht="15.75" customHeight="1">
      <c r="A473" s="670"/>
      <c r="AB473" s="175"/>
      <c r="AC473" s="175"/>
      <c r="AD473" s="175"/>
      <c r="AE473" s="175"/>
    </row>
    <row r="474" spans="1:31" ht="15.75" customHeight="1">
      <c r="A474" s="670"/>
      <c r="AB474" s="175"/>
      <c r="AC474" s="175"/>
      <c r="AD474" s="175"/>
      <c r="AE474" s="175"/>
    </row>
    <row r="475" spans="1:31" ht="15.75" customHeight="1">
      <c r="A475" s="670"/>
      <c r="AB475" s="175"/>
      <c r="AC475" s="175"/>
      <c r="AD475" s="175"/>
      <c r="AE475" s="175"/>
    </row>
    <row r="476" spans="1:31" ht="15.75" customHeight="1">
      <c r="A476" s="670"/>
      <c r="AB476" s="175"/>
      <c r="AC476" s="175"/>
      <c r="AD476" s="175"/>
      <c r="AE476" s="175"/>
    </row>
    <row r="477" spans="1:31" ht="15.75" customHeight="1">
      <c r="A477" s="670"/>
      <c r="AB477" s="175"/>
      <c r="AC477" s="175"/>
      <c r="AD477" s="175"/>
      <c r="AE477" s="175"/>
    </row>
    <row r="478" spans="1:31" ht="15.75" customHeight="1">
      <c r="A478" s="670"/>
      <c r="AB478" s="175"/>
      <c r="AC478" s="175"/>
      <c r="AD478" s="175"/>
      <c r="AE478" s="175"/>
    </row>
    <row r="479" spans="1:31" ht="15.75" customHeight="1">
      <c r="A479" s="670"/>
      <c r="AB479" s="175"/>
      <c r="AC479" s="175"/>
      <c r="AD479" s="175"/>
      <c r="AE479" s="175"/>
    </row>
    <row r="480" spans="1:31" ht="15.75" customHeight="1">
      <c r="A480" s="670"/>
      <c r="AB480" s="175"/>
      <c r="AC480" s="175"/>
      <c r="AD480" s="175"/>
      <c r="AE480" s="175"/>
    </row>
    <row r="481" spans="1:31" ht="15.75" customHeight="1">
      <c r="A481" s="670"/>
      <c r="AB481" s="175"/>
      <c r="AC481" s="175"/>
      <c r="AD481" s="175"/>
      <c r="AE481" s="175"/>
    </row>
    <row r="482" spans="1:31" ht="15.75" customHeight="1">
      <c r="A482" s="670"/>
      <c r="AB482" s="175"/>
      <c r="AC482" s="175"/>
      <c r="AD482" s="175"/>
      <c r="AE482" s="175"/>
    </row>
    <row r="483" spans="1:31" ht="15.75" customHeight="1">
      <c r="A483" s="670"/>
      <c r="AB483" s="175"/>
      <c r="AC483" s="175"/>
      <c r="AD483" s="175"/>
      <c r="AE483" s="175"/>
    </row>
    <row r="484" spans="1:31" ht="15.75" customHeight="1">
      <c r="A484" s="670"/>
      <c r="AB484" s="175"/>
      <c r="AC484" s="175"/>
      <c r="AD484" s="175"/>
      <c r="AE484" s="175"/>
    </row>
    <row r="485" spans="1:31" ht="15.75" customHeight="1">
      <c r="A485" s="670"/>
      <c r="AB485" s="175"/>
      <c r="AC485" s="175"/>
      <c r="AD485" s="175"/>
      <c r="AE485" s="175"/>
    </row>
    <row r="486" spans="1:31" ht="15.75" customHeight="1">
      <c r="A486" s="670"/>
      <c r="AB486" s="175"/>
      <c r="AC486" s="175"/>
      <c r="AD486" s="175"/>
      <c r="AE486" s="175"/>
    </row>
    <row r="487" spans="1:31" ht="15.75" customHeight="1">
      <c r="A487" s="670"/>
      <c r="AB487" s="175"/>
      <c r="AC487" s="175"/>
      <c r="AD487" s="175"/>
      <c r="AE487" s="175"/>
    </row>
    <row r="488" spans="1:31" ht="15.75" customHeight="1">
      <c r="A488" s="670"/>
      <c r="AB488" s="175"/>
      <c r="AC488" s="175"/>
      <c r="AD488" s="175"/>
      <c r="AE488" s="175"/>
    </row>
    <row r="489" spans="1:31" ht="15.75" customHeight="1">
      <c r="A489" s="670"/>
      <c r="AB489" s="175"/>
      <c r="AC489" s="175"/>
      <c r="AD489" s="175"/>
      <c r="AE489" s="175"/>
    </row>
    <row r="490" spans="1:31" ht="15.75" customHeight="1">
      <c r="A490" s="670"/>
      <c r="AB490" s="175"/>
      <c r="AC490" s="175"/>
      <c r="AD490" s="175"/>
      <c r="AE490" s="175"/>
    </row>
    <row r="491" spans="1:31" ht="15.75" customHeight="1">
      <c r="A491" s="670"/>
      <c r="AB491" s="175"/>
      <c r="AC491" s="175"/>
      <c r="AD491" s="175"/>
      <c r="AE491" s="175"/>
    </row>
    <row r="492" spans="1:31" ht="15.75" customHeight="1">
      <c r="A492" s="670"/>
      <c r="AB492" s="175"/>
      <c r="AC492" s="175"/>
      <c r="AD492" s="175"/>
      <c r="AE492" s="175"/>
    </row>
    <row r="493" spans="1:31" ht="15.75" customHeight="1">
      <c r="A493" s="670"/>
      <c r="AB493" s="175"/>
      <c r="AC493" s="175"/>
      <c r="AD493" s="175"/>
      <c r="AE493" s="175"/>
    </row>
    <row r="494" spans="1:31" ht="15.75" customHeight="1">
      <c r="A494" s="670"/>
      <c r="AB494" s="175"/>
      <c r="AC494" s="175"/>
      <c r="AD494" s="175"/>
      <c r="AE494" s="175"/>
    </row>
    <row r="495" spans="1:31" ht="15.75" customHeight="1">
      <c r="A495" s="670"/>
      <c r="AB495" s="175"/>
      <c r="AC495" s="175"/>
      <c r="AD495" s="175"/>
      <c r="AE495" s="175"/>
    </row>
    <row r="496" spans="1:31" ht="15.75" customHeight="1">
      <c r="A496" s="670"/>
      <c r="AB496" s="175"/>
      <c r="AC496" s="175"/>
      <c r="AD496" s="175"/>
      <c r="AE496" s="175"/>
    </row>
    <row r="497" spans="1:31" ht="15.75" customHeight="1">
      <c r="A497" s="670"/>
      <c r="AB497" s="175"/>
      <c r="AC497" s="175"/>
      <c r="AD497" s="175"/>
      <c r="AE497" s="175"/>
    </row>
    <row r="498" spans="1:31" ht="15.75" customHeight="1">
      <c r="A498" s="670"/>
      <c r="AB498" s="175"/>
      <c r="AC498" s="175"/>
      <c r="AD498" s="175"/>
      <c r="AE498" s="175"/>
    </row>
    <row r="499" spans="1:31" ht="15.75" customHeight="1">
      <c r="A499" s="670"/>
      <c r="AB499" s="175"/>
      <c r="AC499" s="175"/>
      <c r="AD499" s="175"/>
      <c r="AE499" s="175"/>
    </row>
    <row r="500" spans="1:31" ht="15.75" customHeight="1">
      <c r="A500" s="670"/>
      <c r="AB500" s="175"/>
      <c r="AC500" s="175"/>
      <c r="AD500" s="175"/>
      <c r="AE500" s="175"/>
    </row>
    <row r="501" spans="1:31" ht="15.75" customHeight="1">
      <c r="A501" s="670"/>
      <c r="AB501" s="175"/>
      <c r="AC501" s="175"/>
      <c r="AD501" s="175"/>
      <c r="AE501" s="175"/>
    </row>
    <row r="502" spans="1:31" ht="15.75" customHeight="1">
      <c r="A502" s="670"/>
      <c r="AB502" s="175"/>
      <c r="AC502" s="175"/>
      <c r="AD502" s="175"/>
      <c r="AE502" s="175"/>
    </row>
    <row r="503" spans="1:31" ht="15.75" customHeight="1">
      <c r="A503" s="670"/>
      <c r="AB503" s="175"/>
      <c r="AC503" s="175"/>
      <c r="AD503" s="175"/>
      <c r="AE503" s="175"/>
    </row>
    <row r="504" spans="1:31" ht="15.75" customHeight="1">
      <c r="A504" s="670"/>
      <c r="AB504" s="175"/>
      <c r="AC504" s="175"/>
      <c r="AD504" s="175"/>
      <c r="AE504" s="175"/>
    </row>
    <row r="505" spans="1:31" ht="15.75" customHeight="1">
      <c r="A505" s="670"/>
      <c r="AB505" s="175"/>
      <c r="AC505" s="175"/>
      <c r="AD505" s="175"/>
      <c r="AE505" s="175"/>
    </row>
    <row r="506" spans="1:31" ht="15.75" customHeight="1">
      <c r="A506" s="670"/>
      <c r="AB506" s="175"/>
      <c r="AC506" s="175"/>
      <c r="AD506" s="175"/>
      <c r="AE506" s="175"/>
    </row>
    <row r="507" spans="1:31" ht="15.75" customHeight="1">
      <c r="A507" s="670"/>
      <c r="AB507" s="175"/>
      <c r="AC507" s="175"/>
      <c r="AD507" s="175"/>
      <c r="AE507" s="175"/>
    </row>
    <row r="508" spans="1:31" ht="15.75" customHeight="1">
      <c r="A508" s="670"/>
      <c r="AB508" s="175"/>
      <c r="AC508" s="175"/>
      <c r="AD508" s="175"/>
      <c r="AE508" s="175"/>
    </row>
    <row r="509" spans="1:31" ht="15.75" customHeight="1">
      <c r="A509" s="670"/>
      <c r="AB509" s="175"/>
      <c r="AC509" s="175"/>
      <c r="AD509" s="175"/>
      <c r="AE509" s="175"/>
    </row>
    <row r="510" spans="1:31" ht="15.75" customHeight="1">
      <c r="A510" s="670"/>
      <c r="AB510" s="175"/>
      <c r="AC510" s="175"/>
      <c r="AD510" s="175"/>
      <c r="AE510" s="175"/>
    </row>
    <row r="511" spans="1:31" ht="15.75" customHeight="1">
      <c r="A511" s="670"/>
      <c r="AB511" s="175"/>
      <c r="AC511" s="175"/>
      <c r="AD511" s="175"/>
      <c r="AE511" s="175"/>
    </row>
    <row r="512" spans="1:31" ht="15.75" customHeight="1">
      <c r="A512" s="670"/>
      <c r="AB512" s="175"/>
      <c r="AC512" s="175"/>
      <c r="AD512" s="175"/>
      <c r="AE512" s="175"/>
    </row>
    <row r="513" spans="1:31" ht="15.75" customHeight="1">
      <c r="A513" s="670"/>
      <c r="AB513" s="175"/>
      <c r="AC513" s="175"/>
      <c r="AD513" s="175"/>
      <c r="AE513" s="175"/>
    </row>
    <row r="514" spans="1:31" ht="15.75" customHeight="1">
      <c r="A514" s="670"/>
      <c r="AB514" s="175"/>
      <c r="AC514" s="175"/>
      <c r="AD514" s="175"/>
      <c r="AE514" s="175"/>
    </row>
    <row r="515" spans="1:31" ht="15.75" customHeight="1">
      <c r="A515" s="670"/>
      <c r="AB515" s="175"/>
      <c r="AC515" s="175"/>
      <c r="AD515" s="175"/>
      <c r="AE515" s="175"/>
    </row>
    <row r="516" spans="1:31" ht="15.75" customHeight="1">
      <c r="A516" s="670"/>
      <c r="AB516" s="175"/>
      <c r="AC516" s="175"/>
      <c r="AD516" s="175"/>
      <c r="AE516" s="175"/>
    </row>
    <row r="517" spans="1:31" ht="15.75" customHeight="1">
      <c r="A517" s="670"/>
      <c r="AB517" s="175"/>
      <c r="AC517" s="175"/>
      <c r="AD517" s="175"/>
      <c r="AE517" s="175"/>
    </row>
    <row r="518" spans="1:31" ht="15.75" customHeight="1">
      <c r="A518" s="670"/>
      <c r="AB518" s="175"/>
      <c r="AC518" s="175"/>
      <c r="AD518" s="175"/>
      <c r="AE518" s="175"/>
    </row>
    <row r="519" spans="1:31" ht="15.75" customHeight="1">
      <c r="A519" s="670"/>
      <c r="AB519" s="175"/>
      <c r="AC519" s="175"/>
      <c r="AD519" s="175"/>
      <c r="AE519" s="175"/>
    </row>
    <row r="520" spans="1:31" ht="15.75" customHeight="1">
      <c r="A520" s="670"/>
      <c r="AB520" s="175"/>
      <c r="AC520" s="175"/>
      <c r="AD520" s="175"/>
      <c r="AE520" s="175"/>
    </row>
    <row r="521" spans="1:31" ht="15.75" customHeight="1">
      <c r="A521" s="670"/>
      <c r="AB521" s="175"/>
      <c r="AC521" s="175"/>
      <c r="AD521" s="175"/>
      <c r="AE521" s="175"/>
    </row>
    <row r="522" spans="1:31" ht="15.75" customHeight="1">
      <c r="A522" s="670"/>
      <c r="AB522" s="175"/>
      <c r="AC522" s="175"/>
      <c r="AD522" s="175"/>
      <c r="AE522" s="175"/>
    </row>
    <row r="523" spans="1:31" ht="15.75" customHeight="1">
      <c r="A523" s="670"/>
      <c r="AB523" s="175"/>
      <c r="AC523" s="175"/>
      <c r="AD523" s="175"/>
      <c r="AE523" s="175"/>
    </row>
    <row r="524" spans="1:31" ht="15.75" customHeight="1">
      <c r="A524" s="670"/>
      <c r="AB524" s="175"/>
      <c r="AC524" s="175"/>
      <c r="AD524" s="175"/>
      <c r="AE524" s="175"/>
    </row>
    <row r="525" spans="1:31" ht="15.75" customHeight="1">
      <c r="A525" s="670"/>
      <c r="AB525" s="175"/>
      <c r="AC525" s="175"/>
      <c r="AD525" s="175"/>
      <c r="AE525" s="175"/>
    </row>
    <row r="526" spans="1:31" ht="15.75" customHeight="1">
      <c r="A526" s="670"/>
      <c r="AB526" s="175"/>
      <c r="AC526" s="175"/>
      <c r="AD526" s="175"/>
      <c r="AE526" s="175"/>
    </row>
    <row r="527" spans="1:31" ht="15.75" customHeight="1">
      <c r="A527" s="670"/>
      <c r="AB527" s="175"/>
      <c r="AC527" s="175"/>
      <c r="AD527" s="175"/>
      <c r="AE527" s="175"/>
    </row>
    <row r="528" spans="1:31" ht="15.75" customHeight="1">
      <c r="A528" s="670"/>
      <c r="AB528" s="175"/>
      <c r="AC528" s="175"/>
      <c r="AD528" s="175"/>
      <c r="AE528" s="175"/>
    </row>
    <row r="529" spans="1:31" ht="15.75" customHeight="1">
      <c r="A529" s="670"/>
      <c r="AB529" s="175"/>
      <c r="AC529" s="175"/>
      <c r="AD529" s="175"/>
      <c r="AE529" s="175"/>
    </row>
    <row r="530" spans="1:31" ht="15.75" customHeight="1">
      <c r="A530" s="670"/>
      <c r="AB530" s="175"/>
      <c r="AC530" s="175"/>
      <c r="AD530" s="175"/>
      <c r="AE530" s="175"/>
    </row>
    <row r="531" spans="1:31" ht="15.75" customHeight="1">
      <c r="A531" s="670"/>
      <c r="AB531" s="175"/>
      <c r="AC531" s="175"/>
      <c r="AD531" s="175"/>
      <c r="AE531" s="175"/>
    </row>
    <row r="532" spans="1:31" ht="15.75" customHeight="1">
      <c r="A532" s="670"/>
      <c r="AB532" s="175"/>
      <c r="AC532" s="175"/>
      <c r="AD532" s="175"/>
      <c r="AE532" s="175"/>
    </row>
    <row r="533" spans="1:31" ht="15.75" customHeight="1">
      <c r="A533" s="670"/>
      <c r="AB533" s="175"/>
      <c r="AC533" s="175"/>
      <c r="AD533" s="175"/>
      <c r="AE533" s="175"/>
    </row>
    <row r="534" spans="1:31" ht="15.75" customHeight="1">
      <c r="A534" s="670"/>
      <c r="AB534" s="175"/>
      <c r="AC534" s="175"/>
      <c r="AD534" s="175"/>
      <c r="AE534" s="175"/>
    </row>
    <row r="535" spans="1:31" ht="15.75" customHeight="1">
      <c r="A535" s="670"/>
      <c r="AB535" s="175"/>
      <c r="AC535" s="175"/>
      <c r="AD535" s="175"/>
      <c r="AE535" s="175"/>
    </row>
    <row r="536" spans="1:31" ht="15.75" customHeight="1">
      <c r="A536" s="670"/>
      <c r="AB536" s="175"/>
      <c r="AC536" s="175"/>
      <c r="AD536" s="175"/>
      <c r="AE536" s="175"/>
    </row>
    <row r="537" spans="1:31" ht="15.75" customHeight="1">
      <c r="A537" s="670"/>
      <c r="AB537" s="175"/>
      <c r="AC537" s="175"/>
      <c r="AD537" s="175"/>
      <c r="AE537" s="175"/>
    </row>
    <row r="538" spans="1:31" ht="15.75" customHeight="1">
      <c r="A538" s="670"/>
      <c r="AB538" s="175"/>
      <c r="AC538" s="175"/>
      <c r="AD538" s="175"/>
      <c r="AE538" s="175"/>
    </row>
    <row r="539" spans="1:31" ht="15.75" customHeight="1">
      <c r="A539" s="670"/>
      <c r="AB539" s="175"/>
      <c r="AC539" s="175"/>
      <c r="AD539" s="175"/>
      <c r="AE539" s="175"/>
    </row>
    <row r="540" spans="1:31" ht="15.75" customHeight="1">
      <c r="A540" s="670"/>
      <c r="AB540" s="175"/>
      <c r="AC540" s="175"/>
      <c r="AD540" s="175"/>
      <c r="AE540" s="175"/>
    </row>
    <row r="541" spans="1:31" ht="15.75" customHeight="1">
      <c r="A541" s="670"/>
      <c r="AB541" s="175"/>
      <c r="AC541" s="175"/>
      <c r="AD541" s="175"/>
      <c r="AE541" s="175"/>
    </row>
    <row r="542" spans="1:31" ht="15.75" customHeight="1">
      <c r="A542" s="670"/>
      <c r="AB542" s="175"/>
      <c r="AC542" s="175"/>
      <c r="AD542" s="175"/>
      <c r="AE542" s="175"/>
    </row>
    <row r="543" spans="1:31" ht="15.75" customHeight="1">
      <c r="A543" s="670"/>
      <c r="AB543" s="175"/>
      <c r="AC543" s="175"/>
      <c r="AD543" s="175"/>
      <c r="AE543" s="175"/>
    </row>
    <row r="544" spans="1:31" ht="15.75" customHeight="1">
      <c r="A544" s="670"/>
      <c r="AB544" s="175"/>
      <c r="AC544" s="175"/>
      <c r="AD544" s="175"/>
      <c r="AE544" s="175"/>
    </row>
    <row r="545" spans="1:31" ht="15.75" customHeight="1">
      <c r="A545" s="670"/>
      <c r="AB545" s="175"/>
      <c r="AC545" s="175"/>
      <c r="AD545" s="175"/>
      <c r="AE545" s="175"/>
    </row>
    <row r="546" spans="1:31" ht="15.75" customHeight="1">
      <c r="A546" s="670"/>
      <c r="AB546" s="175"/>
      <c r="AC546" s="175"/>
      <c r="AD546" s="175"/>
      <c r="AE546" s="175"/>
    </row>
    <row r="547" spans="1:31" ht="15.75" customHeight="1">
      <c r="A547" s="670"/>
      <c r="AB547" s="175"/>
      <c r="AC547" s="175"/>
      <c r="AD547" s="175"/>
      <c r="AE547" s="175"/>
    </row>
    <row r="548" spans="1:31" ht="15.75" customHeight="1">
      <c r="A548" s="670"/>
      <c r="AB548" s="175"/>
      <c r="AC548" s="175"/>
      <c r="AD548" s="175"/>
      <c r="AE548" s="175"/>
    </row>
    <row r="549" spans="1:31" ht="15.75" customHeight="1">
      <c r="A549" s="670"/>
      <c r="AB549" s="175"/>
      <c r="AC549" s="175"/>
      <c r="AD549" s="175"/>
      <c r="AE549" s="175"/>
    </row>
    <row r="550" spans="1:31" ht="15.75" customHeight="1">
      <c r="A550" s="670"/>
      <c r="AB550" s="175"/>
      <c r="AC550" s="175"/>
      <c r="AD550" s="175"/>
      <c r="AE550" s="175"/>
    </row>
    <row r="551" spans="1:31" ht="15.75" customHeight="1">
      <c r="A551" s="670"/>
      <c r="AB551" s="175"/>
      <c r="AC551" s="175"/>
      <c r="AD551" s="175"/>
      <c r="AE551" s="175"/>
    </row>
    <row r="552" spans="1:31" ht="15.75" customHeight="1">
      <c r="A552" s="670"/>
      <c r="AB552" s="175"/>
      <c r="AC552" s="175"/>
      <c r="AD552" s="175"/>
      <c r="AE552" s="175"/>
    </row>
    <row r="553" spans="1:31" ht="15.75" customHeight="1">
      <c r="A553" s="670"/>
      <c r="AB553" s="175"/>
      <c r="AC553" s="175"/>
      <c r="AD553" s="175"/>
      <c r="AE553" s="175"/>
    </row>
    <row r="554" spans="1:31" ht="15.75" customHeight="1">
      <c r="A554" s="670"/>
      <c r="AB554" s="175"/>
      <c r="AC554" s="175"/>
      <c r="AD554" s="175"/>
      <c r="AE554" s="175"/>
    </row>
    <row r="555" spans="1:31" ht="15.75" customHeight="1">
      <c r="A555" s="670"/>
      <c r="AB555" s="175"/>
      <c r="AC555" s="175"/>
      <c r="AD555" s="175"/>
      <c r="AE555" s="175"/>
    </row>
    <row r="556" spans="1:31" ht="15.75" customHeight="1">
      <c r="A556" s="670"/>
      <c r="AB556" s="175"/>
      <c r="AC556" s="175"/>
      <c r="AD556" s="175"/>
      <c r="AE556" s="175"/>
    </row>
    <row r="557" spans="1:31" ht="15.75" customHeight="1">
      <c r="A557" s="670"/>
      <c r="AB557" s="175"/>
      <c r="AC557" s="175"/>
      <c r="AD557" s="175"/>
      <c r="AE557" s="175"/>
    </row>
    <row r="558" spans="1:31" ht="15.75" customHeight="1">
      <c r="A558" s="670"/>
      <c r="AB558" s="175"/>
      <c r="AC558" s="175"/>
      <c r="AD558" s="175"/>
      <c r="AE558" s="175"/>
    </row>
    <row r="559" spans="1:31" ht="15.75" customHeight="1">
      <c r="A559" s="670"/>
      <c r="AB559" s="175"/>
      <c r="AC559" s="175"/>
      <c r="AD559" s="175"/>
      <c r="AE559" s="175"/>
    </row>
    <row r="560" spans="1:31" ht="15.75" customHeight="1">
      <c r="A560" s="670"/>
      <c r="AB560" s="175"/>
      <c r="AC560" s="175"/>
      <c r="AD560" s="175"/>
      <c r="AE560" s="175"/>
    </row>
    <row r="561" spans="1:31" ht="15.75" customHeight="1">
      <c r="A561" s="670"/>
      <c r="AB561" s="175"/>
      <c r="AC561" s="175"/>
      <c r="AD561" s="175"/>
      <c r="AE561" s="175"/>
    </row>
    <row r="562" spans="1:31" ht="15.75" customHeight="1">
      <c r="A562" s="670"/>
      <c r="AB562" s="175"/>
      <c r="AC562" s="175"/>
      <c r="AD562" s="175"/>
      <c r="AE562" s="175"/>
    </row>
    <row r="563" spans="1:31" ht="15.75" customHeight="1">
      <c r="A563" s="670"/>
      <c r="AB563" s="175"/>
      <c r="AC563" s="175"/>
      <c r="AD563" s="175"/>
      <c r="AE563" s="175"/>
    </row>
    <row r="564" spans="1:31" ht="15.75" customHeight="1">
      <c r="A564" s="670"/>
      <c r="AB564" s="175"/>
      <c r="AC564" s="175"/>
      <c r="AD564" s="175"/>
      <c r="AE564" s="175"/>
    </row>
    <row r="565" spans="1:31" ht="15.75" customHeight="1">
      <c r="A565" s="670"/>
      <c r="AB565" s="175"/>
      <c r="AC565" s="175"/>
      <c r="AD565" s="175"/>
      <c r="AE565" s="175"/>
    </row>
    <row r="566" spans="1:31" ht="15.75" customHeight="1">
      <c r="A566" s="670"/>
      <c r="AB566" s="175"/>
      <c r="AC566" s="175"/>
      <c r="AD566" s="175"/>
      <c r="AE566" s="175"/>
    </row>
    <row r="567" spans="1:31" ht="15.75" customHeight="1">
      <c r="A567" s="670"/>
      <c r="AB567" s="175"/>
      <c r="AC567" s="175"/>
      <c r="AD567" s="175"/>
      <c r="AE567" s="175"/>
    </row>
    <row r="568" spans="1:31" ht="15.75" customHeight="1">
      <c r="A568" s="670"/>
      <c r="AB568" s="175"/>
      <c r="AC568" s="175"/>
      <c r="AD568" s="175"/>
      <c r="AE568" s="175"/>
    </row>
    <row r="569" spans="1:31" ht="15.75" customHeight="1">
      <c r="A569" s="670"/>
      <c r="AB569" s="175"/>
      <c r="AC569" s="175"/>
      <c r="AD569" s="175"/>
      <c r="AE569" s="175"/>
    </row>
    <row r="570" spans="1:31" ht="15.75" customHeight="1">
      <c r="A570" s="670"/>
      <c r="AB570" s="175"/>
      <c r="AC570" s="175"/>
      <c r="AD570" s="175"/>
      <c r="AE570" s="175"/>
    </row>
    <row r="571" spans="1:31" ht="15.75" customHeight="1">
      <c r="A571" s="670"/>
      <c r="AB571" s="175"/>
      <c r="AC571" s="175"/>
      <c r="AD571" s="175"/>
      <c r="AE571" s="175"/>
    </row>
    <row r="572" spans="1:31" ht="15.75" customHeight="1">
      <c r="A572" s="670"/>
      <c r="AB572" s="175"/>
      <c r="AC572" s="175"/>
      <c r="AD572" s="175"/>
      <c r="AE572" s="175"/>
    </row>
    <row r="573" spans="1:31" ht="15.75" customHeight="1">
      <c r="A573" s="670"/>
      <c r="AB573" s="175"/>
      <c r="AC573" s="175"/>
      <c r="AD573" s="175"/>
      <c r="AE573" s="175"/>
    </row>
    <row r="574" spans="1:31" ht="15.75" customHeight="1">
      <c r="A574" s="670"/>
      <c r="AB574" s="175"/>
      <c r="AC574" s="175"/>
      <c r="AD574" s="175"/>
      <c r="AE574" s="175"/>
    </row>
    <row r="575" spans="1:31" ht="15.75" customHeight="1">
      <c r="A575" s="670"/>
      <c r="AB575" s="175"/>
      <c r="AC575" s="175"/>
      <c r="AD575" s="175"/>
      <c r="AE575" s="175"/>
    </row>
    <row r="576" spans="1:31" ht="15.75" customHeight="1">
      <c r="A576" s="670"/>
      <c r="AB576" s="175"/>
      <c r="AC576" s="175"/>
      <c r="AD576" s="175"/>
      <c r="AE576" s="175"/>
    </row>
    <row r="577" spans="1:31" ht="15.75" customHeight="1">
      <c r="A577" s="670"/>
      <c r="AB577" s="175"/>
      <c r="AC577" s="175"/>
      <c r="AD577" s="175"/>
      <c r="AE577" s="175"/>
    </row>
    <row r="578" spans="1:31" ht="15.75" customHeight="1">
      <c r="A578" s="670"/>
      <c r="AB578" s="175"/>
      <c r="AC578" s="175"/>
      <c r="AD578" s="175"/>
      <c r="AE578" s="175"/>
    </row>
    <row r="579" spans="1:31" ht="15.75" customHeight="1">
      <c r="A579" s="670"/>
      <c r="AB579" s="175"/>
      <c r="AC579" s="175"/>
      <c r="AD579" s="175"/>
      <c r="AE579" s="175"/>
    </row>
    <row r="580" spans="1:31" ht="15.75" customHeight="1">
      <c r="A580" s="670"/>
      <c r="AB580" s="175"/>
      <c r="AC580" s="175"/>
      <c r="AD580" s="175"/>
      <c r="AE580" s="175"/>
    </row>
    <row r="581" spans="1:31" ht="15.75" customHeight="1">
      <c r="A581" s="670"/>
      <c r="AB581" s="175"/>
      <c r="AC581" s="175"/>
      <c r="AD581" s="175"/>
      <c r="AE581" s="175"/>
    </row>
    <row r="582" spans="1:31" ht="15.75" customHeight="1">
      <c r="A582" s="670"/>
      <c r="AB582" s="175"/>
      <c r="AC582" s="175"/>
      <c r="AD582" s="175"/>
      <c r="AE582" s="175"/>
    </row>
    <row r="583" spans="1:31" ht="15.75" customHeight="1">
      <c r="A583" s="670"/>
      <c r="AB583" s="175"/>
      <c r="AC583" s="175"/>
      <c r="AD583" s="175"/>
      <c r="AE583" s="175"/>
    </row>
    <row r="584" spans="1:31" ht="15.75" customHeight="1">
      <c r="A584" s="670"/>
      <c r="AB584" s="175"/>
      <c r="AC584" s="175"/>
      <c r="AD584" s="175"/>
      <c r="AE584" s="175"/>
    </row>
    <row r="585" spans="1:31" ht="15.75" customHeight="1">
      <c r="A585" s="670"/>
      <c r="AB585" s="175"/>
      <c r="AC585" s="175"/>
      <c r="AD585" s="175"/>
      <c r="AE585" s="175"/>
    </row>
    <row r="586" spans="1:31" ht="15.75" customHeight="1">
      <c r="A586" s="670"/>
      <c r="AB586" s="175"/>
      <c r="AC586" s="175"/>
      <c r="AD586" s="175"/>
      <c r="AE586" s="175"/>
    </row>
    <row r="587" spans="1:31" ht="15.75" customHeight="1">
      <c r="A587" s="670"/>
      <c r="AB587" s="175"/>
      <c r="AC587" s="175"/>
      <c r="AD587" s="175"/>
      <c r="AE587" s="175"/>
    </row>
    <row r="588" spans="1:31" ht="15.75" customHeight="1">
      <c r="A588" s="670"/>
      <c r="AB588" s="175"/>
      <c r="AC588" s="175"/>
      <c r="AD588" s="175"/>
      <c r="AE588" s="175"/>
    </row>
    <row r="589" spans="1:31" ht="15.75" customHeight="1">
      <c r="A589" s="670"/>
      <c r="AB589" s="175"/>
      <c r="AC589" s="175"/>
      <c r="AD589" s="175"/>
      <c r="AE589" s="175"/>
    </row>
    <row r="590" spans="1:31" ht="15.75" customHeight="1">
      <c r="A590" s="670"/>
      <c r="AB590" s="175"/>
      <c r="AC590" s="175"/>
      <c r="AD590" s="175"/>
      <c r="AE590" s="175"/>
    </row>
    <row r="591" spans="1:31" ht="15.75" customHeight="1">
      <c r="A591" s="670"/>
      <c r="AB591" s="175"/>
      <c r="AC591" s="175"/>
      <c r="AD591" s="175"/>
      <c r="AE591" s="175"/>
    </row>
    <row r="592" spans="1:31" ht="15.75" customHeight="1">
      <c r="A592" s="670"/>
      <c r="AB592" s="175"/>
      <c r="AC592" s="175"/>
      <c r="AD592" s="175"/>
      <c r="AE592" s="175"/>
    </row>
    <row r="593" spans="1:31" ht="15.75" customHeight="1">
      <c r="A593" s="670"/>
      <c r="AB593" s="175"/>
      <c r="AC593" s="175"/>
      <c r="AD593" s="175"/>
      <c r="AE593" s="175"/>
    </row>
    <row r="594" spans="1:31" ht="15.75" customHeight="1">
      <c r="A594" s="670"/>
      <c r="AB594" s="175"/>
      <c r="AC594" s="175"/>
      <c r="AD594" s="175"/>
      <c r="AE594" s="175"/>
    </row>
    <row r="595" spans="1:31" ht="15.75" customHeight="1">
      <c r="A595" s="670"/>
      <c r="AB595" s="175"/>
      <c r="AC595" s="175"/>
      <c r="AD595" s="175"/>
      <c r="AE595" s="175"/>
    </row>
    <row r="596" spans="1:31" ht="15.75" customHeight="1">
      <c r="A596" s="670"/>
      <c r="AB596" s="175"/>
      <c r="AC596" s="175"/>
      <c r="AD596" s="175"/>
      <c r="AE596" s="175"/>
    </row>
    <row r="597" spans="1:31" ht="15.75" customHeight="1">
      <c r="A597" s="670"/>
      <c r="AB597" s="175"/>
      <c r="AC597" s="175"/>
      <c r="AD597" s="175"/>
      <c r="AE597" s="175"/>
    </row>
    <row r="598" spans="1:31" ht="15.75" customHeight="1">
      <c r="A598" s="670"/>
      <c r="AB598" s="175"/>
      <c r="AC598" s="175"/>
      <c r="AD598" s="175"/>
      <c r="AE598" s="175"/>
    </row>
    <row r="599" spans="1:31" ht="15.75" customHeight="1">
      <c r="A599" s="670"/>
      <c r="AB599" s="175"/>
      <c r="AC599" s="175"/>
      <c r="AD599" s="175"/>
      <c r="AE599" s="175"/>
    </row>
    <row r="600" spans="1:31" ht="15.75" customHeight="1">
      <c r="A600" s="670"/>
      <c r="AB600" s="175"/>
      <c r="AC600" s="175"/>
      <c r="AD600" s="175"/>
      <c r="AE600" s="175"/>
    </row>
    <row r="601" spans="1:31" ht="15.75" customHeight="1">
      <c r="A601" s="670"/>
      <c r="AB601" s="175"/>
      <c r="AC601" s="175"/>
      <c r="AD601" s="175"/>
      <c r="AE601" s="175"/>
    </row>
    <row r="602" spans="1:31" ht="15.75" customHeight="1">
      <c r="A602" s="670"/>
      <c r="AB602" s="175"/>
      <c r="AC602" s="175"/>
      <c r="AD602" s="175"/>
      <c r="AE602" s="175"/>
    </row>
    <row r="603" spans="1:31" ht="15.75" customHeight="1">
      <c r="A603" s="670"/>
      <c r="AB603" s="175"/>
      <c r="AC603" s="175"/>
      <c r="AD603" s="175"/>
      <c r="AE603" s="175"/>
    </row>
    <row r="604" spans="1:31" ht="15.75" customHeight="1">
      <c r="A604" s="670"/>
      <c r="AB604" s="175"/>
      <c r="AC604" s="175"/>
      <c r="AD604" s="175"/>
      <c r="AE604" s="175"/>
    </row>
    <row r="605" spans="1:31" ht="15.75" customHeight="1">
      <c r="A605" s="670"/>
      <c r="AB605" s="175"/>
      <c r="AC605" s="175"/>
      <c r="AD605" s="175"/>
      <c r="AE605" s="175"/>
    </row>
    <row r="606" spans="1:31" ht="15.75" customHeight="1">
      <c r="A606" s="670"/>
      <c r="AB606" s="175"/>
      <c r="AC606" s="175"/>
      <c r="AD606" s="175"/>
      <c r="AE606" s="175"/>
    </row>
    <row r="607" spans="1:31" ht="15.75" customHeight="1">
      <c r="A607" s="670"/>
      <c r="AB607" s="175"/>
      <c r="AC607" s="175"/>
      <c r="AD607" s="175"/>
      <c r="AE607" s="175"/>
    </row>
    <row r="608" spans="1:31" ht="15.75" customHeight="1">
      <c r="A608" s="670"/>
      <c r="AB608" s="175"/>
      <c r="AC608" s="175"/>
      <c r="AD608" s="175"/>
      <c r="AE608" s="175"/>
    </row>
    <row r="609" spans="1:31" ht="15.75" customHeight="1">
      <c r="A609" s="670"/>
      <c r="AB609" s="175"/>
      <c r="AC609" s="175"/>
      <c r="AD609" s="175"/>
      <c r="AE609" s="175"/>
    </row>
    <row r="610" spans="1:31" ht="15.75" customHeight="1">
      <c r="A610" s="670"/>
      <c r="AB610" s="175"/>
      <c r="AC610" s="175"/>
      <c r="AD610" s="175"/>
      <c r="AE610" s="175"/>
    </row>
    <row r="611" spans="1:31" ht="15.75" customHeight="1">
      <c r="A611" s="670"/>
      <c r="AB611" s="175"/>
      <c r="AC611" s="175"/>
      <c r="AD611" s="175"/>
      <c r="AE611" s="175"/>
    </row>
    <row r="612" spans="1:31" ht="15.75" customHeight="1">
      <c r="A612" s="670"/>
      <c r="AB612" s="175"/>
      <c r="AC612" s="175"/>
      <c r="AD612" s="175"/>
      <c r="AE612" s="175"/>
    </row>
    <row r="613" spans="1:31" ht="15.75" customHeight="1">
      <c r="A613" s="670"/>
      <c r="AB613" s="175"/>
      <c r="AC613" s="175"/>
      <c r="AD613" s="175"/>
      <c r="AE613" s="175"/>
    </row>
    <row r="614" spans="1:31" ht="15.75" customHeight="1">
      <c r="A614" s="670"/>
      <c r="AB614" s="175"/>
      <c r="AC614" s="175"/>
      <c r="AD614" s="175"/>
      <c r="AE614" s="175"/>
    </row>
    <row r="615" spans="1:31" ht="15.75" customHeight="1">
      <c r="A615" s="670"/>
      <c r="AB615" s="175"/>
      <c r="AC615" s="175"/>
      <c r="AD615" s="175"/>
      <c r="AE615" s="175"/>
    </row>
    <row r="616" spans="1:31" ht="15.75" customHeight="1">
      <c r="A616" s="670"/>
      <c r="AB616" s="175"/>
      <c r="AC616" s="175"/>
      <c r="AD616" s="175"/>
      <c r="AE616" s="175"/>
    </row>
    <row r="617" spans="1:31" ht="15.75" customHeight="1">
      <c r="A617" s="670"/>
      <c r="AB617" s="175"/>
      <c r="AC617" s="175"/>
      <c r="AD617" s="175"/>
      <c r="AE617" s="175"/>
    </row>
    <row r="618" spans="1:31" ht="15.75" customHeight="1">
      <c r="A618" s="670"/>
      <c r="AB618" s="175"/>
      <c r="AC618" s="175"/>
      <c r="AD618" s="175"/>
      <c r="AE618" s="175"/>
    </row>
    <row r="619" spans="1:31" ht="15.75" customHeight="1">
      <c r="A619" s="670"/>
      <c r="AB619" s="175"/>
      <c r="AC619" s="175"/>
      <c r="AD619" s="175"/>
      <c r="AE619" s="175"/>
    </row>
    <row r="620" spans="1:31" ht="15.75" customHeight="1">
      <c r="A620" s="670"/>
      <c r="AB620" s="175"/>
      <c r="AC620" s="175"/>
      <c r="AD620" s="175"/>
      <c r="AE620" s="175"/>
    </row>
    <row r="621" spans="1:31" ht="15.75" customHeight="1">
      <c r="A621" s="670"/>
      <c r="AB621" s="175"/>
      <c r="AC621" s="175"/>
      <c r="AD621" s="175"/>
      <c r="AE621" s="175"/>
    </row>
    <row r="622" spans="1:31" ht="15.75" customHeight="1">
      <c r="A622" s="670"/>
      <c r="AB622" s="175"/>
      <c r="AC622" s="175"/>
      <c r="AD622" s="175"/>
      <c r="AE622" s="175"/>
    </row>
    <row r="623" spans="1:31" ht="15.75" customHeight="1">
      <c r="A623" s="670"/>
      <c r="AB623" s="175"/>
      <c r="AC623" s="175"/>
      <c r="AD623" s="175"/>
      <c r="AE623" s="175"/>
    </row>
    <row r="624" spans="1:31" ht="15.75" customHeight="1">
      <c r="A624" s="670"/>
      <c r="AB624" s="175"/>
      <c r="AC624" s="175"/>
      <c r="AD624" s="175"/>
      <c r="AE624" s="175"/>
    </row>
    <row r="625" spans="1:31" ht="15.75" customHeight="1">
      <c r="A625" s="670"/>
      <c r="AB625" s="175"/>
      <c r="AC625" s="175"/>
      <c r="AD625" s="175"/>
      <c r="AE625" s="175"/>
    </row>
    <row r="626" spans="1:31" ht="15.75" customHeight="1">
      <c r="A626" s="670"/>
      <c r="AB626" s="175"/>
      <c r="AC626" s="175"/>
      <c r="AD626" s="175"/>
      <c r="AE626" s="175"/>
    </row>
    <row r="627" spans="1:31" ht="15.75" customHeight="1">
      <c r="A627" s="670"/>
      <c r="AB627" s="175"/>
      <c r="AC627" s="175"/>
      <c r="AD627" s="175"/>
      <c r="AE627" s="175"/>
    </row>
    <row r="628" spans="1:31" ht="15.75" customHeight="1">
      <c r="A628" s="670"/>
      <c r="AB628" s="175"/>
      <c r="AC628" s="175"/>
      <c r="AD628" s="175"/>
      <c r="AE628" s="175"/>
    </row>
    <row r="629" spans="1:31" ht="15.75" customHeight="1">
      <c r="A629" s="670"/>
      <c r="AB629" s="175"/>
      <c r="AC629" s="175"/>
      <c r="AD629" s="175"/>
      <c r="AE629" s="175"/>
    </row>
    <row r="630" spans="1:31" ht="15.75" customHeight="1">
      <c r="A630" s="670"/>
      <c r="AB630" s="175"/>
      <c r="AC630" s="175"/>
      <c r="AD630" s="175"/>
      <c r="AE630" s="175"/>
    </row>
    <row r="631" spans="1:31" ht="15.75" customHeight="1">
      <c r="A631" s="670"/>
      <c r="AB631" s="175"/>
      <c r="AC631" s="175"/>
      <c r="AD631" s="175"/>
      <c r="AE631" s="175"/>
    </row>
    <row r="632" spans="1:31" ht="15.75" customHeight="1">
      <c r="A632" s="670"/>
      <c r="AB632" s="175"/>
      <c r="AC632" s="175"/>
      <c r="AD632" s="175"/>
      <c r="AE632" s="175"/>
    </row>
    <row r="633" spans="1:31" ht="15.75" customHeight="1">
      <c r="A633" s="670"/>
      <c r="AB633" s="175"/>
      <c r="AC633" s="175"/>
      <c r="AD633" s="175"/>
      <c r="AE633" s="175"/>
    </row>
    <row r="634" spans="1:31" ht="15.75" customHeight="1">
      <c r="A634" s="670"/>
      <c r="AB634" s="175"/>
      <c r="AC634" s="175"/>
      <c r="AD634" s="175"/>
      <c r="AE634" s="175"/>
    </row>
    <row r="635" spans="1:31" ht="15.75" customHeight="1">
      <c r="A635" s="670"/>
      <c r="AB635" s="175"/>
      <c r="AC635" s="175"/>
      <c r="AD635" s="175"/>
      <c r="AE635" s="175"/>
    </row>
    <row r="636" spans="1:31" ht="15.75" customHeight="1">
      <c r="A636" s="670"/>
      <c r="AB636" s="175"/>
      <c r="AC636" s="175"/>
      <c r="AD636" s="175"/>
      <c r="AE636" s="175"/>
    </row>
    <row r="637" spans="1:31" ht="15.75" customHeight="1">
      <c r="A637" s="670"/>
      <c r="AB637" s="175"/>
      <c r="AC637" s="175"/>
      <c r="AD637" s="175"/>
      <c r="AE637" s="175"/>
    </row>
    <row r="638" spans="1:31" ht="15.75" customHeight="1">
      <c r="A638" s="670"/>
      <c r="AB638" s="175"/>
      <c r="AC638" s="175"/>
      <c r="AD638" s="175"/>
      <c r="AE638" s="175"/>
    </row>
    <row r="639" spans="1:31" ht="15.75" customHeight="1">
      <c r="A639" s="670"/>
      <c r="AB639" s="175"/>
      <c r="AC639" s="175"/>
      <c r="AD639" s="175"/>
      <c r="AE639" s="175"/>
    </row>
    <row r="640" spans="1:31" ht="15.75" customHeight="1">
      <c r="A640" s="670"/>
      <c r="AB640" s="175"/>
      <c r="AC640" s="175"/>
      <c r="AD640" s="175"/>
      <c r="AE640" s="175"/>
    </row>
    <row r="641" spans="1:31" ht="15.75" customHeight="1">
      <c r="A641" s="670"/>
      <c r="AB641" s="175"/>
      <c r="AC641" s="175"/>
      <c r="AD641" s="175"/>
      <c r="AE641" s="175"/>
    </row>
    <row r="642" spans="1:31" ht="15.75" customHeight="1">
      <c r="A642" s="670"/>
      <c r="AB642" s="175"/>
      <c r="AC642" s="175"/>
      <c r="AD642" s="175"/>
      <c r="AE642" s="175"/>
    </row>
    <row r="643" spans="1:31" ht="15.75" customHeight="1">
      <c r="A643" s="670"/>
      <c r="AB643" s="175"/>
      <c r="AC643" s="175"/>
      <c r="AD643" s="175"/>
      <c r="AE643" s="175"/>
    </row>
    <row r="644" spans="1:31" ht="15.75" customHeight="1">
      <c r="A644" s="670"/>
      <c r="AB644" s="175"/>
      <c r="AC644" s="175"/>
      <c r="AD644" s="175"/>
      <c r="AE644" s="175"/>
    </row>
    <row r="645" spans="1:31" ht="15.75" customHeight="1">
      <c r="A645" s="670"/>
      <c r="AB645" s="175"/>
      <c r="AC645" s="175"/>
      <c r="AD645" s="175"/>
      <c r="AE645" s="175"/>
    </row>
    <row r="646" spans="1:31" ht="15.75" customHeight="1">
      <c r="A646" s="670"/>
      <c r="AB646" s="175"/>
      <c r="AC646" s="175"/>
      <c r="AD646" s="175"/>
      <c r="AE646" s="175"/>
    </row>
    <row r="647" spans="1:31" ht="15.75" customHeight="1">
      <c r="A647" s="670"/>
      <c r="AB647" s="175"/>
      <c r="AC647" s="175"/>
      <c r="AD647" s="175"/>
      <c r="AE647" s="175"/>
    </row>
    <row r="648" spans="1:31" ht="15.75" customHeight="1">
      <c r="A648" s="670"/>
      <c r="AB648" s="175"/>
      <c r="AC648" s="175"/>
      <c r="AD648" s="175"/>
      <c r="AE648" s="175"/>
    </row>
    <row r="649" spans="1:31" ht="15.75" customHeight="1">
      <c r="A649" s="670"/>
      <c r="AB649" s="175"/>
      <c r="AC649" s="175"/>
      <c r="AD649" s="175"/>
      <c r="AE649" s="175"/>
    </row>
    <row r="650" spans="1:31" ht="15.75" customHeight="1">
      <c r="A650" s="670"/>
      <c r="AB650" s="175"/>
      <c r="AC650" s="175"/>
      <c r="AD650" s="175"/>
      <c r="AE650" s="175"/>
    </row>
    <row r="651" spans="1:31" ht="15.75" customHeight="1">
      <c r="A651" s="670"/>
      <c r="AB651" s="175"/>
      <c r="AC651" s="175"/>
      <c r="AD651" s="175"/>
      <c r="AE651" s="175"/>
    </row>
    <row r="652" spans="1:31" ht="15.75" customHeight="1">
      <c r="A652" s="670"/>
      <c r="AB652" s="175"/>
      <c r="AC652" s="175"/>
      <c r="AD652" s="175"/>
      <c r="AE652" s="175"/>
    </row>
    <row r="653" spans="1:31" ht="15.75" customHeight="1">
      <c r="A653" s="670"/>
      <c r="AB653" s="175"/>
      <c r="AC653" s="175"/>
      <c r="AD653" s="175"/>
      <c r="AE653" s="175"/>
    </row>
    <row r="654" spans="1:31" ht="15.75" customHeight="1">
      <c r="A654" s="670"/>
      <c r="AB654" s="175"/>
      <c r="AC654" s="175"/>
      <c r="AD654" s="175"/>
      <c r="AE654" s="175"/>
    </row>
    <row r="655" spans="1:31" ht="15.75" customHeight="1">
      <c r="A655" s="670"/>
      <c r="AB655" s="175"/>
      <c r="AC655" s="175"/>
      <c r="AD655" s="175"/>
      <c r="AE655" s="175"/>
    </row>
    <row r="656" spans="1:31" ht="15.75" customHeight="1">
      <c r="A656" s="670"/>
      <c r="AB656" s="175"/>
      <c r="AC656" s="175"/>
      <c r="AD656" s="175"/>
      <c r="AE656" s="175"/>
    </row>
    <row r="657" spans="1:31" ht="15.75" customHeight="1">
      <c r="A657" s="670"/>
      <c r="AB657" s="175"/>
      <c r="AC657" s="175"/>
      <c r="AD657" s="175"/>
      <c r="AE657" s="175"/>
    </row>
    <row r="658" spans="1:31" ht="15.75" customHeight="1">
      <c r="A658" s="670"/>
      <c r="AB658" s="175"/>
      <c r="AC658" s="175"/>
      <c r="AD658" s="175"/>
      <c r="AE658" s="175"/>
    </row>
    <row r="659" spans="1:31" ht="15.75" customHeight="1">
      <c r="A659" s="670"/>
      <c r="AB659" s="175"/>
      <c r="AC659" s="175"/>
      <c r="AD659" s="175"/>
      <c r="AE659" s="175"/>
    </row>
    <row r="660" spans="1:31" ht="15.75" customHeight="1">
      <c r="A660" s="670"/>
      <c r="AB660" s="175"/>
      <c r="AC660" s="175"/>
      <c r="AD660" s="175"/>
      <c r="AE660" s="175"/>
    </row>
    <row r="661" spans="1:31" ht="15.75" customHeight="1">
      <c r="A661" s="670"/>
      <c r="AB661" s="175"/>
      <c r="AC661" s="175"/>
      <c r="AD661" s="175"/>
      <c r="AE661" s="175"/>
    </row>
    <row r="662" spans="1:31" ht="15.75" customHeight="1">
      <c r="A662" s="670"/>
      <c r="AB662" s="175"/>
      <c r="AC662" s="175"/>
      <c r="AD662" s="175"/>
      <c r="AE662" s="175"/>
    </row>
    <row r="663" spans="1:31" ht="15.75" customHeight="1">
      <c r="A663" s="670"/>
      <c r="AB663" s="175"/>
      <c r="AC663" s="175"/>
      <c r="AD663" s="175"/>
      <c r="AE663" s="175"/>
    </row>
    <row r="664" spans="1:31" ht="15.75" customHeight="1">
      <c r="A664" s="670"/>
      <c r="AB664" s="175"/>
      <c r="AC664" s="175"/>
      <c r="AD664" s="175"/>
      <c r="AE664" s="175"/>
    </row>
    <row r="665" spans="1:31" ht="15.75" customHeight="1">
      <c r="A665" s="670"/>
      <c r="AB665" s="175"/>
      <c r="AC665" s="175"/>
      <c r="AD665" s="175"/>
      <c r="AE665" s="175"/>
    </row>
    <row r="666" spans="1:31" ht="15.75" customHeight="1">
      <c r="A666" s="670"/>
      <c r="AB666" s="175"/>
      <c r="AC666" s="175"/>
      <c r="AD666" s="175"/>
      <c r="AE666" s="175"/>
    </row>
    <row r="667" spans="1:31" ht="15.75" customHeight="1">
      <c r="A667" s="670"/>
      <c r="AB667" s="175"/>
      <c r="AC667" s="175"/>
      <c r="AD667" s="175"/>
      <c r="AE667" s="175"/>
    </row>
    <row r="668" spans="1:31" ht="15.75" customHeight="1">
      <c r="A668" s="670"/>
      <c r="AB668" s="175"/>
      <c r="AC668" s="175"/>
      <c r="AD668" s="175"/>
      <c r="AE668" s="175"/>
    </row>
    <row r="669" spans="1:31" ht="15.75" customHeight="1">
      <c r="A669" s="670"/>
      <c r="AB669" s="175"/>
      <c r="AC669" s="175"/>
      <c r="AD669" s="175"/>
      <c r="AE669" s="175"/>
    </row>
    <row r="670" spans="1:31" ht="15.75" customHeight="1">
      <c r="A670" s="670"/>
      <c r="AB670" s="175"/>
      <c r="AC670" s="175"/>
      <c r="AD670" s="175"/>
      <c r="AE670" s="175"/>
    </row>
    <row r="671" spans="1:31" ht="15.75" customHeight="1">
      <c r="A671" s="670"/>
      <c r="AB671" s="175"/>
      <c r="AC671" s="175"/>
      <c r="AD671" s="175"/>
      <c r="AE671" s="175"/>
    </row>
    <row r="672" spans="1:31" ht="15.75" customHeight="1">
      <c r="A672" s="670"/>
      <c r="AB672" s="175"/>
      <c r="AC672" s="175"/>
      <c r="AD672" s="175"/>
      <c r="AE672" s="175"/>
    </row>
    <row r="673" spans="1:31" ht="15.75" customHeight="1">
      <c r="A673" s="670"/>
      <c r="AB673" s="175"/>
      <c r="AC673" s="175"/>
      <c r="AD673" s="175"/>
      <c r="AE673" s="175"/>
    </row>
    <row r="674" spans="1:31" ht="15.75" customHeight="1">
      <c r="A674" s="670"/>
      <c r="AB674" s="175"/>
      <c r="AC674" s="175"/>
      <c r="AD674" s="175"/>
      <c r="AE674" s="175"/>
    </row>
    <row r="675" spans="1:31" ht="15.75" customHeight="1">
      <c r="A675" s="670"/>
      <c r="AB675" s="175"/>
      <c r="AC675" s="175"/>
      <c r="AD675" s="175"/>
      <c r="AE675" s="175"/>
    </row>
    <row r="676" spans="1:31" ht="15.75" customHeight="1">
      <c r="A676" s="670"/>
      <c r="AB676" s="175"/>
      <c r="AC676" s="175"/>
      <c r="AD676" s="175"/>
      <c r="AE676" s="175"/>
    </row>
    <row r="677" spans="1:31" ht="15.75" customHeight="1">
      <c r="A677" s="670"/>
      <c r="AB677" s="175"/>
      <c r="AC677" s="175"/>
      <c r="AD677" s="175"/>
      <c r="AE677" s="175"/>
    </row>
    <row r="678" spans="1:31" ht="15.75" customHeight="1">
      <c r="A678" s="670"/>
      <c r="AB678" s="175"/>
      <c r="AC678" s="175"/>
      <c r="AD678" s="175"/>
      <c r="AE678" s="175"/>
    </row>
    <row r="679" spans="1:31" ht="15.75" customHeight="1">
      <c r="A679" s="670"/>
      <c r="AB679" s="175"/>
      <c r="AC679" s="175"/>
      <c r="AD679" s="175"/>
      <c r="AE679" s="175"/>
    </row>
    <row r="680" spans="1:31" ht="15.75" customHeight="1">
      <c r="A680" s="670"/>
      <c r="AB680" s="175"/>
      <c r="AC680" s="175"/>
      <c r="AD680" s="175"/>
      <c r="AE680" s="175"/>
    </row>
    <row r="681" spans="1:31" ht="15.75" customHeight="1">
      <c r="A681" s="670"/>
      <c r="AB681" s="175"/>
      <c r="AC681" s="175"/>
      <c r="AD681" s="175"/>
      <c r="AE681" s="175"/>
    </row>
    <row r="682" spans="1:31" ht="15.75" customHeight="1">
      <c r="A682" s="670"/>
      <c r="AB682" s="175"/>
      <c r="AC682" s="175"/>
      <c r="AD682" s="175"/>
      <c r="AE682" s="175"/>
    </row>
    <row r="683" spans="1:31" ht="15.75" customHeight="1">
      <c r="A683" s="670"/>
      <c r="AB683" s="175"/>
      <c r="AC683" s="175"/>
      <c r="AD683" s="175"/>
      <c r="AE683" s="175"/>
    </row>
    <row r="684" spans="1:31" ht="15.75" customHeight="1">
      <c r="A684" s="670"/>
      <c r="AB684" s="175"/>
      <c r="AC684" s="175"/>
      <c r="AD684" s="175"/>
      <c r="AE684" s="175"/>
    </row>
    <row r="685" spans="1:31" ht="15.75" customHeight="1">
      <c r="A685" s="670"/>
      <c r="AB685" s="175"/>
      <c r="AC685" s="175"/>
      <c r="AD685" s="175"/>
      <c r="AE685" s="175"/>
    </row>
    <row r="686" spans="1:31" ht="15.75" customHeight="1">
      <c r="A686" s="670"/>
      <c r="AB686" s="175"/>
      <c r="AC686" s="175"/>
      <c r="AD686" s="175"/>
      <c r="AE686" s="175"/>
    </row>
    <row r="687" spans="1:31" ht="15.75" customHeight="1">
      <c r="A687" s="670"/>
      <c r="AB687" s="175"/>
      <c r="AC687" s="175"/>
      <c r="AD687" s="175"/>
      <c r="AE687" s="175"/>
    </row>
    <row r="688" spans="1:31" ht="15.75" customHeight="1">
      <c r="A688" s="670"/>
      <c r="AB688" s="175"/>
      <c r="AC688" s="175"/>
      <c r="AD688" s="175"/>
      <c r="AE688" s="175"/>
    </row>
    <row r="689" spans="1:31" ht="15.75" customHeight="1">
      <c r="A689" s="670"/>
      <c r="AB689" s="175"/>
      <c r="AC689" s="175"/>
      <c r="AD689" s="175"/>
      <c r="AE689" s="175"/>
    </row>
    <row r="690" spans="1:31" ht="15.75" customHeight="1">
      <c r="A690" s="670"/>
      <c r="AB690" s="175"/>
      <c r="AC690" s="175"/>
      <c r="AD690" s="175"/>
      <c r="AE690" s="175"/>
    </row>
    <row r="691" spans="1:31" ht="15.75" customHeight="1">
      <c r="A691" s="670"/>
      <c r="AB691" s="175"/>
      <c r="AC691" s="175"/>
      <c r="AD691" s="175"/>
      <c r="AE691" s="175"/>
    </row>
    <row r="692" spans="1:31" ht="15.75" customHeight="1">
      <c r="A692" s="670"/>
      <c r="AB692" s="175"/>
      <c r="AC692" s="175"/>
      <c r="AD692" s="175"/>
      <c r="AE692" s="175"/>
    </row>
    <row r="693" spans="1:31" ht="15.75" customHeight="1">
      <c r="A693" s="670"/>
      <c r="AB693" s="175"/>
      <c r="AC693" s="175"/>
      <c r="AD693" s="175"/>
      <c r="AE693" s="175"/>
    </row>
    <row r="694" spans="1:31" ht="15.75" customHeight="1">
      <c r="A694" s="670"/>
      <c r="AB694" s="175"/>
      <c r="AC694" s="175"/>
      <c r="AD694" s="175"/>
      <c r="AE694" s="175"/>
    </row>
    <row r="695" spans="1:31" ht="15.75" customHeight="1">
      <c r="A695" s="670"/>
      <c r="AB695" s="175"/>
      <c r="AC695" s="175"/>
      <c r="AD695" s="175"/>
      <c r="AE695" s="175"/>
    </row>
    <row r="696" spans="1:31" ht="15.75" customHeight="1">
      <c r="A696" s="670"/>
      <c r="AB696" s="175"/>
      <c r="AC696" s="175"/>
      <c r="AD696" s="175"/>
      <c r="AE696" s="175"/>
    </row>
    <row r="697" spans="1:31" ht="15.75" customHeight="1">
      <c r="A697" s="670"/>
      <c r="AB697" s="175"/>
      <c r="AC697" s="175"/>
      <c r="AD697" s="175"/>
      <c r="AE697" s="175"/>
    </row>
    <row r="698" spans="1:31" ht="15.75" customHeight="1">
      <c r="A698" s="670"/>
      <c r="AB698" s="175"/>
      <c r="AC698" s="175"/>
      <c r="AD698" s="175"/>
      <c r="AE698" s="175"/>
    </row>
    <row r="699" spans="1:31" ht="15.75" customHeight="1">
      <c r="A699" s="670"/>
      <c r="AB699" s="175"/>
      <c r="AC699" s="175"/>
      <c r="AD699" s="175"/>
      <c r="AE699" s="175"/>
    </row>
    <row r="700" spans="1:31" ht="15.75" customHeight="1">
      <c r="A700" s="670"/>
      <c r="AB700" s="175"/>
      <c r="AC700" s="175"/>
      <c r="AD700" s="175"/>
      <c r="AE700" s="175"/>
    </row>
    <row r="701" spans="1:31" ht="15.75" customHeight="1">
      <c r="A701" s="670"/>
      <c r="AB701" s="175"/>
      <c r="AC701" s="175"/>
      <c r="AD701" s="175"/>
      <c r="AE701" s="175"/>
    </row>
    <row r="702" spans="1:31" ht="15.75" customHeight="1">
      <c r="A702" s="670"/>
      <c r="AB702" s="175"/>
      <c r="AC702" s="175"/>
      <c r="AD702" s="175"/>
      <c r="AE702" s="175"/>
    </row>
    <row r="703" spans="1:31" ht="15.75" customHeight="1">
      <c r="A703" s="670"/>
      <c r="AB703" s="175"/>
      <c r="AC703" s="175"/>
      <c r="AD703" s="175"/>
      <c r="AE703" s="175"/>
    </row>
    <row r="704" spans="1:31" ht="15.75" customHeight="1">
      <c r="A704" s="670"/>
      <c r="AB704" s="175"/>
      <c r="AC704" s="175"/>
      <c r="AD704" s="175"/>
      <c r="AE704" s="175"/>
    </row>
    <row r="705" spans="1:31" ht="15.75" customHeight="1">
      <c r="A705" s="670"/>
      <c r="AB705" s="175"/>
      <c r="AC705" s="175"/>
      <c r="AD705" s="175"/>
      <c r="AE705" s="175"/>
    </row>
    <row r="706" spans="1:31" ht="15.75" customHeight="1">
      <c r="A706" s="670"/>
      <c r="AB706" s="175"/>
      <c r="AC706" s="175"/>
      <c r="AD706" s="175"/>
      <c r="AE706" s="175"/>
    </row>
    <row r="707" spans="1:31" ht="15.75" customHeight="1">
      <c r="A707" s="670"/>
      <c r="AB707" s="175"/>
      <c r="AC707" s="175"/>
      <c r="AD707" s="175"/>
      <c r="AE707" s="175"/>
    </row>
    <row r="708" spans="1:31" ht="15.75" customHeight="1">
      <c r="A708" s="670"/>
      <c r="AB708" s="175"/>
      <c r="AC708" s="175"/>
      <c r="AD708" s="175"/>
      <c r="AE708" s="175"/>
    </row>
    <row r="709" spans="1:31" ht="15.75" customHeight="1">
      <c r="A709" s="670"/>
      <c r="AB709" s="175"/>
      <c r="AC709" s="175"/>
      <c r="AD709" s="175"/>
      <c r="AE709" s="175"/>
    </row>
    <row r="710" spans="1:31" ht="15.75" customHeight="1">
      <c r="A710" s="670"/>
      <c r="AB710" s="175"/>
      <c r="AC710" s="175"/>
      <c r="AD710" s="175"/>
      <c r="AE710" s="175"/>
    </row>
    <row r="711" spans="1:31" ht="15.75" customHeight="1">
      <c r="A711" s="670"/>
      <c r="AB711" s="175"/>
      <c r="AC711" s="175"/>
      <c r="AD711" s="175"/>
      <c r="AE711" s="175"/>
    </row>
    <row r="712" spans="1:31" ht="15.75" customHeight="1">
      <c r="A712" s="670"/>
      <c r="AB712" s="175"/>
      <c r="AC712" s="175"/>
      <c r="AD712" s="175"/>
      <c r="AE712" s="175"/>
    </row>
    <row r="713" spans="1:31" ht="15.75" customHeight="1">
      <c r="A713" s="670"/>
      <c r="AB713" s="175"/>
      <c r="AC713" s="175"/>
      <c r="AD713" s="175"/>
      <c r="AE713" s="175"/>
    </row>
    <row r="714" spans="1:31" ht="15.75" customHeight="1">
      <c r="A714" s="670"/>
      <c r="AB714" s="175"/>
      <c r="AC714" s="175"/>
      <c r="AD714" s="175"/>
      <c r="AE714" s="175"/>
    </row>
    <row r="715" spans="1:31" ht="15.75" customHeight="1">
      <c r="A715" s="670"/>
      <c r="AB715" s="175"/>
      <c r="AC715" s="175"/>
      <c r="AD715" s="175"/>
      <c r="AE715" s="175"/>
    </row>
    <row r="716" spans="1:31" ht="15.75" customHeight="1">
      <c r="A716" s="670"/>
      <c r="AB716" s="175"/>
      <c r="AC716" s="175"/>
      <c r="AD716" s="175"/>
      <c r="AE716" s="175"/>
    </row>
    <row r="717" spans="1:31" ht="15.75" customHeight="1">
      <c r="A717" s="670"/>
      <c r="AB717" s="175"/>
      <c r="AC717" s="175"/>
      <c r="AD717" s="175"/>
      <c r="AE717" s="175"/>
    </row>
    <row r="718" spans="1:31" ht="15.75" customHeight="1">
      <c r="A718" s="670"/>
      <c r="AB718" s="175"/>
      <c r="AC718" s="175"/>
      <c r="AD718" s="175"/>
      <c r="AE718" s="175"/>
    </row>
    <row r="719" spans="1:31" ht="15.75" customHeight="1">
      <c r="A719" s="670"/>
      <c r="AB719" s="175"/>
      <c r="AC719" s="175"/>
      <c r="AD719" s="175"/>
      <c r="AE719" s="175"/>
    </row>
    <row r="720" spans="1:31" ht="15.75" customHeight="1">
      <c r="A720" s="670"/>
      <c r="AB720" s="175"/>
      <c r="AC720" s="175"/>
      <c r="AD720" s="175"/>
      <c r="AE720" s="175"/>
    </row>
    <row r="721" spans="1:31" ht="15.75" customHeight="1">
      <c r="A721" s="670"/>
      <c r="AB721" s="175"/>
      <c r="AC721" s="175"/>
      <c r="AD721" s="175"/>
      <c r="AE721" s="175"/>
    </row>
    <row r="722" spans="1:31" ht="15.75" customHeight="1">
      <c r="A722" s="670"/>
      <c r="AB722" s="175"/>
      <c r="AC722" s="175"/>
      <c r="AD722" s="175"/>
      <c r="AE722" s="175"/>
    </row>
    <row r="723" spans="1:31" ht="15.75" customHeight="1">
      <c r="A723" s="670"/>
      <c r="AB723" s="175"/>
      <c r="AC723" s="175"/>
      <c r="AD723" s="175"/>
      <c r="AE723" s="175"/>
    </row>
    <row r="724" spans="1:31" ht="15.75" customHeight="1">
      <c r="A724" s="670"/>
      <c r="AB724" s="175"/>
      <c r="AC724" s="175"/>
      <c r="AD724" s="175"/>
      <c r="AE724" s="175"/>
    </row>
    <row r="725" spans="1:31" ht="15.75" customHeight="1">
      <c r="A725" s="670"/>
      <c r="AB725" s="175"/>
      <c r="AC725" s="175"/>
      <c r="AD725" s="175"/>
      <c r="AE725" s="175"/>
    </row>
    <row r="726" spans="1:31" ht="15.75" customHeight="1">
      <c r="A726" s="670"/>
      <c r="AB726" s="175"/>
      <c r="AC726" s="175"/>
      <c r="AD726" s="175"/>
      <c r="AE726" s="175"/>
    </row>
    <row r="727" spans="1:31" ht="15.75" customHeight="1">
      <c r="A727" s="670"/>
      <c r="AB727" s="175"/>
      <c r="AC727" s="175"/>
      <c r="AD727" s="175"/>
      <c r="AE727" s="175"/>
    </row>
    <row r="728" spans="1:31" ht="15.75" customHeight="1">
      <c r="A728" s="670"/>
      <c r="AB728" s="175"/>
      <c r="AC728" s="175"/>
      <c r="AD728" s="175"/>
      <c r="AE728" s="175"/>
    </row>
    <row r="729" spans="1:31" ht="15.75" customHeight="1">
      <c r="A729" s="670"/>
      <c r="AB729" s="175"/>
      <c r="AC729" s="175"/>
      <c r="AD729" s="175"/>
      <c r="AE729" s="175"/>
    </row>
    <row r="730" spans="1:31" ht="15.75" customHeight="1">
      <c r="A730" s="670"/>
      <c r="AB730" s="175"/>
      <c r="AC730" s="175"/>
      <c r="AD730" s="175"/>
      <c r="AE730" s="175"/>
    </row>
    <row r="731" spans="1:31" ht="15.75" customHeight="1">
      <c r="A731" s="670"/>
      <c r="AB731" s="175"/>
      <c r="AC731" s="175"/>
      <c r="AD731" s="175"/>
      <c r="AE731" s="175"/>
    </row>
    <row r="732" spans="1:31" ht="15.75" customHeight="1">
      <c r="A732" s="670"/>
      <c r="AB732" s="175"/>
      <c r="AC732" s="175"/>
      <c r="AD732" s="175"/>
      <c r="AE732" s="175"/>
    </row>
    <row r="733" spans="1:31" ht="15.75" customHeight="1">
      <c r="A733" s="670"/>
      <c r="AB733" s="175"/>
      <c r="AC733" s="175"/>
      <c r="AD733" s="175"/>
      <c r="AE733" s="175"/>
    </row>
    <row r="734" spans="1:31" ht="15.75" customHeight="1">
      <c r="A734" s="670"/>
      <c r="AB734" s="175"/>
      <c r="AC734" s="175"/>
      <c r="AD734" s="175"/>
      <c r="AE734" s="175"/>
    </row>
    <row r="735" spans="1:31" ht="15.75" customHeight="1">
      <c r="A735" s="670"/>
      <c r="AB735" s="175"/>
      <c r="AC735" s="175"/>
      <c r="AD735" s="175"/>
      <c r="AE735" s="175"/>
    </row>
    <row r="736" spans="1:31" ht="15.75" customHeight="1">
      <c r="A736" s="670"/>
      <c r="AB736" s="175"/>
      <c r="AC736" s="175"/>
      <c r="AD736" s="175"/>
      <c r="AE736" s="175"/>
    </row>
    <row r="737" spans="1:31" ht="15.75" customHeight="1">
      <c r="A737" s="670"/>
      <c r="AB737" s="175"/>
      <c r="AC737" s="175"/>
      <c r="AD737" s="175"/>
      <c r="AE737" s="175"/>
    </row>
    <row r="738" spans="1:31" ht="15.75" customHeight="1">
      <c r="A738" s="670"/>
      <c r="AB738" s="175"/>
      <c r="AC738" s="175"/>
      <c r="AD738" s="175"/>
      <c r="AE738" s="175"/>
    </row>
    <row r="739" spans="1:31" ht="15.75" customHeight="1">
      <c r="A739" s="670"/>
      <c r="AB739" s="175"/>
      <c r="AC739" s="175"/>
      <c r="AD739" s="175"/>
      <c r="AE739" s="175"/>
    </row>
    <row r="740" spans="1:31" ht="15.75" customHeight="1">
      <c r="A740" s="670"/>
      <c r="AB740" s="175"/>
      <c r="AC740" s="175"/>
      <c r="AD740" s="175"/>
      <c r="AE740" s="175"/>
    </row>
    <row r="741" spans="1:31" ht="15.75" customHeight="1">
      <c r="A741" s="670"/>
      <c r="AB741" s="175"/>
      <c r="AC741" s="175"/>
      <c r="AD741" s="175"/>
      <c r="AE741" s="175"/>
    </row>
    <row r="742" spans="1:31" ht="15.75" customHeight="1">
      <c r="A742" s="670"/>
      <c r="AB742" s="175"/>
      <c r="AC742" s="175"/>
      <c r="AD742" s="175"/>
      <c r="AE742" s="175"/>
    </row>
    <row r="743" spans="1:31" ht="15.75" customHeight="1">
      <c r="A743" s="670"/>
      <c r="AB743" s="175"/>
      <c r="AC743" s="175"/>
      <c r="AD743" s="175"/>
      <c r="AE743" s="175"/>
    </row>
    <row r="744" spans="1:31" ht="15.75" customHeight="1">
      <c r="A744" s="670"/>
      <c r="AB744" s="175"/>
      <c r="AC744" s="175"/>
      <c r="AD744" s="175"/>
      <c r="AE744" s="175"/>
    </row>
    <row r="745" spans="1:31" ht="15.75" customHeight="1">
      <c r="A745" s="670"/>
      <c r="AB745" s="175"/>
      <c r="AC745" s="175"/>
      <c r="AD745" s="175"/>
      <c r="AE745" s="175"/>
    </row>
    <row r="746" spans="1:31" ht="15.75" customHeight="1">
      <c r="A746" s="670"/>
      <c r="AB746" s="175"/>
      <c r="AC746" s="175"/>
      <c r="AD746" s="175"/>
      <c r="AE746" s="175"/>
    </row>
    <row r="747" spans="1:31" ht="15.75" customHeight="1">
      <c r="A747" s="670"/>
      <c r="AB747" s="175"/>
      <c r="AC747" s="175"/>
      <c r="AD747" s="175"/>
      <c r="AE747" s="175"/>
    </row>
    <row r="748" spans="1:31" ht="15.75" customHeight="1">
      <c r="A748" s="670"/>
      <c r="AB748" s="175"/>
      <c r="AC748" s="175"/>
      <c r="AD748" s="175"/>
      <c r="AE748" s="175"/>
    </row>
    <row r="749" spans="1:31" ht="15.75" customHeight="1">
      <c r="A749" s="670"/>
      <c r="AB749" s="175"/>
      <c r="AC749" s="175"/>
      <c r="AD749" s="175"/>
      <c r="AE749" s="175"/>
    </row>
    <row r="750" spans="1:31" ht="15.75" customHeight="1">
      <c r="A750" s="670"/>
      <c r="AB750" s="175"/>
      <c r="AC750" s="175"/>
      <c r="AD750" s="175"/>
      <c r="AE750" s="175"/>
    </row>
    <row r="751" spans="1:31" ht="15.75" customHeight="1">
      <c r="A751" s="670"/>
      <c r="AB751" s="175"/>
      <c r="AC751" s="175"/>
      <c r="AD751" s="175"/>
      <c r="AE751" s="175"/>
    </row>
    <row r="752" spans="1:31" ht="15.75" customHeight="1">
      <c r="A752" s="670"/>
      <c r="AB752" s="175"/>
      <c r="AC752" s="175"/>
      <c r="AD752" s="175"/>
      <c r="AE752" s="175"/>
    </row>
    <row r="753" spans="1:31" ht="15.75" customHeight="1">
      <c r="A753" s="670"/>
      <c r="AB753" s="175"/>
      <c r="AC753" s="175"/>
      <c r="AD753" s="175"/>
      <c r="AE753" s="175"/>
    </row>
    <row r="754" spans="1:31" ht="15.75" customHeight="1">
      <c r="A754" s="670"/>
      <c r="AB754" s="175"/>
      <c r="AC754" s="175"/>
      <c r="AD754" s="175"/>
      <c r="AE754" s="175"/>
    </row>
    <row r="755" spans="1:31" ht="15.75" customHeight="1">
      <c r="A755" s="670"/>
      <c r="AB755" s="175"/>
      <c r="AC755" s="175"/>
      <c r="AD755" s="175"/>
      <c r="AE755" s="175"/>
    </row>
    <row r="756" spans="1:31" ht="15.75" customHeight="1">
      <c r="A756" s="670"/>
      <c r="AB756" s="175"/>
      <c r="AC756" s="175"/>
      <c r="AD756" s="175"/>
      <c r="AE756" s="175"/>
    </row>
    <row r="757" spans="1:31" ht="15.75" customHeight="1">
      <c r="A757" s="670"/>
      <c r="AB757" s="175"/>
      <c r="AC757" s="175"/>
      <c r="AD757" s="175"/>
      <c r="AE757" s="175"/>
    </row>
    <row r="758" spans="1:31" ht="15.75" customHeight="1">
      <c r="A758" s="670"/>
      <c r="AB758" s="175"/>
      <c r="AC758" s="175"/>
      <c r="AD758" s="175"/>
      <c r="AE758" s="175"/>
    </row>
    <row r="759" spans="1:31" ht="15.75" customHeight="1">
      <c r="A759" s="670"/>
      <c r="AB759" s="175"/>
      <c r="AC759" s="175"/>
      <c r="AD759" s="175"/>
      <c r="AE759" s="175"/>
    </row>
    <row r="760" spans="1:31" ht="15.75" customHeight="1">
      <c r="A760" s="670"/>
      <c r="AB760" s="175"/>
      <c r="AC760" s="175"/>
      <c r="AD760" s="175"/>
      <c r="AE760" s="175"/>
    </row>
    <row r="761" spans="1:31" ht="15.75" customHeight="1">
      <c r="A761" s="670"/>
      <c r="AB761" s="175"/>
      <c r="AC761" s="175"/>
      <c r="AD761" s="175"/>
      <c r="AE761" s="175"/>
    </row>
    <row r="762" spans="1:31" ht="15.75" customHeight="1">
      <c r="A762" s="670"/>
      <c r="AB762" s="175"/>
      <c r="AC762" s="175"/>
      <c r="AD762" s="175"/>
      <c r="AE762" s="175"/>
    </row>
    <row r="763" spans="1:31" ht="15.75" customHeight="1">
      <c r="A763" s="670"/>
      <c r="AB763" s="175"/>
      <c r="AC763" s="175"/>
      <c r="AD763" s="175"/>
      <c r="AE763" s="175"/>
    </row>
    <row r="764" spans="1:31" ht="15.75" customHeight="1">
      <c r="A764" s="670"/>
      <c r="AB764" s="175"/>
      <c r="AC764" s="175"/>
      <c r="AD764" s="175"/>
      <c r="AE764" s="175"/>
    </row>
    <row r="765" spans="1:31" ht="15.75" customHeight="1">
      <c r="A765" s="670"/>
      <c r="AB765" s="175"/>
      <c r="AC765" s="175"/>
      <c r="AD765" s="175"/>
      <c r="AE765" s="175"/>
    </row>
    <row r="766" spans="1:31" ht="15.75" customHeight="1">
      <c r="A766" s="670"/>
      <c r="AB766" s="175"/>
      <c r="AC766" s="175"/>
      <c r="AD766" s="175"/>
      <c r="AE766" s="175"/>
    </row>
    <row r="767" spans="1:31" ht="15.75" customHeight="1">
      <c r="A767" s="670"/>
      <c r="AB767" s="175"/>
      <c r="AC767" s="175"/>
      <c r="AD767" s="175"/>
      <c r="AE767" s="175"/>
    </row>
    <row r="768" spans="1:31" ht="15.75" customHeight="1">
      <c r="A768" s="670"/>
      <c r="AB768" s="175"/>
      <c r="AC768" s="175"/>
      <c r="AD768" s="175"/>
      <c r="AE768" s="175"/>
    </row>
    <row r="769" spans="1:31" ht="15.75" customHeight="1">
      <c r="A769" s="670"/>
      <c r="AB769" s="175"/>
      <c r="AC769" s="175"/>
      <c r="AD769" s="175"/>
      <c r="AE769" s="175"/>
    </row>
    <row r="770" spans="1:31" ht="15.75" customHeight="1">
      <c r="A770" s="670"/>
      <c r="AB770" s="175"/>
      <c r="AC770" s="175"/>
      <c r="AD770" s="175"/>
      <c r="AE770" s="175"/>
    </row>
    <row r="771" spans="1:31" ht="15.75" customHeight="1">
      <c r="A771" s="670"/>
      <c r="AB771" s="175"/>
      <c r="AC771" s="175"/>
      <c r="AD771" s="175"/>
      <c r="AE771" s="175"/>
    </row>
    <row r="772" spans="1:31" ht="15.75" customHeight="1">
      <c r="A772" s="670"/>
      <c r="AB772" s="175"/>
      <c r="AC772" s="175"/>
      <c r="AD772" s="175"/>
      <c r="AE772" s="175"/>
    </row>
    <row r="773" spans="1:31" ht="15.75" customHeight="1">
      <c r="A773" s="670"/>
      <c r="AB773" s="175"/>
      <c r="AC773" s="175"/>
      <c r="AD773" s="175"/>
      <c r="AE773" s="175"/>
    </row>
    <row r="774" spans="1:31" ht="15.75" customHeight="1">
      <c r="A774" s="670"/>
      <c r="AB774" s="175"/>
      <c r="AC774" s="175"/>
      <c r="AD774" s="175"/>
      <c r="AE774" s="175"/>
    </row>
    <row r="775" spans="1:31" ht="15.75" customHeight="1">
      <c r="A775" s="670"/>
      <c r="AB775" s="175"/>
      <c r="AC775" s="175"/>
      <c r="AD775" s="175"/>
      <c r="AE775" s="175"/>
    </row>
    <row r="776" spans="1:31" ht="15.75" customHeight="1">
      <c r="A776" s="670"/>
      <c r="AB776" s="175"/>
      <c r="AC776" s="175"/>
      <c r="AD776" s="175"/>
      <c r="AE776" s="175"/>
    </row>
    <row r="777" spans="1:31" ht="15.75" customHeight="1">
      <c r="A777" s="670"/>
      <c r="AB777" s="175"/>
      <c r="AC777" s="175"/>
      <c r="AD777" s="175"/>
      <c r="AE777" s="175"/>
    </row>
    <row r="778" spans="1:31" ht="15.75" customHeight="1">
      <c r="A778" s="670"/>
      <c r="AB778" s="175"/>
      <c r="AC778" s="175"/>
      <c r="AD778" s="175"/>
      <c r="AE778" s="175"/>
    </row>
    <row r="779" spans="1:31" ht="15.75" customHeight="1">
      <c r="A779" s="670"/>
      <c r="AB779" s="175"/>
      <c r="AC779" s="175"/>
      <c r="AD779" s="175"/>
      <c r="AE779" s="175"/>
    </row>
    <row r="780" spans="1:31" ht="15.75" customHeight="1">
      <c r="A780" s="670"/>
      <c r="AB780" s="175"/>
      <c r="AC780" s="175"/>
      <c r="AD780" s="175"/>
      <c r="AE780" s="175"/>
    </row>
    <row r="781" spans="1:31" ht="15.75" customHeight="1">
      <c r="A781" s="670"/>
      <c r="AB781" s="175"/>
      <c r="AC781" s="175"/>
      <c r="AD781" s="175"/>
      <c r="AE781" s="175"/>
    </row>
    <row r="782" spans="1:31" ht="15.75" customHeight="1">
      <c r="A782" s="670"/>
      <c r="AB782" s="175"/>
      <c r="AC782" s="175"/>
      <c r="AD782" s="175"/>
      <c r="AE782" s="175"/>
    </row>
    <row r="783" spans="1:31" ht="15.75" customHeight="1">
      <c r="A783" s="670"/>
      <c r="AB783" s="175"/>
      <c r="AC783" s="175"/>
      <c r="AD783" s="175"/>
      <c r="AE783" s="175"/>
    </row>
    <row r="784" spans="1:31" ht="15.75" customHeight="1">
      <c r="A784" s="670"/>
      <c r="AB784" s="175"/>
      <c r="AC784" s="175"/>
      <c r="AD784" s="175"/>
      <c r="AE784" s="175"/>
    </row>
    <row r="785" spans="1:31" ht="15.75" customHeight="1">
      <c r="A785" s="670"/>
      <c r="AB785" s="175"/>
      <c r="AC785" s="175"/>
      <c r="AD785" s="175"/>
      <c r="AE785" s="175"/>
    </row>
    <row r="786" spans="1:31" ht="15.75" customHeight="1">
      <c r="A786" s="670"/>
      <c r="AB786" s="175"/>
      <c r="AC786" s="175"/>
      <c r="AD786" s="175"/>
      <c r="AE786" s="175"/>
    </row>
    <row r="787" spans="1:31" ht="15.75" customHeight="1">
      <c r="A787" s="670"/>
      <c r="AB787" s="175"/>
      <c r="AC787" s="175"/>
      <c r="AD787" s="175"/>
      <c r="AE787" s="175"/>
    </row>
    <row r="788" spans="1:31" ht="15.75" customHeight="1">
      <c r="A788" s="670"/>
      <c r="AB788" s="175"/>
      <c r="AC788" s="175"/>
      <c r="AD788" s="175"/>
      <c r="AE788" s="175"/>
    </row>
    <row r="789" spans="1:31" ht="15.75" customHeight="1">
      <c r="A789" s="670"/>
      <c r="AB789" s="175"/>
      <c r="AC789" s="175"/>
      <c r="AD789" s="175"/>
      <c r="AE789" s="175"/>
    </row>
    <row r="790" spans="1:31" ht="15.75" customHeight="1">
      <c r="A790" s="670"/>
      <c r="AB790" s="175"/>
      <c r="AC790" s="175"/>
      <c r="AD790" s="175"/>
      <c r="AE790" s="175"/>
    </row>
    <row r="791" spans="1:31" ht="15.75" customHeight="1">
      <c r="A791" s="670"/>
      <c r="AB791" s="175"/>
      <c r="AC791" s="175"/>
      <c r="AD791" s="175"/>
      <c r="AE791" s="175"/>
    </row>
    <row r="792" spans="1:31" ht="15.75" customHeight="1">
      <c r="A792" s="670"/>
      <c r="AB792" s="175"/>
      <c r="AC792" s="175"/>
      <c r="AD792" s="175"/>
      <c r="AE792" s="175"/>
    </row>
    <row r="793" spans="1:31" ht="15.75" customHeight="1">
      <c r="A793" s="670"/>
      <c r="AB793" s="175"/>
      <c r="AC793" s="175"/>
      <c r="AD793" s="175"/>
      <c r="AE793" s="175"/>
    </row>
    <row r="794" spans="1:31" ht="15.75" customHeight="1">
      <c r="A794" s="670"/>
      <c r="AB794" s="175"/>
      <c r="AC794" s="175"/>
      <c r="AD794" s="175"/>
      <c r="AE794" s="175"/>
    </row>
    <row r="795" spans="1:31" ht="15.75" customHeight="1">
      <c r="A795" s="670"/>
      <c r="AB795" s="175"/>
      <c r="AC795" s="175"/>
      <c r="AD795" s="175"/>
      <c r="AE795" s="175"/>
    </row>
    <row r="796" spans="1:31" ht="15.75" customHeight="1">
      <c r="A796" s="670"/>
      <c r="AB796" s="175"/>
      <c r="AC796" s="175"/>
      <c r="AD796" s="175"/>
      <c r="AE796" s="175"/>
    </row>
    <row r="797" spans="1:31" ht="15.75" customHeight="1">
      <c r="A797" s="670"/>
      <c r="AB797" s="175"/>
      <c r="AC797" s="175"/>
      <c r="AD797" s="175"/>
      <c r="AE797" s="175"/>
    </row>
    <row r="798" spans="1:31" ht="15.75" customHeight="1">
      <c r="A798" s="670"/>
      <c r="AB798" s="175"/>
      <c r="AC798" s="175"/>
      <c r="AD798" s="175"/>
      <c r="AE798" s="175"/>
    </row>
    <row r="799" spans="1:31" ht="15.75" customHeight="1">
      <c r="A799" s="670"/>
      <c r="AB799" s="175"/>
      <c r="AC799" s="175"/>
      <c r="AD799" s="175"/>
      <c r="AE799" s="175"/>
    </row>
    <row r="800" spans="1:31" ht="15.75" customHeight="1">
      <c r="A800" s="670"/>
      <c r="AB800" s="175"/>
      <c r="AC800" s="175"/>
      <c r="AD800" s="175"/>
      <c r="AE800" s="175"/>
    </row>
    <row r="801" spans="1:31" ht="15.75" customHeight="1">
      <c r="A801" s="670"/>
      <c r="AB801" s="175"/>
      <c r="AC801" s="175"/>
      <c r="AD801" s="175"/>
      <c r="AE801" s="175"/>
    </row>
    <row r="802" spans="1:31" ht="15.75" customHeight="1">
      <c r="A802" s="670"/>
      <c r="AB802" s="175"/>
      <c r="AC802" s="175"/>
      <c r="AD802" s="175"/>
      <c r="AE802" s="175"/>
    </row>
    <row r="803" spans="1:31" ht="15.75" customHeight="1">
      <c r="A803" s="670"/>
      <c r="AB803" s="175"/>
      <c r="AC803" s="175"/>
      <c r="AD803" s="175"/>
      <c r="AE803" s="175"/>
    </row>
    <row r="804" spans="1:31" ht="15.75" customHeight="1">
      <c r="A804" s="670"/>
      <c r="AB804" s="175"/>
      <c r="AC804" s="175"/>
      <c r="AD804" s="175"/>
      <c r="AE804" s="175"/>
    </row>
    <row r="805" spans="1:31" ht="15.75" customHeight="1">
      <c r="A805" s="670"/>
      <c r="AB805" s="175"/>
      <c r="AC805" s="175"/>
      <c r="AD805" s="175"/>
      <c r="AE805" s="175"/>
    </row>
    <row r="806" spans="1:31" ht="15.75" customHeight="1">
      <c r="A806" s="670"/>
      <c r="AB806" s="175"/>
      <c r="AC806" s="175"/>
      <c r="AD806" s="175"/>
      <c r="AE806" s="175"/>
    </row>
    <row r="807" spans="1:31" ht="15.75" customHeight="1">
      <c r="A807" s="670"/>
      <c r="AB807" s="175"/>
      <c r="AC807" s="175"/>
      <c r="AD807" s="175"/>
      <c r="AE807" s="175"/>
    </row>
    <row r="808" spans="1:31" ht="15.75" customHeight="1">
      <c r="A808" s="670"/>
      <c r="AB808" s="175"/>
      <c r="AC808" s="175"/>
      <c r="AD808" s="175"/>
      <c r="AE808" s="175"/>
    </row>
    <row r="809" spans="1:31" ht="15.75" customHeight="1">
      <c r="A809" s="670"/>
      <c r="AB809" s="175"/>
      <c r="AC809" s="175"/>
      <c r="AD809" s="175"/>
      <c r="AE809" s="175"/>
    </row>
    <row r="810" spans="1:31" ht="15.75" customHeight="1">
      <c r="A810" s="670"/>
      <c r="AB810" s="175"/>
      <c r="AC810" s="175"/>
      <c r="AD810" s="175"/>
      <c r="AE810" s="175"/>
    </row>
    <row r="811" spans="1:31" ht="15.75" customHeight="1">
      <c r="A811" s="670"/>
      <c r="AB811" s="175"/>
      <c r="AC811" s="175"/>
      <c r="AD811" s="175"/>
      <c r="AE811" s="175"/>
    </row>
    <row r="812" spans="1:31" ht="15.75" customHeight="1">
      <c r="A812" s="670"/>
      <c r="AB812" s="175"/>
      <c r="AC812" s="175"/>
      <c r="AD812" s="175"/>
      <c r="AE812" s="175"/>
    </row>
    <row r="813" spans="1:31" ht="15.75" customHeight="1">
      <c r="A813" s="670"/>
      <c r="AB813" s="175"/>
      <c r="AC813" s="175"/>
      <c r="AD813" s="175"/>
      <c r="AE813" s="175"/>
    </row>
    <row r="814" spans="1:31" ht="15.75" customHeight="1">
      <c r="A814" s="670"/>
      <c r="AB814" s="175"/>
      <c r="AC814" s="175"/>
      <c r="AD814" s="175"/>
      <c r="AE814" s="175"/>
    </row>
    <row r="815" spans="1:31" ht="15.75" customHeight="1">
      <c r="A815" s="670"/>
      <c r="AB815" s="175"/>
      <c r="AC815" s="175"/>
      <c r="AD815" s="175"/>
      <c r="AE815" s="175"/>
    </row>
    <row r="816" spans="1:31" ht="15.75" customHeight="1">
      <c r="A816" s="670"/>
      <c r="AB816" s="175"/>
      <c r="AC816" s="175"/>
      <c r="AD816" s="175"/>
      <c r="AE816" s="175"/>
    </row>
    <row r="817" spans="1:31" ht="15.75" customHeight="1">
      <c r="A817" s="670"/>
      <c r="AB817" s="175"/>
      <c r="AC817" s="175"/>
      <c r="AD817" s="175"/>
      <c r="AE817" s="175"/>
    </row>
    <row r="818" spans="1:31" ht="15.75" customHeight="1">
      <c r="A818" s="670"/>
      <c r="AB818" s="175"/>
      <c r="AC818" s="175"/>
      <c r="AD818" s="175"/>
      <c r="AE818" s="175"/>
    </row>
    <row r="819" spans="1:31" ht="15.75" customHeight="1">
      <c r="A819" s="670"/>
      <c r="AB819" s="175"/>
      <c r="AC819" s="175"/>
      <c r="AD819" s="175"/>
      <c r="AE819" s="175"/>
    </row>
    <row r="820" spans="1:31" ht="15.75" customHeight="1">
      <c r="A820" s="670"/>
      <c r="AB820" s="175"/>
      <c r="AC820" s="175"/>
      <c r="AD820" s="175"/>
      <c r="AE820" s="175"/>
    </row>
    <row r="821" spans="1:31" ht="15.75" customHeight="1">
      <c r="A821" s="670"/>
      <c r="AB821" s="175"/>
      <c r="AC821" s="175"/>
      <c r="AD821" s="175"/>
      <c r="AE821" s="175"/>
    </row>
    <row r="822" spans="1:31" ht="15.75" customHeight="1">
      <c r="A822" s="670"/>
      <c r="AB822" s="175"/>
      <c r="AC822" s="175"/>
      <c r="AD822" s="175"/>
      <c r="AE822" s="175"/>
    </row>
    <row r="823" spans="1:31" ht="15.75" customHeight="1">
      <c r="A823" s="670"/>
      <c r="AB823" s="175"/>
      <c r="AC823" s="175"/>
      <c r="AD823" s="175"/>
      <c r="AE823" s="175"/>
    </row>
    <row r="824" spans="1:31" ht="15.75" customHeight="1">
      <c r="A824" s="670"/>
      <c r="AB824" s="175"/>
      <c r="AC824" s="175"/>
      <c r="AD824" s="175"/>
      <c r="AE824" s="175"/>
    </row>
    <row r="825" spans="1:31" ht="15.75" customHeight="1">
      <c r="A825" s="670"/>
      <c r="AB825" s="175"/>
      <c r="AC825" s="175"/>
      <c r="AD825" s="175"/>
      <c r="AE825" s="175"/>
    </row>
    <row r="826" spans="1:31" ht="15.75" customHeight="1">
      <c r="A826" s="670"/>
      <c r="AB826" s="175"/>
      <c r="AC826" s="175"/>
      <c r="AD826" s="175"/>
      <c r="AE826" s="175"/>
    </row>
    <row r="827" spans="1:31" ht="15.75" customHeight="1">
      <c r="A827" s="670"/>
      <c r="AB827" s="175"/>
      <c r="AC827" s="175"/>
      <c r="AD827" s="175"/>
      <c r="AE827" s="175"/>
    </row>
    <row r="828" spans="1:31" ht="15.75" customHeight="1">
      <c r="A828" s="670"/>
      <c r="AB828" s="175"/>
      <c r="AC828" s="175"/>
      <c r="AD828" s="175"/>
      <c r="AE828" s="175"/>
    </row>
    <row r="829" spans="1:31" ht="15.75" customHeight="1">
      <c r="A829" s="670"/>
      <c r="AB829" s="175"/>
      <c r="AC829" s="175"/>
      <c r="AD829" s="175"/>
      <c r="AE829" s="175"/>
    </row>
    <row r="830" spans="1:31" ht="15.75" customHeight="1">
      <c r="A830" s="670"/>
      <c r="AB830" s="175"/>
      <c r="AC830" s="175"/>
      <c r="AD830" s="175"/>
      <c r="AE830" s="175"/>
    </row>
    <row r="831" spans="1:31" ht="15.75" customHeight="1">
      <c r="A831" s="670"/>
      <c r="AB831" s="175"/>
      <c r="AC831" s="175"/>
      <c r="AD831" s="175"/>
      <c r="AE831" s="175"/>
    </row>
    <row r="832" spans="1:31" ht="15.75" customHeight="1">
      <c r="A832" s="670"/>
      <c r="AB832" s="175"/>
      <c r="AC832" s="175"/>
      <c r="AD832" s="175"/>
      <c r="AE832" s="175"/>
    </row>
    <row r="833" spans="1:31" ht="15.75" customHeight="1">
      <c r="A833" s="670"/>
      <c r="AB833" s="175"/>
      <c r="AC833" s="175"/>
      <c r="AD833" s="175"/>
      <c r="AE833" s="175"/>
    </row>
    <row r="834" spans="1:31" ht="15.75" customHeight="1">
      <c r="A834" s="670"/>
      <c r="AB834" s="175"/>
      <c r="AC834" s="175"/>
      <c r="AD834" s="175"/>
      <c r="AE834" s="175"/>
    </row>
    <row r="835" spans="1:31" ht="15.75" customHeight="1">
      <c r="A835" s="670"/>
      <c r="AB835" s="175"/>
      <c r="AC835" s="175"/>
      <c r="AD835" s="175"/>
      <c r="AE835" s="175"/>
    </row>
    <row r="836" spans="1:31" ht="15.75" customHeight="1">
      <c r="A836" s="670"/>
      <c r="AB836" s="175"/>
      <c r="AC836" s="175"/>
      <c r="AD836" s="175"/>
      <c r="AE836" s="175"/>
    </row>
    <row r="837" spans="1:31" ht="15.75" customHeight="1">
      <c r="A837" s="670"/>
      <c r="AB837" s="175"/>
      <c r="AC837" s="175"/>
      <c r="AD837" s="175"/>
      <c r="AE837" s="175"/>
    </row>
    <row r="838" spans="1:31" ht="15.75" customHeight="1">
      <c r="A838" s="670"/>
      <c r="AB838" s="175"/>
      <c r="AC838" s="175"/>
      <c r="AD838" s="175"/>
      <c r="AE838" s="175"/>
    </row>
    <row r="839" spans="1:31" ht="15.75" customHeight="1">
      <c r="A839" s="670"/>
      <c r="AB839" s="175"/>
      <c r="AC839" s="175"/>
      <c r="AD839" s="175"/>
      <c r="AE839" s="175"/>
    </row>
    <row r="840" spans="1:31" ht="15.75" customHeight="1">
      <c r="A840" s="670"/>
      <c r="AB840" s="175"/>
      <c r="AC840" s="175"/>
      <c r="AD840" s="175"/>
      <c r="AE840" s="175"/>
    </row>
    <row r="841" spans="1:31" ht="15.75" customHeight="1">
      <c r="A841" s="670"/>
      <c r="AB841" s="175"/>
      <c r="AC841" s="175"/>
      <c r="AD841" s="175"/>
      <c r="AE841" s="175"/>
    </row>
    <row r="842" spans="1:31" ht="15.75" customHeight="1">
      <c r="A842" s="670"/>
      <c r="AB842" s="175"/>
      <c r="AC842" s="175"/>
      <c r="AD842" s="175"/>
      <c r="AE842" s="175"/>
    </row>
    <row r="843" spans="1:31" ht="15.75" customHeight="1">
      <c r="A843" s="670"/>
      <c r="AB843" s="175"/>
      <c r="AC843" s="175"/>
      <c r="AD843" s="175"/>
      <c r="AE843" s="175"/>
    </row>
    <row r="844" spans="1:31" ht="15.75" customHeight="1">
      <c r="A844" s="670"/>
      <c r="AB844" s="175"/>
      <c r="AC844" s="175"/>
      <c r="AD844" s="175"/>
      <c r="AE844" s="175"/>
    </row>
    <row r="845" spans="1:31" ht="15.75" customHeight="1">
      <c r="A845" s="670"/>
      <c r="AB845" s="175"/>
      <c r="AC845" s="175"/>
      <c r="AD845" s="175"/>
      <c r="AE845" s="175"/>
    </row>
    <row r="846" spans="1:31" ht="15.75" customHeight="1">
      <c r="A846" s="670"/>
      <c r="AB846" s="175"/>
      <c r="AC846" s="175"/>
      <c r="AD846" s="175"/>
      <c r="AE846" s="175"/>
    </row>
    <row r="847" spans="1:31" ht="15.75" customHeight="1">
      <c r="A847" s="670"/>
      <c r="AB847" s="175"/>
      <c r="AC847" s="175"/>
      <c r="AD847" s="175"/>
      <c r="AE847" s="175"/>
    </row>
    <row r="848" spans="1:31" ht="15.75" customHeight="1">
      <c r="A848" s="670"/>
      <c r="AB848" s="175"/>
      <c r="AC848" s="175"/>
      <c r="AD848" s="175"/>
      <c r="AE848" s="175"/>
    </row>
    <row r="849" spans="1:31" ht="15.75" customHeight="1">
      <c r="A849" s="670"/>
      <c r="AB849" s="175"/>
      <c r="AC849" s="175"/>
      <c r="AD849" s="175"/>
      <c r="AE849" s="175"/>
    </row>
    <row r="850" spans="1:31" ht="15.75" customHeight="1">
      <c r="A850" s="670"/>
      <c r="AB850" s="175"/>
      <c r="AC850" s="175"/>
      <c r="AD850" s="175"/>
      <c r="AE850" s="175"/>
    </row>
    <row r="851" spans="1:31" ht="15.75" customHeight="1">
      <c r="A851" s="670"/>
      <c r="AB851" s="175"/>
      <c r="AC851" s="175"/>
      <c r="AD851" s="175"/>
      <c r="AE851" s="175"/>
    </row>
    <row r="852" spans="1:31" ht="15.75" customHeight="1">
      <c r="A852" s="670"/>
      <c r="AB852" s="175"/>
      <c r="AC852" s="175"/>
      <c r="AD852" s="175"/>
      <c r="AE852" s="175"/>
    </row>
    <row r="853" spans="1:31" ht="15.75" customHeight="1">
      <c r="A853" s="670"/>
      <c r="AB853" s="175"/>
      <c r="AC853" s="175"/>
      <c r="AD853" s="175"/>
      <c r="AE853" s="175"/>
    </row>
    <row r="854" spans="1:31" ht="15.75" customHeight="1">
      <c r="A854" s="670"/>
      <c r="AB854" s="175"/>
      <c r="AC854" s="175"/>
      <c r="AD854" s="175"/>
      <c r="AE854" s="175"/>
    </row>
    <row r="855" spans="1:31" ht="15.75" customHeight="1">
      <c r="A855" s="670"/>
      <c r="AB855" s="175"/>
      <c r="AC855" s="175"/>
      <c r="AD855" s="175"/>
      <c r="AE855" s="175"/>
    </row>
    <row r="856" spans="1:31" ht="15.75" customHeight="1">
      <c r="A856" s="670"/>
      <c r="AB856" s="175"/>
      <c r="AC856" s="175"/>
      <c r="AD856" s="175"/>
      <c r="AE856" s="175"/>
    </row>
    <row r="857" spans="1:31" ht="15.75" customHeight="1">
      <c r="A857" s="670"/>
      <c r="AB857" s="175"/>
      <c r="AC857" s="175"/>
      <c r="AD857" s="175"/>
      <c r="AE857" s="175"/>
    </row>
    <row r="858" spans="1:31" ht="15.75" customHeight="1">
      <c r="A858" s="670"/>
      <c r="AB858" s="175"/>
      <c r="AC858" s="175"/>
      <c r="AD858" s="175"/>
      <c r="AE858" s="175"/>
    </row>
    <row r="859" spans="1:31" ht="15.75" customHeight="1">
      <c r="A859" s="670"/>
      <c r="AB859" s="175"/>
      <c r="AC859" s="175"/>
      <c r="AD859" s="175"/>
      <c r="AE859" s="175"/>
    </row>
    <row r="860" spans="1:31" ht="15.75" customHeight="1">
      <c r="A860" s="670"/>
      <c r="AB860" s="175"/>
      <c r="AC860" s="175"/>
      <c r="AD860" s="175"/>
      <c r="AE860" s="175"/>
    </row>
    <row r="861" spans="1:31" ht="15.75" customHeight="1">
      <c r="A861" s="670"/>
      <c r="AB861" s="175"/>
      <c r="AC861" s="175"/>
      <c r="AD861" s="175"/>
      <c r="AE861" s="175"/>
    </row>
    <row r="862" spans="1:31" ht="15.75" customHeight="1">
      <c r="A862" s="670"/>
      <c r="AB862" s="175"/>
      <c r="AC862" s="175"/>
      <c r="AD862" s="175"/>
      <c r="AE862" s="175"/>
    </row>
    <row r="863" spans="1:31" ht="15.75" customHeight="1">
      <c r="A863" s="670"/>
      <c r="AB863" s="175"/>
      <c r="AC863" s="175"/>
      <c r="AD863" s="175"/>
      <c r="AE863" s="175"/>
    </row>
    <row r="864" spans="1:31" ht="15.75" customHeight="1">
      <c r="A864" s="670"/>
      <c r="AB864" s="175"/>
      <c r="AC864" s="175"/>
      <c r="AD864" s="175"/>
      <c r="AE864" s="175"/>
    </row>
    <row r="865" spans="1:31" ht="15.75" customHeight="1">
      <c r="A865" s="670"/>
      <c r="AB865" s="175"/>
      <c r="AC865" s="175"/>
      <c r="AD865" s="175"/>
      <c r="AE865" s="175"/>
    </row>
    <row r="866" spans="1:31" ht="15.75" customHeight="1">
      <c r="A866" s="670"/>
      <c r="AB866" s="175"/>
      <c r="AC866" s="175"/>
      <c r="AD866" s="175"/>
      <c r="AE866" s="175"/>
    </row>
    <row r="867" spans="1:31" ht="15.75" customHeight="1">
      <c r="A867" s="670"/>
      <c r="AB867" s="175"/>
      <c r="AC867" s="175"/>
      <c r="AD867" s="175"/>
      <c r="AE867" s="175"/>
    </row>
    <row r="868" spans="1:31" ht="15.75" customHeight="1">
      <c r="A868" s="670"/>
      <c r="AB868" s="175"/>
      <c r="AC868" s="175"/>
      <c r="AD868" s="175"/>
      <c r="AE868" s="175"/>
    </row>
    <row r="869" spans="1:31" ht="15.75" customHeight="1">
      <c r="A869" s="670"/>
      <c r="AB869" s="175"/>
      <c r="AC869" s="175"/>
      <c r="AD869" s="175"/>
      <c r="AE869" s="175"/>
    </row>
    <row r="870" spans="1:31" ht="15.75" customHeight="1">
      <c r="A870" s="670"/>
      <c r="AB870" s="175"/>
      <c r="AC870" s="175"/>
      <c r="AD870" s="175"/>
      <c r="AE870" s="175"/>
    </row>
    <row r="871" spans="1:31" ht="15.75" customHeight="1">
      <c r="A871" s="670"/>
      <c r="AB871" s="175"/>
      <c r="AC871" s="175"/>
      <c r="AD871" s="175"/>
      <c r="AE871" s="175"/>
    </row>
    <row r="872" spans="1:31" ht="15.75" customHeight="1">
      <c r="A872" s="670"/>
      <c r="AB872" s="175"/>
      <c r="AC872" s="175"/>
      <c r="AD872" s="175"/>
      <c r="AE872" s="175"/>
    </row>
    <row r="873" spans="1:31" ht="15.75" customHeight="1">
      <c r="A873" s="670"/>
      <c r="AB873" s="175"/>
      <c r="AC873" s="175"/>
      <c r="AD873" s="175"/>
      <c r="AE873" s="175"/>
    </row>
    <row r="874" spans="1:31" ht="15.75" customHeight="1">
      <c r="A874" s="670"/>
      <c r="AB874" s="175"/>
      <c r="AC874" s="175"/>
      <c r="AD874" s="175"/>
      <c r="AE874" s="175"/>
    </row>
    <row r="875" spans="1:31" ht="15.75" customHeight="1">
      <c r="A875" s="670"/>
      <c r="AB875" s="175"/>
      <c r="AC875" s="175"/>
      <c r="AD875" s="175"/>
      <c r="AE875" s="175"/>
    </row>
    <row r="876" spans="1:31" ht="15.75" customHeight="1">
      <c r="A876" s="670"/>
      <c r="AB876" s="175"/>
      <c r="AC876" s="175"/>
      <c r="AD876" s="175"/>
      <c r="AE876" s="175"/>
    </row>
    <row r="877" spans="1:31" ht="15.75" customHeight="1">
      <c r="A877" s="670"/>
      <c r="AB877" s="175"/>
      <c r="AC877" s="175"/>
      <c r="AD877" s="175"/>
      <c r="AE877" s="175"/>
    </row>
    <row r="878" spans="1:31" ht="15.75" customHeight="1">
      <c r="A878" s="670"/>
      <c r="AB878" s="175"/>
      <c r="AC878" s="175"/>
      <c r="AD878" s="175"/>
      <c r="AE878" s="175"/>
    </row>
    <row r="879" spans="1:31" ht="15.75" customHeight="1">
      <c r="A879" s="670"/>
      <c r="AB879" s="175"/>
      <c r="AC879" s="175"/>
      <c r="AD879" s="175"/>
      <c r="AE879" s="175"/>
    </row>
    <row r="880" spans="1:31" ht="15.75" customHeight="1">
      <c r="A880" s="670"/>
      <c r="AB880" s="175"/>
      <c r="AC880" s="175"/>
      <c r="AD880" s="175"/>
      <c r="AE880" s="175"/>
    </row>
    <row r="881" spans="1:31" ht="15.75" customHeight="1">
      <c r="A881" s="670"/>
      <c r="AB881" s="175"/>
      <c r="AC881" s="175"/>
      <c r="AD881" s="175"/>
      <c r="AE881" s="175"/>
    </row>
    <row r="882" spans="1:31" ht="15.75" customHeight="1">
      <c r="A882" s="670"/>
      <c r="AB882" s="175"/>
      <c r="AC882" s="175"/>
      <c r="AD882" s="175"/>
      <c r="AE882" s="175"/>
    </row>
    <row r="883" spans="1:31" ht="15.75" customHeight="1">
      <c r="A883" s="670"/>
      <c r="AB883" s="175"/>
      <c r="AC883" s="175"/>
      <c r="AD883" s="175"/>
      <c r="AE883" s="175"/>
    </row>
    <row r="884" spans="1:31" ht="15.75" customHeight="1">
      <c r="A884" s="670"/>
      <c r="AB884" s="175"/>
      <c r="AC884" s="175"/>
      <c r="AD884" s="175"/>
      <c r="AE884" s="175"/>
    </row>
    <row r="885" spans="1:31" ht="15.75" customHeight="1">
      <c r="A885" s="670"/>
      <c r="AB885" s="175"/>
      <c r="AC885" s="175"/>
      <c r="AD885" s="175"/>
      <c r="AE885" s="175"/>
    </row>
    <row r="886" spans="1:31" ht="15.75" customHeight="1">
      <c r="A886" s="670"/>
      <c r="AB886" s="175"/>
      <c r="AC886" s="175"/>
      <c r="AD886" s="175"/>
      <c r="AE886" s="175"/>
    </row>
    <row r="887" spans="1:31" ht="15.75" customHeight="1">
      <c r="A887" s="670"/>
      <c r="AB887" s="175"/>
      <c r="AC887" s="175"/>
      <c r="AD887" s="175"/>
      <c r="AE887" s="175"/>
    </row>
    <row r="888" spans="1:31" ht="15.75" customHeight="1">
      <c r="A888" s="670"/>
      <c r="AB888" s="175"/>
      <c r="AC888" s="175"/>
      <c r="AD888" s="175"/>
      <c r="AE888" s="175"/>
    </row>
    <row r="889" spans="1:31" ht="15.75" customHeight="1">
      <c r="A889" s="670"/>
      <c r="AB889" s="175"/>
      <c r="AC889" s="175"/>
      <c r="AD889" s="175"/>
      <c r="AE889" s="175"/>
    </row>
    <row r="890" spans="1:31" ht="15.75" customHeight="1">
      <c r="A890" s="670"/>
      <c r="AB890" s="175"/>
      <c r="AC890" s="175"/>
      <c r="AD890" s="175"/>
      <c r="AE890" s="175"/>
    </row>
    <row r="891" spans="1:31" ht="15.75" customHeight="1">
      <c r="A891" s="670"/>
      <c r="AB891" s="175"/>
      <c r="AC891" s="175"/>
      <c r="AD891" s="175"/>
      <c r="AE891" s="175"/>
    </row>
    <row r="892" spans="1:31" ht="15.75" customHeight="1">
      <c r="A892" s="670"/>
      <c r="AB892" s="175"/>
      <c r="AC892" s="175"/>
      <c r="AD892" s="175"/>
      <c r="AE892" s="175"/>
    </row>
    <row r="893" spans="1:31" ht="15.75" customHeight="1">
      <c r="A893" s="670"/>
      <c r="AB893" s="175"/>
      <c r="AC893" s="175"/>
      <c r="AD893" s="175"/>
      <c r="AE893" s="175"/>
    </row>
    <row r="894" spans="1:31" ht="15.75" customHeight="1">
      <c r="A894" s="670"/>
      <c r="AB894" s="175"/>
      <c r="AC894" s="175"/>
      <c r="AD894" s="175"/>
      <c r="AE894" s="175"/>
    </row>
    <row r="895" spans="1:31" ht="15.75" customHeight="1">
      <c r="A895" s="670"/>
      <c r="AB895" s="175"/>
      <c r="AC895" s="175"/>
      <c r="AD895" s="175"/>
      <c r="AE895" s="175"/>
    </row>
    <row r="896" spans="1:31" ht="15.75" customHeight="1">
      <c r="A896" s="670"/>
      <c r="AB896" s="175"/>
      <c r="AC896" s="175"/>
      <c r="AD896" s="175"/>
      <c r="AE896" s="175"/>
    </row>
    <row r="897" spans="1:31" ht="15.75" customHeight="1">
      <c r="A897" s="670"/>
      <c r="AB897" s="175"/>
      <c r="AC897" s="175"/>
      <c r="AD897" s="175"/>
      <c r="AE897" s="175"/>
    </row>
    <row r="898" spans="1:31" ht="15.75" customHeight="1">
      <c r="A898" s="670"/>
      <c r="AB898" s="175"/>
      <c r="AC898" s="175"/>
      <c r="AD898" s="175"/>
      <c r="AE898" s="175"/>
    </row>
    <row r="899" spans="1:31" ht="15.75" customHeight="1">
      <c r="A899" s="670"/>
      <c r="AB899" s="175"/>
      <c r="AC899" s="175"/>
      <c r="AD899" s="175"/>
      <c r="AE899" s="175"/>
    </row>
    <row r="900" spans="1:31" ht="15.75" customHeight="1">
      <c r="A900" s="670"/>
      <c r="AB900" s="175"/>
      <c r="AC900" s="175"/>
      <c r="AD900" s="175"/>
      <c r="AE900" s="175"/>
    </row>
    <row r="901" spans="1:31" ht="15.75" customHeight="1">
      <c r="A901" s="670"/>
      <c r="AB901" s="175"/>
      <c r="AC901" s="175"/>
      <c r="AD901" s="175"/>
      <c r="AE901" s="175"/>
    </row>
    <row r="902" spans="1:31" ht="15.75" customHeight="1">
      <c r="A902" s="670"/>
      <c r="AB902" s="175"/>
      <c r="AC902" s="175"/>
      <c r="AD902" s="175"/>
      <c r="AE902" s="175"/>
    </row>
    <row r="903" spans="1:31" ht="15.75" customHeight="1">
      <c r="A903" s="670"/>
      <c r="AB903" s="175"/>
      <c r="AC903" s="175"/>
      <c r="AD903" s="175"/>
      <c r="AE903" s="175"/>
    </row>
    <row r="904" spans="1:31" ht="15.75" customHeight="1">
      <c r="A904" s="670"/>
      <c r="AB904" s="175"/>
      <c r="AC904" s="175"/>
      <c r="AD904" s="175"/>
      <c r="AE904" s="175"/>
    </row>
    <row r="905" spans="1:31" ht="15.75" customHeight="1">
      <c r="A905" s="670"/>
      <c r="AB905" s="175"/>
      <c r="AC905" s="175"/>
      <c r="AD905" s="175"/>
      <c r="AE905" s="175"/>
    </row>
    <row r="906" spans="1:31" ht="15.75" customHeight="1">
      <c r="A906" s="670"/>
      <c r="AB906" s="175"/>
      <c r="AC906" s="175"/>
      <c r="AD906" s="175"/>
      <c r="AE906" s="175"/>
    </row>
    <row r="907" spans="1:31" ht="15.75" customHeight="1">
      <c r="A907" s="670"/>
      <c r="AB907" s="175"/>
      <c r="AC907" s="175"/>
      <c r="AD907" s="175"/>
      <c r="AE907" s="175"/>
    </row>
    <row r="908" spans="1:31" ht="15.75" customHeight="1">
      <c r="A908" s="670"/>
      <c r="AB908" s="175"/>
      <c r="AC908" s="175"/>
      <c r="AD908" s="175"/>
      <c r="AE908" s="175"/>
    </row>
    <row r="909" spans="1:31" ht="15.75" customHeight="1">
      <c r="A909" s="670"/>
      <c r="AB909" s="175"/>
      <c r="AC909" s="175"/>
      <c r="AD909" s="175"/>
      <c r="AE909" s="175"/>
    </row>
    <row r="910" spans="1:31" ht="15.75" customHeight="1">
      <c r="A910" s="670"/>
      <c r="AB910" s="175"/>
      <c r="AC910" s="175"/>
      <c r="AD910" s="175"/>
      <c r="AE910" s="175"/>
    </row>
    <row r="911" spans="1:31" ht="15.75" customHeight="1">
      <c r="A911" s="670"/>
      <c r="AB911" s="175"/>
      <c r="AC911" s="175"/>
      <c r="AD911" s="175"/>
      <c r="AE911" s="175"/>
    </row>
    <row r="912" spans="1:31" ht="15.75" customHeight="1">
      <c r="A912" s="670"/>
      <c r="AB912" s="175"/>
      <c r="AC912" s="175"/>
      <c r="AD912" s="175"/>
      <c r="AE912" s="175"/>
    </row>
    <row r="913" spans="1:31" ht="15.75" customHeight="1">
      <c r="A913" s="670"/>
      <c r="AB913" s="175"/>
      <c r="AC913" s="175"/>
      <c r="AD913" s="175"/>
      <c r="AE913" s="175"/>
    </row>
    <row r="914" spans="1:31" ht="15.75" customHeight="1">
      <c r="A914" s="670"/>
      <c r="AB914" s="175"/>
      <c r="AC914" s="175"/>
      <c r="AD914" s="175"/>
      <c r="AE914" s="175"/>
    </row>
    <row r="915" spans="1:31" ht="15.75" customHeight="1">
      <c r="A915" s="670"/>
      <c r="AB915" s="175"/>
      <c r="AC915" s="175"/>
      <c r="AD915" s="175"/>
      <c r="AE915" s="175"/>
    </row>
    <row r="916" spans="1:31" ht="15.75" customHeight="1">
      <c r="A916" s="670"/>
      <c r="AB916" s="175"/>
      <c r="AC916" s="175"/>
      <c r="AD916" s="175"/>
      <c r="AE916" s="175"/>
    </row>
    <row r="917" spans="1:31" ht="15.75" customHeight="1">
      <c r="A917" s="670"/>
      <c r="AB917" s="175"/>
      <c r="AC917" s="175"/>
      <c r="AD917" s="175"/>
      <c r="AE917" s="175"/>
    </row>
    <row r="918" spans="1:31" ht="15.75" customHeight="1">
      <c r="A918" s="670"/>
      <c r="AB918" s="175"/>
      <c r="AC918" s="175"/>
      <c r="AD918" s="175"/>
      <c r="AE918" s="175"/>
    </row>
    <row r="919" spans="1:31" ht="15.75" customHeight="1">
      <c r="A919" s="670"/>
      <c r="AB919" s="175"/>
      <c r="AC919" s="175"/>
      <c r="AD919" s="175"/>
      <c r="AE919" s="175"/>
    </row>
    <row r="920" spans="1:31" ht="15.75" customHeight="1">
      <c r="A920" s="670"/>
      <c r="AB920" s="175"/>
      <c r="AC920" s="175"/>
      <c r="AD920" s="175"/>
      <c r="AE920" s="175"/>
    </row>
    <row r="921" spans="1:31" ht="15.75" customHeight="1">
      <c r="A921" s="670"/>
      <c r="AB921" s="175"/>
      <c r="AC921" s="175"/>
      <c r="AD921" s="175"/>
      <c r="AE921" s="175"/>
    </row>
    <row r="922" spans="1:31" ht="15.75" customHeight="1">
      <c r="A922" s="670"/>
      <c r="AB922" s="175"/>
      <c r="AC922" s="175"/>
      <c r="AD922" s="175"/>
      <c r="AE922" s="175"/>
    </row>
    <row r="923" spans="1:31" ht="15.75" customHeight="1">
      <c r="A923" s="670"/>
      <c r="AB923" s="175"/>
      <c r="AC923" s="175"/>
      <c r="AD923" s="175"/>
      <c r="AE923" s="175"/>
    </row>
    <row r="924" spans="1:31" ht="15.75" customHeight="1">
      <c r="A924" s="670"/>
      <c r="AB924" s="175"/>
      <c r="AC924" s="175"/>
      <c r="AD924" s="175"/>
      <c r="AE924" s="175"/>
    </row>
    <row r="925" spans="1:31" ht="15.75" customHeight="1">
      <c r="A925" s="670"/>
      <c r="AB925" s="175"/>
      <c r="AC925" s="175"/>
      <c r="AD925" s="175"/>
      <c r="AE925" s="175"/>
    </row>
    <row r="926" spans="1:31" ht="15.75" customHeight="1">
      <c r="A926" s="670"/>
      <c r="AB926" s="175"/>
      <c r="AC926" s="175"/>
      <c r="AD926" s="175"/>
      <c r="AE926" s="175"/>
    </row>
    <row r="927" spans="1:31" ht="15.75" customHeight="1">
      <c r="A927" s="670"/>
      <c r="AB927" s="175"/>
      <c r="AC927" s="175"/>
      <c r="AD927" s="175"/>
      <c r="AE927" s="175"/>
    </row>
    <row r="928" spans="1:31" ht="15.75" customHeight="1">
      <c r="A928" s="670"/>
      <c r="AB928" s="175"/>
      <c r="AC928" s="175"/>
      <c r="AD928" s="175"/>
      <c r="AE928" s="175"/>
    </row>
    <row r="929" spans="1:31" ht="15.75" customHeight="1">
      <c r="A929" s="670"/>
      <c r="AB929" s="175"/>
      <c r="AC929" s="175"/>
      <c r="AD929" s="175"/>
      <c r="AE929" s="175"/>
    </row>
    <row r="930" spans="1:31" ht="15.75" customHeight="1">
      <c r="A930" s="670"/>
      <c r="AB930" s="175"/>
      <c r="AC930" s="175"/>
      <c r="AD930" s="175"/>
      <c r="AE930" s="175"/>
    </row>
    <row r="931" spans="1:31" ht="15.75" customHeight="1">
      <c r="A931" s="670"/>
      <c r="AB931" s="175"/>
      <c r="AC931" s="175"/>
      <c r="AD931" s="175"/>
      <c r="AE931" s="175"/>
    </row>
    <row r="932" spans="1:31" ht="15.75" customHeight="1">
      <c r="A932" s="670"/>
      <c r="AB932" s="175"/>
      <c r="AC932" s="175"/>
      <c r="AD932" s="175"/>
      <c r="AE932" s="175"/>
    </row>
    <row r="933" spans="1:31" ht="15.75" customHeight="1">
      <c r="A933" s="670"/>
      <c r="AB933" s="175"/>
      <c r="AC933" s="175"/>
      <c r="AD933" s="175"/>
      <c r="AE933" s="175"/>
    </row>
    <row r="934" spans="1:31" ht="15.75" customHeight="1">
      <c r="A934" s="670"/>
      <c r="AB934" s="175"/>
      <c r="AC934" s="175"/>
      <c r="AD934" s="175"/>
      <c r="AE934" s="175"/>
    </row>
    <row r="935" spans="1:31" ht="15.75" customHeight="1">
      <c r="A935" s="670"/>
      <c r="AB935" s="175"/>
      <c r="AC935" s="175"/>
      <c r="AD935" s="175"/>
      <c r="AE935" s="175"/>
    </row>
    <row r="936" spans="1:31" ht="15.75" customHeight="1">
      <c r="A936" s="670"/>
      <c r="AB936" s="175"/>
      <c r="AC936" s="175"/>
      <c r="AD936" s="175"/>
      <c r="AE936" s="175"/>
    </row>
    <row r="937" spans="1:31" ht="15.75" customHeight="1">
      <c r="A937" s="670"/>
      <c r="AB937" s="175"/>
      <c r="AC937" s="175"/>
      <c r="AD937" s="175"/>
      <c r="AE937" s="175"/>
    </row>
    <row r="938" spans="1:31" ht="15.75" customHeight="1">
      <c r="A938" s="670"/>
      <c r="AB938" s="175"/>
      <c r="AC938" s="175"/>
      <c r="AD938" s="175"/>
      <c r="AE938" s="175"/>
    </row>
    <row r="939" spans="1:31" ht="15.75" customHeight="1">
      <c r="A939" s="670"/>
      <c r="AB939" s="175"/>
      <c r="AC939" s="175"/>
      <c r="AD939" s="175"/>
      <c r="AE939" s="175"/>
    </row>
    <row r="940" spans="1:31" ht="15.75" customHeight="1">
      <c r="A940" s="670"/>
      <c r="AB940" s="175"/>
      <c r="AC940" s="175"/>
      <c r="AD940" s="175"/>
      <c r="AE940" s="175"/>
    </row>
    <row r="941" spans="1:31" ht="15.75" customHeight="1">
      <c r="A941" s="670"/>
      <c r="AB941" s="175"/>
      <c r="AC941" s="175"/>
      <c r="AD941" s="175"/>
      <c r="AE941" s="175"/>
    </row>
    <row r="942" spans="1:31" ht="15.75" customHeight="1">
      <c r="A942" s="670"/>
      <c r="AB942" s="175"/>
      <c r="AC942" s="175"/>
      <c r="AD942" s="175"/>
      <c r="AE942" s="175"/>
    </row>
    <row r="943" spans="1:31" ht="15.75" customHeight="1">
      <c r="A943" s="670"/>
      <c r="AB943" s="175"/>
      <c r="AC943" s="175"/>
      <c r="AD943" s="175"/>
      <c r="AE943" s="175"/>
    </row>
    <row r="944" spans="1:31" ht="15.75" customHeight="1">
      <c r="A944" s="670"/>
      <c r="AB944" s="175"/>
      <c r="AC944" s="175"/>
      <c r="AD944" s="175"/>
      <c r="AE944" s="175"/>
    </row>
    <row r="945" spans="1:31" ht="15.75" customHeight="1">
      <c r="A945" s="670"/>
      <c r="AB945" s="175"/>
      <c r="AC945" s="175"/>
      <c r="AD945" s="175"/>
      <c r="AE945" s="175"/>
    </row>
    <row r="946" spans="1:31" ht="15.75" customHeight="1">
      <c r="A946" s="670"/>
      <c r="AB946" s="175"/>
      <c r="AC946" s="175"/>
      <c r="AD946" s="175"/>
      <c r="AE946" s="175"/>
    </row>
    <row r="947" spans="1:31" ht="15.75" customHeight="1">
      <c r="A947" s="670"/>
      <c r="AB947" s="175"/>
      <c r="AC947" s="175"/>
      <c r="AD947" s="175"/>
      <c r="AE947" s="175"/>
    </row>
    <row r="948" spans="1:31" ht="15.75" customHeight="1">
      <c r="A948" s="670"/>
      <c r="AB948" s="175"/>
      <c r="AC948" s="175"/>
      <c r="AD948" s="175"/>
      <c r="AE948" s="175"/>
    </row>
    <row r="949" spans="1:31" ht="15.75" customHeight="1">
      <c r="A949" s="670"/>
      <c r="AB949" s="175"/>
      <c r="AC949" s="175"/>
      <c r="AD949" s="175"/>
      <c r="AE949" s="175"/>
    </row>
    <row r="950" spans="1:31" ht="15.75" customHeight="1">
      <c r="A950" s="670"/>
      <c r="AB950" s="175"/>
      <c r="AC950" s="175"/>
      <c r="AD950" s="175"/>
      <c r="AE950" s="175"/>
    </row>
    <row r="951" spans="1:31" ht="15.75" customHeight="1">
      <c r="A951" s="670"/>
      <c r="AB951" s="175"/>
      <c r="AC951" s="175"/>
      <c r="AD951" s="175"/>
      <c r="AE951" s="175"/>
    </row>
    <row r="952" spans="1:31" ht="15.75" customHeight="1">
      <c r="A952" s="670"/>
      <c r="AB952" s="175"/>
      <c r="AC952" s="175"/>
      <c r="AD952" s="175"/>
      <c r="AE952" s="175"/>
    </row>
    <row r="953" spans="1:31" ht="15.75" customHeight="1">
      <c r="A953" s="670"/>
      <c r="AB953" s="175"/>
      <c r="AC953" s="175"/>
      <c r="AD953" s="175"/>
      <c r="AE953" s="175"/>
    </row>
    <row r="954" spans="1:31" ht="15.75" customHeight="1">
      <c r="A954" s="670"/>
      <c r="AB954" s="175"/>
      <c r="AC954" s="175"/>
      <c r="AD954" s="175"/>
      <c r="AE954" s="175"/>
    </row>
    <row r="955" spans="1:31" ht="15.75" customHeight="1">
      <c r="A955" s="670"/>
      <c r="AB955" s="175"/>
      <c r="AC955" s="175"/>
      <c r="AD955" s="175"/>
      <c r="AE955" s="175"/>
    </row>
    <row r="956" spans="1:31" ht="15.75" customHeight="1">
      <c r="A956" s="670"/>
      <c r="AB956" s="175"/>
      <c r="AC956" s="175"/>
      <c r="AD956" s="175"/>
      <c r="AE956" s="175"/>
    </row>
    <row r="957" spans="1:31" ht="15.75" customHeight="1">
      <c r="A957" s="670"/>
      <c r="AB957" s="175"/>
      <c r="AC957" s="175"/>
      <c r="AD957" s="175"/>
      <c r="AE957" s="175"/>
    </row>
    <row r="958" spans="1:31" ht="15.75" customHeight="1">
      <c r="A958" s="670"/>
      <c r="AB958" s="175"/>
      <c r="AC958" s="175"/>
      <c r="AD958" s="175"/>
      <c r="AE958" s="175"/>
    </row>
    <row r="959" spans="1:31" ht="15.75" customHeight="1">
      <c r="A959" s="670"/>
      <c r="AB959" s="175"/>
      <c r="AC959" s="175"/>
      <c r="AD959" s="175"/>
      <c r="AE959" s="175"/>
    </row>
    <row r="960" spans="1:31" ht="15.75" customHeight="1">
      <c r="A960" s="670"/>
      <c r="AB960" s="175"/>
      <c r="AC960" s="175"/>
      <c r="AD960" s="175"/>
      <c r="AE960" s="175"/>
    </row>
    <row r="961" spans="1:31" ht="15.75" customHeight="1">
      <c r="A961" s="670"/>
      <c r="AB961" s="175"/>
      <c r="AC961" s="175"/>
      <c r="AD961" s="175"/>
      <c r="AE961" s="175"/>
    </row>
    <row r="962" spans="1:31" ht="15.75" customHeight="1">
      <c r="A962" s="670"/>
      <c r="AB962" s="175"/>
      <c r="AC962" s="175"/>
      <c r="AD962" s="175"/>
      <c r="AE962" s="175"/>
    </row>
    <row r="963" spans="1:31" ht="15.75" customHeight="1">
      <c r="A963" s="670"/>
      <c r="AB963" s="175"/>
      <c r="AC963" s="175"/>
      <c r="AD963" s="175"/>
      <c r="AE963" s="175"/>
    </row>
    <row r="964" spans="1:31" ht="15.75" customHeight="1">
      <c r="A964" s="670"/>
      <c r="AB964" s="175"/>
      <c r="AC964" s="175"/>
      <c r="AD964" s="175"/>
      <c r="AE964" s="175"/>
    </row>
    <row r="965" spans="1:31" ht="15.75" customHeight="1">
      <c r="A965" s="670"/>
      <c r="AB965" s="175"/>
      <c r="AC965" s="175"/>
      <c r="AD965" s="175"/>
      <c r="AE965" s="175"/>
    </row>
    <row r="966" spans="1:31" ht="15.75" customHeight="1">
      <c r="A966" s="670"/>
      <c r="AB966" s="175"/>
      <c r="AC966" s="175"/>
      <c r="AD966" s="175"/>
      <c r="AE966" s="175"/>
    </row>
    <row r="967" spans="1:31" ht="15.75" customHeight="1">
      <c r="A967" s="670"/>
      <c r="AB967" s="175"/>
      <c r="AC967" s="175"/>
      <c r="AD967" s="175"/>
      <c r="AE967" s="175"/>
    </row>
    <row r="968" spans="1:31" ht="15.75" customHeight="1">
      <c r="A968" s="670"/>
      <c r="AB968" s="175"/>
      <c r="AC968" s="175"/>
      <c r="AD968" s="175"/>
      <c r="AE968" s="175"/>
    </row>
    <row r="969" spans="1:31" ht="15.75" customHeight="1">
      <c r="A969" s="670"/>
      <c r="AB969" s="175"/>
      <c r="AC969" s="175"/>
      <c r="AD969" s="175"/>
      <c r="AE969" s="175"/>
    </row>
    <row r="970" spans="1:31" ht="15.75" customHeight="1">
      <c r="A970" s="670"/>
      <c r="AB970" s="175"/>
      <c r="AC970" s="175"/>
      <c r="AD970" s="175"/>
      <c r="AE970" s="175"/>
    </row>
    <row r="971" spans="1:31" ht="15.75" customHeight="1">
      <c r="A971" s="670"/>
      <c r="AB971" s="175"/>
      <c r="AC971" s="175"/>
      <c r="AD971" s="175"/>
      <c r="AE971" s="175"/>
    </row>
    <row r="972" spans="1:31" ht="15.75" customHeight="1">
      <c r="A972" s="670"/>
      <c r="AB972" s="175"/>
      <c r="AC972" s="175"/>
      <c r="AD972" s="175"/>
      <c r="AE972" s="175"/>
    </row>
    <row r="973" spans="1:31" ht="15.75" customHeight="1">
      <c r="A973" s="670"/>
      <c r="AB973" s="175"/>
      <c r="AC973" s="175"/>
      <c r="AD973" s="175"/>
      <c r="AE973" s="175"/>
    </row>
    <row r="974" spans="1:31" ht="15.75" customHeight="1">
      <c r="A974" s="670"/>
      <c r="AB974" s="175"/>
      <c r="AC974" s="175"/>
      <c r="AD974" s="175"/>
      <c r="AE974" s="175"/>
    </row>
    <row r="975" spans="1:31" ht="15.75" customHeight="1">
      <c r="A975" s="670"/>
      <c r="AB975" s="175"/>
      <c r="AC975" s="175"/>
      <c r="AD975" s="175"/>
      <c r="AE975" s="175"/>
    </row>
    <row r="976" spans="1:31" ht="15.75" customHeight="1">
      <c r="A976" s="670"/>
      <c r="AB976" s="175"/>
      <c r="AC976" s="175"/>
      <c r="AD976" s="175"/>
      <c r="AE976" s="175"/>
    </row>
    <row r="977" spans="1:31" ht="15.75" customHeight="1">
      <c r="A977" s="670"/>
      <c r="AB977" s="175"/>
      <c r="AC977" s="175"/>
      <c r="AD977" s="175"/>
      <c r="AE977" s="175"/>
    </row>
    <row r="978" spans="1:31" ht="15.75" customHeight="1">
      <c r="A978" s="670"/>
      <c r="AB978" s="175"/>
      <c r="AC978" s="175"/>
      <c r="AD978" s="175"/>
      <c r="AE978" s="175"/>
    </row>
    <row r="979" spans="1:31" ht="15.75" customHeight="1">
      <c r="A979" s="670"/>
      <c r="AB979" s="175"/>
      <c r="AC979" s="175"/>
      <c r="AD979" s="175"/>
      <c r="AE979" s="175"/>
    </row>
    <row r="980" spans="1:31" ht="15.75" customHeight="1">
      <c r="A980" s="670"/>
      <c r="AB980" s="175"/>
      <c r="AC980" s="175"/>
      <c r="AD980" s="175"/>
      <c r="AE980" s="175"/>
    </row>
    <row r="981" spans="1:31" ht="15.75" customHeight="1">
      <c r="A981" s="670"/>
      <c r="AB981" s="175"/>
      <c r="AC981" s="175"/>
      <c r="AD981" s="175"/>
      <c r="AE981" s="175"/>
    </row>
    <row r="982" spans="1:31" ht="15.75" customHeight="1">
      <c r="A982" s="670"/>
      <c r="AB982" s="175"/>
      <c r="AC982" s="175"/>
      <c r="AD982" s="175"/>
      <c r="AE982" s="175"/>
    </row>
    <row r="983" spans="1:31" ht="15.75" customHeight="1">
      <c r="A983" s="670"/>
      <c r="AB983" s="175"/>
      <c r="AC983" s="175"/>
      <c r="AD983" s="175"/>
      <c r="AE983" s="175"/>
    </row>
    <row r="984" spans="1:31" ht="15.75" customHeight="1">
      <c r="A984" s="670"/>
      <c r="AB984" s="175"/>
      <c r="AC984" s="175"/>
      <c r="AD984" s="175"/>
      <c r="AE984" s="175"/>
    </row>
    <row r="985" spans="1:31" ht="15.75" customHeight="1">
      <c r="A985" s="670"/>
      <c r="AB985" s="175"/>
      <c r="AC985" s="175"/>
      <c r="AD985" s="175"/>
      <c r="AE985" s="175"/>
    </row>
    <row r="986" spans="1:31" ht="15.75" customHeight="1">
      <c r="A986" s="670"/>
      <c r="AB986" s="175"/>
      <c r="AC986" s="175"/>
      <c r="AD986" s="175"/>
      <c r="AE986" s="175"/>
    </row>
    <row r="987" spans="1:31" ht="15.75" customHeight="1">
      <c r="A987" s="670"/>
      <c r="AB987" s="175"/>
      <c r="AC987" s="175"/>
      <c r="AD987" s="175"/>
      <c r="AE987" s="175"/>
    </row>
    <row r="988" spans="1:31" ht="15.75" customHeight="1">
      <c r="A988" s="670"/>
      <c r="AB988" s="175"/>
      <c r="AC988" s="175"/>
      <c r="AD988" s="175"/>
      <c r="AE988" s="175"/>
    </row>
    <row r="989" spans="1:31" ht="15.75" customHeight="1">
      <c r="A989" s="670"/>
      <c r="AB989" s="175"/>
      <c r="AC989" s="175"/>
      <c r="AD989" s="175"/>
      <c r="AE989" s="175"/>
    </row>
    <row r="990" spans="1:31" ht="15.75" customHeight="1">
      <c r="A990" s="670"/>
      <c r="AB990" s="175"/>
      <c r="AC990" s="175"/>
      <c r="AD990" s="175"/>
      <c r="AE990" s="175"/>
    </row>
    <row r="991" spans="1:31" ht="15.75" customHeight="1">
      <c r="A991" s="670"/>
      <c r="AB991" s="175"/>
      <c r="AC991" s="175"/>
      <c r="AD991" s="175"/>
      <c r="AE991" s="175"/>
    </row>
    <row r="992" spans="1:31" ht="15.75" customHeight="1">
      <c r="A992" s="670"/>
      <c r="AB992" s="175"/>
      <c r="AC992" s="175"/>
      <c r="AD992" s="175"/>
      <c r="AE992" s="175"/>
    </row>
    <row r="993" spans="1:31" ht="15.75" customHeight="1">
      <c r="A993" s="670"/>
      <c r="AB993" s="175"/>
      <c r="AC993" s="175"/>
      <c r="AD993" s="175"/>
      <c r="AE993" s="175"/>
    </row>
    <row r="994" spans="1:31" ht="15.75" customHeight="1">
      <c r="A994" s="670"/>
      <c r="AB994" s="175"/>
      <c r="AC994" s="175"/>
      <c r="AD994" s="175"/>
      <c r="AE994" s="175"/>
    </row>
    <row r="995" spans="1:31" ht="15.75" customHeight="1">
      <c r="A995" s="670"/>
      <c r="AB995" s="175"/>
      <c r="AC995" s="175"/>
      <c r="AD995" s="175"/>
      <c r="AE995" s="175"/>
    </row>
    <row r="996" spans="1:31" ht="15.75" customHeight="1">
      <c r="A996" s="670"/>
      <c r="AB996" s="175"/>
      <c r="AC996" s="175"/>
      <c r="AD996" s="175"/>
      <c r="AE996" s="175"/>
    </row>
    <row r="997" spans="1:31" ht="15.75" customHeight="1">
      <c r="A997" s="670"/>
      <c r="AB997" s="175"/>
      <c r="AC997" s="175"/>
      <c r="AD997" s="175"/>
      <c r="AE997" s="175"/>
    </row>
    <row r="998" spans="1:31" ht="15.75" customHeight="1">
      <c r="A998" s="670"/>
      <c r="AB998" s="175"/>
      <c r="AC998" s="175"/>
      <c r="AD998" s="175"/>
      <c r="AE998" s="175"/>
    </row>
    <row r="999" spans="1:31" ht="15.75" customHeight="1">
      <c r="A999" s="670"/>
      <c r="AB999" s="175"/>
      <c r="AC999" s="175"/>
      <c r="AD999" s="175"/>
      <c r="AE999" s="175"/>
    </row>
    <row r="1000" spans="1:31" ht="15.75" customHeight="1">
      <c r="A1000" s="670"/>
      <c r="AB1000" s="175"/>
      <c r="AC1000" s="175"/>
      <c r="AD1000" s="175"/>
      <c r="AE1000" s="175"/>
    </row>
  </sheetData>
  <autoFilter ref="B3:W82" xr:uid="{00000000-0009-0000-0000-000005000000}"/>
  <mergeCells count="7">
    <mergeCell ref="V2:W2"/>
    <mergeCell ref="X2:Y2"/>
    <mergeCell ref="A1:F1"/>
    <mergeCell ref="A2:D2"/>
    <mergeCell ref="E2:F2"/>
    <mergeCell ref="G2:N2"/>
    <mergeCell ref="T2:U2"/>
  </mergeCells>
  <conditionalFormatting sqref="A27">
    <cfRule type="expression" dxfId="22" priority="1">
      <formula>COUNTIF(E:E,A27)&gt;1</formula>
    </cfRule>
    <cfRule type="expression" dxfId="21" priority="2">
      <formula>AND(COUNTIF($E$4:E1063,A27)&gt;0,COUNTIF($AB:$AB,A27)&gt;0)</formula>
    </cfRule>
  </conditionalFormatting>
  <conditionalFormatting sqref="E4:E26 E77 E79:E81 E28:E68">
    <cfRule type="expression" dxfId="20" priority="8">
      <formula>AND(COUNTIF($E$4:E1040,E4)&gt;0,COUNTIF($AB:$AB,E4)&gt;0)</formula>
    </cfRule>
  </conditionalFormatting>
  <conditionalFormatting sqref="E4:E26 E77 E79:E81">
    <cfRule type="expression" dxfId="19" priority="7">
      <formula>COUNTIF(E:E,E4)&gt;1</formula>
    </cfRule>
  </conditionalFormatting>
  <conditionalFormatting sqref="E28:E68">
    <cfRule type="expression" dxfId="18" priority="3">
      <formula>COUNTIF(E:E,E28)&gt;1</formula>
    </cfRule>
  </conditionalFormatting>
  <conditionalFormatting sqref="T4:T35 V21 V24 T37:T58 V39 V42:V43 V51 V60 T60:T68 V64 T77 T79:T81">
    <cfRule type="expression" dxfId="17" priority="11">
      <formula>COUNTIF(T:T,T4)&gt;1</formula>
    </cfRule>
    <cfRule type="expression" dxfId="16" priority="12">
      <formula>AND(COUNTIF($T$4:T1040,T4)&gt;0,(COUNTIF($AD:$AD,T4)&gt;0)+(COUNTIF($AE:$AE,T4)&gt;0))</formula>
    </cfRule>
  </conditionalFormatting>
  <conditionalFormatting sqref="V4:V58 T28 T40:T41 T46:T47 T49 T52 V60:V68 T62 V77 V79:V81">
    <cfRule type="expression" dxfId="15" priority="9">
      <formula>COUNTIF(X:X,#REF!)&gt;1</formula>
    </cfRule>
    <cfRule type="expression" dxfId="14" priority="10">
      <formula>AND(COUNTIF($V$4:X1016,#REF!)&gt;0,(COUNTIF($AD:$AD,#REF!)&gt;0)+(COUNTIF($AE:$AE,#REF!)&gt;0))</formula>
    </cfRule>
  </conditionalFormatting>
  <conditionalFormatting sqref="V59 V65:V66">
    <cfRule type="expression" dxfId="13" priority="14">
      <formula>AND(COUNTIF($T$4:T1095,V59)&gt;0,(COUNTIF($AD:$AD,V59)&gt;0)+(COUNTIF($AE:$AE,V59)&gt;0))</formula>
    </cfRule>
  </conditionalFormatting>
  <conditionalFormatting sqref="V65:V66 V59">
    <cfRule type="expression" dxfId="12" priority="13">
      <formula>COUNTIF(T:T,V59)&gt;1</formula>
    </cfRule>
  </conditionalFormatting>
  <conditionalFormatting sqref="AB4:AB68">
    <cfRule type="expression" dxfId="11" priority="4">
      <formula>AND(COUNTIF($AB4:$AB1040,AB4)&gt;0,COUNTIF($E:E,AB4)&gt;0)</formula>
    </cfRule>
  </conditionalFormatting>
  <conditionalFormatting sqref="AD4:AD68">
    <cfRule type="expression" dxfId="10" priority="5">
      <formula>AND(COUNTIF($AD:$AD,AD4)&gt;0,(COUNTIF($T$4:T1040,AD4)&gt;0)+(COUNTIF($V$4:V1040,AD4)&gt;0))</formula>
    </cfRule>
  </conditionalFormatting>
  <conditionalFormatting sqref="AE4:AE68">
    <cfRule type="expression" dxfId="9" priority="6">
      <formula>AND(COUNTIF($AE:$AE,AE4)&gt;0,(COUNTIF($T$4:T1040,AE4)&gt;0)+(COUNTIF($V$4:V1040,AE4)&gt;0))</formula>
    </cfRule>
  </conditionalFormatting>
  <dataValidations count="10">
    <dataValidation type="list" allowBlank="1" showErrorMessage="1" sqref="C4:C75" xr:uid="{00000000-0002-0000-0500-000000000000}">
      <formula1>periodestamp</formula1>
    </dataValidation>
    <dataValidation type="list" allowBlank="1" showErrorMessage="1" sqref="G4:P68 G69:J69 G70:P73 G75:P75 G77:P81 G82:J82" xr:uid="{00000000-0002-0000-0500-000001000000}">
      <formula1>nmperiset</formula1>
    </dataValidation>
    <dataValidation type="list" allowBlank="1" showDropDown="1" showErrorMessage="1" sqref="D4:D83" xr:uid="{00000000-0002-0000-0500-000002000000}">
      <formula1>statuskelris</formula1>
    </dataValidation>
    <dataValidation type="custom" allowBlank="1" sqref="U4:U32 W4:W34 T36:U36 W36 U41 W40:W42 U44:U48 W44:W48 U50:U51 W51 W60 U53:U61 W64 U63:U68 U71:U73 U77:U78 W77:W80 U81" xr:uid="{00000000-0002-0000-0500-000003000000}">
      <formula1>OR(NOT(ISERROR(DATEVALUE(T4))),AND(ISNUMBER(T4),LEFT(CELL("format",T4))="D"))</formula1>
    </dataValidation>
    <dataValidation type="list" allowBlank="1" showErrorMessage="1" sqref="F4:F73 F75 F77:F82" xr:uid="{00000000-0002-0000-0500-000004000000}">
      <formula1>kelris</formula1>
    </dataValidation>
    <dataValidation type="custom" allowBlank="1" showInputMessage="1" showErrorMessage="1" prompt="Duplikasi!! judul yang anda masukkan sudah terdapat pada list sebelumnya" sqref="E63" xr:uid="{00000000-0002-0000-0500-000005000000}">
      <formula1>COUNTIF($D$4:$D1060,E63)=1</formula1>
    </dataValidation>
    <dataValidation type="list" allowBlank="1" showErrorMessage="1" sqref="Y4:Y82" xr:uid="{00000000-0002-0000-0500-000006000000}">
      <formula1>stsupload</formula1>
    </dataValidation>
    <dataValidation type="custom" allowBlank="1" showInputMessage="1" prompt="Duplikasi!! judul yang anda masukkan sudah terdapat pada list sebelumnya" sqref="E4:E26 A27 E28:E62 E64:E68 E71:E72 E77:E81" xr:uid="{00000000-0002-0000-0500-000007000000}">
      <formula1>COUNTIF($E$4:$E1040,A4)=1</formula1>
    </dataValidation>
    <dataValidation type="list" allowBlank="1" showInputMessage="1" showErrorMessage="1" prompt="Click and enter a value from range" sqref="R4:R73 R75 R77:R82" xr:uid="{00000000-0002-0000-0500-000008000000}">
      <formula1>statki</formula1>
    </dataValidation>
    <dataValidation type="list" allowBlank="1" showInputMessage="1" showErrorMessage="1" prompt=" - " sqref="S4:S73 S75 S77:S82" xr:uid="{00000000-0002-0000-0500-000009000000}">
      <formula1>jnski</formula1>
    </dataValidation>
  </dataValidations>
  <hyperlinks>
    <hyperlink ref="X4" r:id="rId1" xr:uid="{00000000-0004-0000-0500-000000000000}"/>
    <hyperlink ref="X5" r:id="rId2" xr:uid="{00000000-0004-0000-0500-000001000000}"/>
    <hyperlink ref="X6" r:id="rId3" xr:uid="{00000000-0004-0000-0500-000002000000}"/>
    <hyperlink ref="Z6" r:id="rId4" xr:uid="{00000000-0004-0000-0500-000003000000}"/>
    <hyperlink ref="X7" r:id="rId5" xr:uid="{00000000-0004-0000-0500-000004000000}"/>
    <hyperlink ref="Z7" r:id="rId6" xr:uid="{00000000-0004-0000-0500-000005000000}"/>
    <hyperlink ref="X8" r:id="rId7" xr:uid="{00000000-0004-0000-0500-000006000000}"/>
    <hyperlink ref="X9" r:id="rId8" xr:uid="{00000000-0004-0000-0500-000007000000}"/>
    <hyperlink ref="X10" r:id="rId9" xr:uid="{00000000-0004-0000-0500-000008000000}"/>
    <hyperlink ref="X11" r:id="rId10" xr:uid="{00000000-0004-0000-0500-000009000000}"/>
    <hyperlink ref="X12" r:id="rId11" xr:uid="{00000000-0004-0000-0500-00000A000000}"/>
    <hyperlink ref="G13" r:id="rId12" xr:uid="{00000000-0004-0000-0500-00000B000000}"/>
    <hyperlink ref="X13" r:id="rId13" xr:uid="{00000000-0004-0000-0500-00000C000000}"/>
    <hyperlink ref="Z13" r:id="rId14" xr:uid="{00000000-0004-0000-0500-00000D000000}"/>
    <hyperlink ref="X14" r:id="rId15" xr:uid="{00000000-0004-0000-0500-00000E000000}"/>
    <hyperlink ref="Z14" r:id="rId16" xr:uid="{00000000-0004-0000-0500-00000F000000}"/>
    <hyperlink ref="X15" r:id="rId17" xr:uid="{00000000-0004-0000-0500-000010000000}"/>
    <hyperlink ref="Z15" r:id="rId18" xr:uid="{00000000-0004-0000-0500-000011000000}"/>
    <hyperlink ref="X16" r:id="rId19" xr:uid="{00000000-0004-0000-0500-000012000000}"/>
    <hyperlink ref="Z16" r:id="rId20" xr:uid="{00000000-0004-0000-0500-000013000000}"/>
    <hyperlink ref="X17" r:id="rId21" xr:uid="{00000000-0004-0000-0500-000014000000}"/>
    <hyperlink ref="Z17" r:id="rId22" xr:uid="{00000000-0004-0000-0500-000015000000}"/>
    <hyperlink ref="X18" r:id="rId23" xr:uid="{00000000-0004-0000-0500-000016000000}"/>
    <hyperlink ref="Z18" r:id="rId24" xr:uid="{00000000-0004-0000-0500-000017000000}"/>
    <hyperlink ref="X19" r:id="rId25" xr:uid="{00000000-0004-0000-0500-000018000000}"/>
    <hyperlink ref="Z19" r:id="rId26" xr:uid="{00000000-0004-0000-0500-000019000000}"/>
    <hyperlink ref="X20" r:id="rId27" xr:uid="{00000000-0004-0000-0500-00001A000000}"/>
    <hyperlink ref="X21" r:id="rId28" xr:uid="{00000000-0004-0000-0500-00001B000000}"/>
    <hyperlink ref="Z21" r:id="rId29" xr:uid="{00000000-0004-0000-0500-00001C000000}"/>
    <hyperlink ref="G22" r:id="rId30" xr:uid="{00000000-0004-0000-0500-00001D000000}"/>
    <hyperlink ref="X22" r:id="rId31" xr:uid="{00000000-0004-0000-0500-00001E000000}"/>
    <hyperlink ref="Z22" r:id="rId32" xr:uid="{00000000-0004-0000-0500-00001F000000}"/>
    <hyperlink ref="X23" r:id="rId33" xr:uid="{00000000-0004-0000-0500-000020000000}"/>
    <hyperlink ref="G24" r:id="rId34" xr:uid="{00000000-0004-0000-0500-000021000000}"/>
    <hyperlink ref="X24" r:id="rId35" xr:uid="{00000000-0004-0000-0500-000022000000}"/>
    <hyperlink ref="Z24" r:id="rId36" xr:uid="{00000000-0004-0000-0500-000023000000}"/>
    <hyperlink ref="X25" r:id="rId37" xr:uid="{00000000-0004-0000-0500-000024000000}"/>
    <hyperlink ref="Z25" r:id="rId38" xr:uid="{00000000-0004-0000-0500-000025000000}"/>
    <hyperlink ref="X26" r:id="rId39" xr:uid="{00000000-0004-0000-0500-000026000000}"/>
    <hyperlink ref="Z26" r:id="rId40" xr:uid="{00000000-0004-0000-0500-000027000000}"/>
    <hyperlink ref="X27" r:id="rId41" xr:uid="{00000000-0004-0000-0500-000028000000}"/>
    <hyperlink ref="X28" r:id="rId42" xr:uid="{00000000-0004-0000-0500-000029000000}"/>
    <hyperlink ref="J29" r:id="rId43" xr:uid="{00000000-0004-0000-0500-00002A000000}"/>
    <hyperlink ref="X29" r:id="rId44" xr:uid="{00000000-0004-0000-0500-00002B000000}"/>
    <hyperlink ref="X30" r:id="rId45" xr:uid="{00000000-0004-0000-0500-00002C000000}"/>
    <hyperlink ref="Z30" r:id="rId46" xr:uid="{00000000-0004-0000-0500-00002D000000}"/>
    <hyperlink ref="X31" r:id="rId47" xr:uid="{00000000-0004-0000-0500-00002E000000}"/>
    <hyperlink ref="X32" r:id="rId48" xr:uid="{00000000-0004-0000-0500-00002F000000}"/>
    <hyperlink ref="X33" r:id="rId49" xr:uid="{00000000-0004-0000-0500-000030000000}"/>
    <hyperlink ref="X34" r:id="rId50" xr:uid="{00000000-0004-0000-0500-000031000000}"/>
    <hyperlink ref="X35" r:id="rId51" xr:uid="{00000000-0004-0000-0500-000032000000}"/>
    <hyperlink ref="X36" r:id="rId52" xr:uid="{00000000-0004-0000-0500-000033000000}"/>
    <hyperlink ref="Z36" r:id="rId53" xr:uid="{00000000-0004-0000-0500-000034000000}"/>
    <hyperlink ref="X37" r:id="rId54" xr:uid="{00000000-0004-0000-0500-000035000000}"/>
    <hyperlink ref="Z37" r:id="rId55" xr:uid="{00000000-0004-0000-0500-000036000000}"/>
    <hyperlink ref="X38" r:id="rId56" xr:uid="{00000000-0004-0000-0500-000037000000}"/>
    <hyperlink ref="X39" r:id="rId57" xr:uid="{00000000-0004-0000-0500-000038000000}"/>
    <hyperlink ref="Z39" r:id="rId58" xr:uid="{00000000-0004-0000-0500-000039000000}"/>
    <hyperlink ref="X40" r:id="rId59" xr:uid="{00000000-0004-0000-0500-00003A000000}"/>
    <hyperlink ref="H41" r:id="rId60" xr:uid="{00000000-0004-0000-0500-00003B000000}"/>
    <hyperlink ref="X41" r:id="rId61" xr:uid="{00000000-0004-0000-0500-00003C000000}"/>
    <hyperlink ref="H42" r:id="rId62" xr:uid="{00000000-0004-0000-0500-00003D000000}"/>
    <hyperlink ref="X42" r:id="rId63" xr:uid="{00000000-0004-0000-0500-00003E000000}"/>
    <hyperlink ref="Z42" r:id="rId64" xr:uid="{00000000-0004-0000-0500-00003F000000}"/>
    <hyperlink ref="X43" r:id="rId65" xr:uid="{00000000-0004-0000-0500-000040000000}"/>
    <hyperlink ref="X44" r:id="rId66" xr:uid="{00000000-0004-0000-0500-000041000000}"/>
    <hyperlink ref="Z44" r:id="rId67" xr:uid="{00000000-0004-0000-0500-000042000000}"/>
    <hyperlink ref="X45" r:id="rId68" xr:uid="{00000000-0004-0000-0500-000043000000}"/>
    <hyperlink ref="Z45" r:id="rId69" xr:uid="{00000000-0004-0000-0500-000044000000}"/>
    <hyperlink ref="X46" r:id="rId70" xr:uid="{00000000-0004-0000-0500-000045000000}"/>
    <hyperlink ref="Z46" r:id="rId71" xr:uid="{00000000-0004-0000-0500-000046000000}"/>
    <hyperlink ref="X47" r:id="rId72" xr:uid="{00000000-0004-0000-0500-000047000000}"/>
    <hyperlink ref="Z47" r:id="rId73" xr:uid="{00000000-0004-0000-0500-000048000000}"/>
    <hyperlink ref="X48" r:id="rId74" xr:uid="{00000000-0004-0000-0500-000049000000}"/>
    <hyperlink ref="Z48" r:id="rId75" xr:uid="{00000000-0004-0000-0500-00004A000000}"/>
    <hyperlink ref="X49" r:id="rId76" xr:uid="{00000000-0004-0000-0500-00004B000000}"/>
    <hyperlink ref="X50" r:id="rId77" xr:uid="{00000000-0004-0000-0500-00004C000000}"/>
    <hyperlink ref="Q51" r:id="rId78" xr:uid="{00000000-0004-0000-0500-00004D000000}"/>
    <hyperlink ref="X51" r:id="rId79" xr:uid="{00000000-0004-0000-0500-00004E000000}"/>
    <hyperlink ref="Z51" r:id="rId80" xr:uid="{00000000-0004-0000-0500-00004F000000}"/>
    <hyperlink ref="X52" r:id="rId81" xr:uid="{00000000-0004-0000-0500-000050000000}"/>
    <hyperlink ref="X53" r:id="rId82" xr:uid="{00000000-0004-0000-0500-000051000000}"/>
    <hyperlink ref="X54" r:id="rId83" xr:uid="{00000000-0004-0000-0500-000052000000}"/>
    <hyperlink ref="X55" r:id="rId84" xr:uid="{00000000-0004-0000-0500-000053000000}"/>
    <hyperlink ref="X56" r:id="rId85" xr:uid="{00000000-0004-0000-0500-000054000000}"/>
    <hyperlink ref="X57" r:id="rId86" xr:uid="{00000000-0004-0000-0500-000055000000}"/>
    <hyperlink ref="X58" r:id="rId87" xr:uid="{00000000-0004-0000-0500-000056000000}"/>
    <hyperlink ref="X59" r:id="rId88" xr:uid="{00000000-0004-0000-0500-000057000000}"/>
    <hyperlink ref="X60" r:id="rId89" xr:uid="{00000000-0004-0000-0500-000058000000}"/>
    <hyperlink ref="X61" r:id="rId90" xr:uid="{00000000-0004-0000-0500-000059000000}"/>
    <hyperlink ref="X62" r:id="rId91" xr:uid="{00000000-0004-0000-0500-00005A000000}"/>
    <hyperlink ref="X63" r:id="rId92" xr:uid="{00000000-0004-0000-0500-00005B000000}"/>
    <hyperlink ref="X64" r:id="rId93" xr:uid="{00000000-0004-0000-0500-00005C000000}"/>
    <hyperlink ref="X65" r:id="rId94" xr:uid="{00000000-0004-0000-0500-00005D000000}"/>
    <hyperlink ref="X66" r:id="rId95" xr:uid="{00000000-0004-0000-0500-00005E000000}"/>
    <hyperlink ref="X67" r:id="rId96" xr:uid="{00000000-0004-0000-0500-00005F000000}"/>
    <hyperlink ref="X68" r:id="rId97" xr:uid="{00000000-0004-0000-0500-000060000000}"/>
    <hyperlink ref="X69" r:id="rId98" xr:uid="{00000000-0004-0000-0500-000061000000}"/>
    <hyperlink ref="X70" r:id="rId99" xr:uid="{00000000-0004-0000-0500-000062000000}"/>
    <hyperlink ref="X71" r:id="rId100" xr:uid="{00000000-0004-0000-0500-000063000000}"/>
    <hyperlink ref="X72" r:id="rId101" xr:uid="{00000000-0004-0000-0500-000064000000}"/>
    <hyperlink ref="X73" r:id="rId102" xr:uid="{00000000-0004-0000-0500-000065000000}"/>
    <hyperlink ref="X74" r:id="rId103" xr:uid="{00000000-0004-0000-0500-000066000000}"/>
    <hyperlink ref="X75" r:id="rId104" xr:uid="{00000000-0004-0000-0500-000067000000}"/>
    <hyperlink ref="X76" r:id="rId105" xr:uid="{00000000-0004-0000-0500-000068000000}"/>
    <hyperlink ref="X77" r:id="rId106" xr:uid="{00000000-0004-0000-0500-000069000000}"/>
    <hyperlink ref="X78" r:id="rId107" xr:uid="{00000000-0004-0000-0500-00006A000000}"/>
    <hyperlink ref="X79" r:id="rId108" xr:uid="{00000000-0004-0000-0500-00006B000000}"/>
    <hyperlink ref="X80" r:id="rId109" xr:uid="{00000000-0004-0000-0500-00006C000000}"/>
    <hyperlink ref="X81" r:id="rId110" xr:uid="{00000000-0004-0000-0500-00006D000000}"/>
    <hyperlink ref="X82" r:id="rId111" xr:uid="{00000000-0004-0000-0500-00006E000000}"/>
    <hyperlink ref="X83" r:id="rId112" xr:uid="{00000000-0004-0000-0500-00006F000000}"/>
    <hyperlink ref="X84" r:id="rId113" xr:uid="{00000000-0004-0000-0500-000070000000}"/>
    <hyperlink ref="X85" r:id="rId114" xr:uid="{00000000-0004-0000-0500-000071000000}"/>
    <hyperlink ref="X86" r:id="rId115" xr:uid="{00000000-0004-0000-0500-000072000000}"/>
    <hyperlink ref="X87" r:id="rId116" xr:uid="{00000000-0004-0000-0500-000073000000}"/>
    <hyperlink ref="X88" r:id="rId117" xr:uid="{00000000-0004-0000-0500-000074000000}"/>
    <hyperlink ref="X89" r:id="rId118" xr:uid="{00000000-0004-0000-0500-000075000000}"/>
    <hyperlink ref="X90" r:id="rId119" xr:uid="{00000000-0004-0000-0500-000076000000}"/>
    <hyperlink ref="X91" r:id="rId120" xr:uid="{00000000-0004-0000-0500-000077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99"/>
  <sheetViews>
    <sheetView workbookViewId="0">
      <pane xSplit="6" ySplit="5" topLeftCell="G13" activePane="bottomRight" state="frozen"/>
      <selection pane="topRight" activeCell="G1" sqref="G1"/>
      <selection pane="bottomLeft" activeCell="A6" sqref="A6"/>
      <selection pane="bottomRight" activeCell="A17" sqref="A17:G17"/>
    </sheetView>
  </sheetViews>
  <sheetFormatPr defaultColWidth="11.23046875" defaultRowHeight="15" customHeight="1"/>
  <cols>
    <col min="1" max="1" width="3" customWidth="1"/>
    <col min="2" max="2" width="11.4609375" customWidth="1"/>
    <col min="3" max="3" width="12.07421875" customWidth="1"/>
    <col min="4" max="4" width="2.765625" customWidth="1"/>
    <col min="5" max="5" width="24.53515625" customWidth="1"/>
    <col min="6" max="6" width="23.23046875" customWidth="1"/>
    <col min="7" max="7" width="24.3046875" customWidth="1"/>
    <col min="8" max="8" width="21.765625" customWidth="1"/>
    <col min="9" max="16" width="19.53515625" customWidth="1"/>
    <col min="17" max="17" width="15" customWidth="1"/>
    <col min="18" max="18" width="8.69140625" customWidth="1"/>
    <col min="19" max="19" width="8.23046875" customWidth="1"/>
    <col min="20" max="20" width="13.765625" customWidth="1"/>
    <col min="21" max="21" width="10.07421875" customWidth="1"/>
    <col min="22" max="22" width="7.53515625" customWidth="1"/>
    <col min="23" max="23" width="15.765625" customWidth="1"/>
    <col min="24" max="24" width="27.765625" customWidth="1"/>
    <col min="25" max="25" width="50.765625" customWidth="1"/>
  </cols>
  <sheetData>
    <row r="1" spans="1:25" ht="18.5">
      <c r="A1" s="1188" t="s">
        <v>2843</v>
      </c>
      <c r="B1" s="1176"/>
      <c r="C1" s="1176"/>
      <c r="D1" s="1176"/>
      <c r="E1" s="1176"/>
      <c r="F1" s="1176"/>
      <c r="G1" s="230"/>
      <c r="H1" s="230"/>
      <c r="I1" s="230"/>
      <c r="J1" s="230"/>
      <c r="K1" s="230"/>
      <c r="L1" s="230"/>
      <c r="M1" s="230"/>
      <c r="N1" s="230"/>
      <c r="O1" s="230"/>
      <c r="P1" s="230"/>
      <c r="Q1" s="230"/>
      <c r="R1" s="230"/>
      <c r="S1" s="230"/>
      <c r="T1" s="230"/>
      <c r="U1" s="230"/>
      <c r="V1" s="230"/>
      <c r="W1" s="230"/>
      <c r="X1" s="230"/>
      <c r="Y1" s="230"/>
    </row>
    <row r="2" spans="1:25" ht="18.5">
      <c r="A2" s="1176"/>
      <c r="B2" s="1176"/>
      <c r="C2" s="1176"/>
      <c r="D2" s="1176"/>
      <c r="E2" s="1176"/>
      <c r="F2" s="1176"/>
      <c r="G2" s="230"/>
      <c r="H2" s="230"/>
      <c r="I2" s="230"/>
      <c r="J2" s="230"/>
      <c r="K2" s="230"/>
      <c r="L2" s="230"/>
      <c r="M2" s="230"/>
      <c r="N2" s="230"/>
      <c r="O2" s="230"/>
      <c r="P2" s="230"/>
      <c r="Q2" s="230"/>
      <c r="R2" s="230"/>
      <c r="S2" s="230"/>
      <c r="T2" s="230"/>
      <c r="U2" s="230"/>
      <c r="V2" s="230"/>
      <c r="W2" s="230"/>
      <c r="X2" s="230"/>
      <c r="Y2" s="230"/>
    </row>
    <row r="3" spans="1:25" ht="18.5">
      <c r="A3" s="230"/>
      <c r="B3" s="230"/>
      <c r="C3" s="230"/>
      <c r="D3" s="230"/>
      <c r="E3" s="230"/>
      <c r="F3" s="230"/>
      <c r="G3" s="230"/>
      <c r="H3" s="230"/>
      <c r="I3" s="230"/>
      <c r="J3" s="230"/>
      <c r="K3" s="230"/>
      <c r="L3" s="230"/>
      <c r="M3" s="230"/>
      <c r="N3" s="230"/>
      <c r="O3" s="230"/>
      <c r="P3" s="230"/>
      <c r="Q3" s="230"/>
      <c r="R3" s="230"/>
      <c r="S3" s="230"/>
      <c r="T3" s="230"/>
      <c r="U3" s="230"/>
      <c r="V3" s="230"/>
      <c r="W3" s="230"/>
      <c r="X3" s="230"/>
      <c r="Y3" s="230"/>
    </row>
    <row r="4" spans="1:25" ht="15.75" customHeight="1">
      <c r="A4" s="1196" t="s">
        <v>1</v>
      </c>
      <c r="B4" s="1179"/>
      <c r="C4" s="1180"/>
      <c r="D4" s="517"/>
      <c r="E4" s="1201" t="s">
        <v>2</v>
      </c>
      <c r="F4" s="1202"/>
      <c r="G4" s="1199" t="s">
        <v>3</v>
      </c>
      <c r="H4" s="1184"/>
      <c r="I4" s="1184"/>
      <c r="J4" s="1184"/>
      <c r="K4" s="1205"/>
      <c r="L4" s="790"/>
      <c r="M4" s="790"/>
      <c r="N4" s="790"/>
      <c r="O4" s="790"/>
      <c r="P4" s="790"/>
      <c r="V4" s="1193" t="s">
        <v>4</v>
      </c>
      <c r="W4" s="1186"/>
      <c r="X4" s="1187"/>
      <c r="Y4" s="272"/>
    </row>
    <row r="5" spans="1:25" ht="26">
      <c r="A5" s="791" t="s">
        <v>5</v>
      </c>
      <c r="B5" s="606" t="s">
        <v>6</v>
      </c>
      <c r="C5" s="606" t="s">
        <v>7</v>
      </c>
      <c r="D5" s="792"/>
      <c r="E5" s="286" t="s">
        <v>9</v>
      </c>
      <c r="F5" s="286" t="s">
        <v>10</v>
      </c>
      <c r="G5" s="793">
        <v>1</v>
      </c>
      <c r="H5" s="794">
        <v>2</v>
      </c>
      <c r="I5" s="794">
        <v>3</v>
      </c>
      <c r="J5" s="794">
        <v>4</v>
      </c>
      <c r="K5" s="795">
        <v>5</v>
      </c>
      <c r="L5" s="795">
        <v>6</v>
      </c>
      <c r="M5" s="795">
        <v>7</v>
      </c>
      <c r="N5" s="795">
        <v>8</v>
      </c>
      <c r="O5" s="795">
        <v>9</v>
      </c>
      <c r="P5" s="795">
        <v>10</v>
      </c>
      <c r="Q5" s="795" t="s">
        <v>21</v>
      </c>
      <c r="R5" s="796" t="s">
        <v>22</v>
      </c>
      <c r="S5" s="796" t="s">
        <v>23</v>
      </c>
      <c r="T5" s="526" t="s">
        <v>24</v>
      </c>
      <c r="U5" s="526" t="s">
        <v>26</v>
      </c>
      <c r="V5" s="797" t="s">
        <v>27</v>
      </c>
      <c r="W5" s="798" t="s">
        <v>28</v>
      </c>
      <c r="X5" s="798" t="s">
        <v>2844</v>
      </c>
      <c r="Y5" s="799" t="s">
        <v>30</v>
      </c>
    </row>
    <row r="6" spans="1:25" ht="23.25" customHeight="1">
      <c r="A6" s="800">
        <v>1</v>
      </c>
      <c r="B6" s="241">
        <f t="shared" ref="B6:B199" ca="1" si="0">IF(OR(E6&lt;&gt;"",F6&lt;&gt;""),IF(B6="",NOW(),B6),"")</f>
        <v>45729.463689999997</v>
      </c>
      <c r="C6" s="801"/>
      <c r="D6" s="63"/>
      <c r="E6" s="802" t="s">
        <v>2845</v>
      </c>
      <c r="F6" s="253" t="s">
        <v>32</v>
      </c>
      <c r="G6" s="803" t="s">
        <v>261</v>
      </c>
      <c r="H6" s="803" t="s">
        <v>439</v>
      </c>
      <c r="I6" s="803" t="s">
        <v>531</v>
      </c>
      <c r="J6" s="803"/>
      <c r="K6" s="803"/>
      <c r="L6" s="803"/>
      <c r="M6" s="803"/>
      <c r="N6" s="803"/>
      <c r="O6" s="803"/>
      <c r="P6" s="803"/>
      <c r="Q6" s="804" t="s">
        <v>2846</v>
      </c>
      <c r="R6" s="803" t="s">
        <v>35</v>
      </c>
      <c r="S6" s="803" t="s">
        <v>36</v>
      </c>
      <c r="T6" s="804" t="s">
        <v>2847</v>
      </c>
      <c r="U6" s="803" t="s">
        <v>2848</v>
      </c>
      <c r="V6" s="24" t="s">
        <v>2849</v>
      </c>
      <c r="W6" s="805"/>
      <c r="X6" s="806"/>
      <c r="Y6" s="807"/>
    </row>
    <row r="7" spans="1:25" ht="108">
      <c r="A7" s="808">
        <v>2</v>
      </c>
      <c r="B7" s="241">
        <f t="shared" ca="1" si="0"/>
        <v>45800.192580000003</v>
      </c>
      <c r="C7" s="801" t="s">
        <v>251</v>
      </c>
      <c r="D7" s="63"/>
      <c r="E7" s="100" t="s">
        <v>2850</v>
      </c>
      <c r="F7" s="809" t="s">
        <v>32</v>
      </c>
      <c r="G7" s="803" t="s">
        <v>439</v>
      </c>
      <c r="H7" s="803"/>
      <c r="I7" s="803"/>
      <c r="J7" s="803"/>
      <c r="K7" s="803"/>
      <c r="L7" s="803"/>
      <c r="M7" s="803"/>
      <c r="N7" s="803"/>
      <c r="O7" s="803"/>
      <c r="P7" s="803"/>
      <c r="Q7" s="804" t="s">
        <v>2851</v>
      </c>
      <c r="R7" s="803" t="s">
        <v>35</v>
      </c>
      <c r="S7" s="803" t="s">
        <v>36</v>
      </c>
      <c r="T7" s="804" t="s">
        <v>2852</v>
      </c>
      <c r="U7" s="803" t="s">
        <v>2848</v>
      </c>
      <c r="V7" s="24" t="s">
        <v>2849</v>
      </c>
      <c r="W7" s="810" t="s">
        <v>2853</v>
      </c>
      <c r="X7" s="811" t="s">
        <v>2854</v>
      </c>
      <c r="Y7" s="807"/>
    </row>
    <row r="8" spans="1:25" ht="36">
      <c r="A8" s="808">
        <v>3</v>
      </c>
      <c r="B8" s="241">
        <f t="shared" ca="1" si="0"/>
        <v>45832.467629999999</v>
      </c>
      <c r="C8" s="801" t="s">
        <v>326</v>
      </c>
      <c r="D8" s="63"/>
      <c r="E8" s="22" t="s">
        <v>2855</v>
      </c>
      <c r="F8" s="697" t="s">
        <v>58</v>
      </c>
      <c r="G8" s="253" t="s">
        <v>59</v>
      </c>
      <c r="H8" s="253"/>
      <c r="I8" s="253"/>
      <c r="J8" s="253"/>
      <c r="K8" s="253"/>
      <c r="L8" s="253"/>
      <c r="M8" s="253"/>
      <c r="N8" s="253"/>
      <c r="O8" s="253"/>
      <c r="P8" s="253"/>
      <c r="Q8" s="253" t="s">
        <v>2856</v>
      </c>
      <c r="R8" s="253" t="s">
        <v>35</v>
      </c>
      <c r="S8" s="253" t="s">
        <v>36</v>
      </c>
      <c r="T8" s="806" t="s">
        <v>2857</v>
      </c>
      <c r="U8" s="253"/>
      <c r="V8" s="24" t="s">
        <v>2849</v>
      </c>
      <c r="W8" s="54" t="s">
        <v>2858</v>
      </c>
      <c r="X8" s="54" t="s">
        <v>2859</v>
      </c>
      <c r="Y8" s="812"/>
    </row>
    <row r="9" spans="1:25" ht="48">
      <c r="A9" s="808">
        <v>4</v>
      </c>
      <c r="B9" s="241">
        <f t="shared" ca="1" si="0"/>
        <v>45840.606169999999</v>
      </c>
      <c r="C9" s="801"/>
      <c r="D9" s="63"/>
      <c r="E9" s="44" t="s">
        <v>2860</v>
      </c>
      <c r="F9" s="813" t="s">
        <v>201</v>
      </c>
      <c r="G9" s="253" t="s">
        <v>237</v>
      </c>
      <c r="H9" s="253"/>
      <c r="I9" s="253"/>
      <c r="J9" s="253"/>
      <c r="K9" s="253"/>
      <c r="L9" s="253"/>
      <c r="M9" s="253"/>
      <c r="N9" s="253"/>
      <c r="O9" s="253"/>
      <c r="P9" s="253"/>
      <c r="Q9" s="253" t="s">
        <v>2861</v>
      </c>
      <c r="R9" s="253" t="s">
        <v>35</v>
      </c>
      <c r="S9" s="253" t="s">
        <v>36</v>
      </c>
      <c r="T9" s="21" t="s">
        <v>2862</v>
      </c>
      <c r="U9" s="253"/>
      <c r="V9" s="24" t="s">
        <v>2849</v>
      </c>
      <c r="W9" s="76" t="s">
        <v>2863</v>
      </c>
      <c r="X9" s="65" t="s">
        <v>2864</v>
      </c>
      <c r="Y9" s="812" t="s">
        <v>2865</v>
      </c>
    </row>
    <row r="10" spans="1:25" ht="36">
      <c r="A10" s="808">
        <v>5</v>
      </c>
      <c r="B10" s="241">
        <f t="shared" ca="1" si="0"/>
        <v>45875.625399999997</v>
      </c>
      <c r="C10" s="801"/>
      <c r="D10" s="63"/>
      <c r="E10" s="21" t="s">
        <v>2866</v>
      </c>
      <c r="F10" s="253" t="s">
        <v>67</v>
      </c>
      <c r="G10" s="814" t="s">
        <v>588</v>
      </c>
      <c r="H10" s="253"/>
      <c r="I10" s="253"/>
      <c r="J10" s="253"/>
      <c r="K10" s="253"/>
      <c r="L10" s="253"/>
      <c r="M10" s="253"/>
      <c r="N10" s="253"/>
      <c r="O10" s="253"/>
      <c r="P10" s="253"/>
      <c r="Q10" s="253" t="s">
        <v>2867</v>
      </c>
      <c r="R10" s="253" t="s">
        <v>35</v>
      </c>
      <c r="S10" s="253" t="s">
        <v>36</v>
      </c>
      <c r="T10" s="21" t="s">
        <v>2868</v>
      </c>
      <c r="U10" s="253" t="s">
        <v>2848</v>
      </c>
      <c r="V10" s="24" t="s">
        <v>2849</v>
      </c>
      <c r="W10" s="55" t="s">
        <v>2869</v>
      </c>
      <c r="X10" s="29"/>
      <c r="Y10" s="812"/>
    </row>
    <row r="11" spans="1:25" ht="48">
      <c r="A11" s="808">
        <v>6</v>
      </c>
      <c r="B11" s="241">
        <f t="shared" ca="1" si="0"/>
        <v>45875.627690000001</v>
      </c>
      <c r="C11" s="801" t="s">
        <v>480</v>
      </c>
      <c r="D11" s="63"/>
      <c r="E11" s="21" t="s">
        <v>2870</v>
      </c>
      <c r="F11" s="809" t="s">
        <v>32</v>
      </c>
      <c r="G11" s="253" t="s">
        <v>261</v>
      </c>
      <c r="H11" s="253" t="s">
        <v>439</v>
      </c>
      <c r="I11" s="253" t="s">
        <v>531</v>
      </c>
      <c r="J11" s="253"/>
      <c r="K11" s="253"/>
      <c r="L11" s="253"/>
      <c r="M11" s="253"/>
      <c r="N11" s="253"/>
      <c r="O11" s="253"/>
      <c r="P11" s="253"/>
      <c r="Q11" s="21" t="s">
        <v>2871</v>
      </c>
      <c r="R11" s="253" t="s">
        <v>35</v>
      </c>
      <c r="S11" s="253" t="s">
        <v>36</v>
      </c>
      <c r="T11" s="21" t="s">
        <v>2868</v>
      </c>
      <c r="U11" s="253" t="s">
        <v>2848</v>
      </c>
      <c r="V11" s="24" t="s">
        <v>2849</v>
      </c>
      <c r="W11" s="54" t="s">
        <v>2872</v>
      </c>
      <c r="X11" s="21"/>
      <c r="Y11" s="812"/>
    </row>
    <row r="12" spans="1:25" ht="36">
      <c r="A12" s="808">
        <v>7</v>
      </c>
      <c r="B12" s="241">
        <f t="shared" ca="1" si="0"/>
        <v>45918.481740000003</v>
      </c>
      <c r="C12" s="801" t="s">
        <v>334</v>
      </c>
      <c r="D12" s="63"/>
      <c r="E12" s="21" t="s">
        <v>2873</v>
      </c>
      <c r="F12" s="809" t="s">
        <v>58</v>
      </c>
      <c r="G12" s="253" t="s">
        <v>273</v>
      </c>
      <c r="H12" s="253"/>
      <c r="I12" s="253"/>
      <c r="J12" s="253"/>
      <c r="K12" s="253"/>
      <c r="L12" s="253"/>
      <c r="M12" s="253"/>
      <c r="N12" s="253"/>
      <c r="O12" s="253"/>
      <c r="P12" s="253"/>
      <c r="Q12" s="253" t="s">
        <v>2874</v>
      </c>
      <c r="R12" s="253" t="s">
        <v>35</v>
      </c>
      <c r="S12" s="253" t="s">
        <v>36</v>
      </c>
      <c r="T12" s="21" t="s">
        <v>2875</v>
      </c>
      <c r="U12" s="253" t="s">
        <v>2848</v>
      </c>
      <c r="V12" s="24" t="s">
        <v>2849</v>
      </c>
      <c r="W12" s="65" t="s">
        <v>2876</v>
      </c>
      <c r="X12" s="65" t="s">
        <v>2877</v>
      </c>
      <c r="Y12" s="812"/>
    </row>
    <row r="13" spans="1:25" ht="48">
      <c r="A13" s="808">
        <v>8</v>
      </c>
      <c r="B13" s="241">
        <f t="shared" ca="1" si="0"/>
        <v>45952.249329999999</v>
      </c>
      <c r="C13" s="801" t="s">
        <v>326</v>
      </c>
      <c r="D13" s="63"/>
      <c r="E13" s="21" t="s">
        <v>2878</v>
      </c>
      <c r="F13" s="809" t="s">
        <v>58</v>
      </c>
      <c r="G13" s="253" t="s">
        <v>159</v>
      </c>
      <c r="H13" s="253"/>
      <c r="I13" s="253"/>
      <c r="J13" s="253"/>
      <c r="K13" s="253"/>
      <c r="L13" s="253"/>
      <c r="M13" s="253"/>
      <c r="N13" s="253"/>
      <c r="O13" s="253"/>
      <c r="P13" s="253"/>
      <c r="Q13" s="253" t="s">
        <v>2879</v>
      </c>
      <c r="R13" s="253" t="s">
        <v>35</v>
      </c>
      <c r="S13" s="253" t="s">
        <v>36</v>
      </c>
      <c r="T13" s="21" t="s">
        <v>2880</v>
      </c>
      <c r="U13" s="253"/>
      <c r="V13" s="24" t="s">
        <v>2849</v>
      </c>
      <c r="W13" s="54" t="s">
        <v>2881</v>
      </c>
      <c r="X13" s="76" t="s">
        <v>2882</v>
      </c>
      <c r="Y13" s="812"/>
    </row>
    <row r="14" spans="1:25" ht="48">
      <c r="A14" s="800">
        <v>9</v>
      </c>
      <c r="B14" s="241">
        <f t="shared" ca="1" si="0"/>
        <v>45952.253400000001</v>
      </c>
      <c r="C14" s="801" t="s">
        <v>326</v>
      </c>
      <c r="D14" s="63"/>
      <c r="E14" s="21" t="s">
        <v>2883</v>
      </c>
      <c r="F14" s="809" t="s">
        <v>58</v>
      </c>
      <c r="G14" s="253" t="s">
        <v>159</v>
      </c>
      <c r="H14" s="253"/>
      <c r="I14" s="253"/>
      <c r="J14" s="253"/>
      <c r="K14" s="253"/>
      <c r="L14" s="253"/>
      <c r="M14" s="253"/>
      <c r="N14" s="253"/>
      <c r="O14" s="253"/>
      <c r="P14" s="253"/>
      <c r="Q14" s="253"/>
      <c r="R14" s="253" t="s">
        <v>139</v>
      </c>
      <c r="S14" s="253" t="s">
        <v>36</v>
      </c>
      <c r="T14" s="21" t="s">
        <v>2884</v>
      </c>
      <c r="U14" s="253" t="s">
        <v>2848</v>
      </c>
      <c r="V14" s="24" t="s">
        <v>2849</v>
      </c>
      <c r="W14" s="54" t="s">
        <v>2885</v>
      </c>
      <c r="X14" s="21"/>
      <c r="Y14" s="812"/>
    </row>
    <row r="15" spans="1:25" ht="36">
      <c r="A15" s="808">
        <v>10</v>
      </c>
      <c r="B15" s="241">
        <f t="shared" ca="1" si="0"/>
        <v>45953.543290000001</v>
      </c>
      <c r="C15" s="801" t="s">
        <v>326</v>
      </c>
      <c r="D15" s="63"/>
      <c r="E15" s="21" t="s">
        <v>2886</v>
      </c>
      <c r="F15" s="809" t="s">
        <v>32</v>
      </c>
      <c r="G15" s="253" t="s">
        <v>33</v>
      </c>
      <c r="H15" s="253"/>
      <c r="I15" s="253"/>
      <c r="J15" s="253"/>
      <c r="K15" s="253"/>
      <c r="L15" s="253"/>
      <c r="M15" s="253"/>
      <c r="N15" s="253"/>
      <c r="O15" s="253"/>
      <c r="P15" s="253"/>
      <c r="Q15" s="253" t="s">
        <v>2887</v>
      </c>
      <c r="R15" s="253" t="s">
        <v>35</v>
      </c>
      <c r="S15" s="253" t="s">
        <v>36</v>
      </c>
      <c r="T15" s="21" t="s">
        <v>2888</v>
      </c>
      <c r="U15" s="253" t="s">
        <v>2848</v>
      </c>
      <c r="V15" s="24" t="s">
        <v>2849</v>
      </c>
      <c r="W15" s="21"/>
      <c r="X15" s="54" t="s">
        <v>2889</v>
      </c>
      <c r="Y15" s="815"/>
    </row>
    <row r="16" spans="1:25" ht="48">
      <c r="A16" s="808">
        <v>11</v>
      </c>
      <c r="B16" s="241">
        <f t="shared" ca="1" si="0"/>
        <v>45994.43864</v>
      </c>
      <c r="C16" s="801" t="s">
        <v>182</v>
      </c>
      <c r="D16" s="63"/>
      <c r="E16" s="21" t="s">
        <v>2890</v>
      </c>
      <c r="F16" s="253" t="s">
        <v>201</v>
      </c>
      <c r="G16" s="253" t="s">
        <v>94</v>
      </c>
      <c r="H16" s="253"/>
      <c r="I16" s="253"/>
      <c r="J16" s="253"/>
      <c r="K16" s="253"/>
      <c r="L16" s="253"/>
      <c r="M16" s="253"/>
      <c r="N16" s="253"/>
      <c r="O16" s="253"/>
      <c r="P16" s="253"/>
      <c r="Q16" s="253" t="s">
        <v>425</v>
      </c>
      <c r="R16" s="253" t="s">
        <v>2891</v>
      </c>
      <c r="S16" s="253" t="s">
        <v>36</v>
      </c>
      <c r="T16" s="21" t="s">
        <v>2892</v>
      </c>
      <c r="U16" s="253"/>
      <c r="V16" s="24" t="s">
        <v>2849</v>
      </c>
      <c r="W16" s="21"/>
      <c r="X16" s="21" t="s">
        <v>2893</v>
      </c>
      <c r="Y16" s="812"/>
    </row>
    <row r="17" spans="1:25" ht="36">
      <c r="A17" s="808"/>
      <c r="B17" s="241"/>
      <c r="C17" s="801"/>
      <c r="D17" s="63"/>
      <c r="E17" s="21"/>
      <c r="F17" s="253"/>
      <c r="G17" s="253"/>
      <c r="H17" s="253"/>
      <c r="I17" s="253"/>
      <c r="J17" s="253"/>
      <c r="K17" s="253"/>
      <c r="L17" s="253"/>
      <c r="M17" s="253"/>
      <c r="N17" s="253"/>
      <c r="O17" s="253"/>
      <c r="P17" s="253"/>
      <c r="Q17" s="253" t="s">
        <v>2894</v>
      </c>
      <c r="R17" s="253" t="s">
        <v>35</v>
      </c>
      <c r="S17" s="253" t="s">
        <v>36</v>
      </c>
      <c r="T17" s="21" t="s">
        <v>2895</v>
      </c>
      <c r="U17" s="253" t="s">
        <v>2848</v>
      </c>
      <c r="V17" s="24" t="s">
        <v>2849</v>
      </c>
      <c r="W17" s="65" t="s">
        <v>2896</v>
      </c>
      <c r="X17" s="816" t="s">
        <v>647</v>
      </c>
      <c r="Y17" s="817"/>
    </row>
    <row r="18" spans="1:25" ht="14.5">
      <c r="A18" s="808">
        <v>13</v>
      </c>
      <c r="B18" s="241" t="str">
        <f t="shared" ca="1" si="0"/>
        <v/>
      </c>
      <c r="C18" s="818"/>
      <c r="D18" s="63"/>
      <c r="E18" s="780"/>
      <c r="F18" s="253"/>
      <c r="G18" s="253"/>
      <c r="H18" s="253"/>
      <c r="I18" s="253"/>
      <c r="J18" s="253"/>
      <c r="K18" s="253"/>
      <c r="L18" s="253"/>
      <c r="M18" s="253"/>
      <c r="N18" s="253"/>
      <c r="O18" s="253"/>
      <c r="P18" s="253"/>
      <c r="Q18" s="253"/>
      <c r="R18" s="253"/>
      <c r="S18" s="253"/>
      <c r="T18" s="21"/>
      <c r="U18" s="253"/>
      <c r="V18" s="24" t="s">
        <v>2849</v>
      </c>
      <c r="W18" s="21"/>
      <c r="X18" s="21"/>
      <c r="Y18" s="812"/>
    </row>
    <row r="19" spans="1:25" ht="14.5">
      <c r="A19" s="808">
        <v>14</v>
      </c>
      <c r="B19" s="241" t="str">
        <f t="shared" ca="1" si="0"/>
        <v/>
      </c>
      <c r="C19" s="818"/>
      <c r="D19" s="63"/>
      <c r="E19" s="780"/>
      <c r="F19" s="253"/>
      <c r="G19" s="253"/>
      <c r="H19" s="253"/>
      <c r="I19" s="253"/>
      <c r="J19" s="253"/>
      <c r="K19" s="253"/>
      <c r="L19" s="253"/>
      <c r="M19" s="253"/>
      <c r="N19" s="253"/>
      <c r="O19" s="253"/>
      <c r="P19" s="253"/>
      <c r="Q19" s="253"/>
      <c r="R19" s="253"/>
      <c r="S19" s="253"/>
      <c r="T19" s="21"/>
      <c r="U19" s="253"/>
      <c r="V19" s="24" t="s">
        <v>2849</v>
      </c>
      <c r="W19" s="21"/>
      <c r="X19" s="21"/>
      <c r="Y19" s="812"/>
    </row>
    <row r="20" spans="1:25" ht="15.75" customHeight="1">
      <c r="A20" s="808">
        <v>15</v>
      </c>
      <c r="B20" s="241" t="str">
        <f t="shared" ca="1" si="0"/>
        <v/>
      </c>
      <c r="C20" s="818"/>
      <c r="D20" s="63"/>
      <c r="E20" s="780"/>
      <c r="F20" s="253"/>
      <c r="G20" s="261"/>
      <c r="H20" s="253"/>
      <c r="I20" s="253"/>
      <c r="J20" s="253"/>
      <c r="K20" s="253"/>
      <c r="L20" s="253"/>
      <c r="M20" s="253"/>
      <c r="N20" s="253"/>
      <c r="O20" s="253"/>
      <c r="P20" s="253"/>
      <c r="Q20" s="253"/>
      <c r="R20" s="253"/>
      <c r="S20" s="253"/>
      <c r="T20" s="52"/>
      <c r="U20" s="253"/>
      <c r="V20" s="24" t="s">
        <v>2849</v>
      </c>
      <c r="W20" s="59"/>
      <c r="X20" s="21"/>
      <c r="Y20" s="812"/>
    </row>
    <row r="21" spans="1:25" ht="15.75" customHeight="1">
      <c r="A21" s="808">
        <v>16</v>
      </c>
      <c r="B21" s="241" t="str">
        <f t="shared" ca="1" si="0"/>
        <v/>
      </c>
      <c r="C21" s="818"/>
      <c r="D21" s="63"/>
      <c r="E21" s="780"/>
      <c r="F21" s="253"/>
      <c r="G21" s="261"/>
      <c r="H21" s="253"/>
      <c r="I21" s="253"/>
      <c r="J21" s="253"/>
      <c r="K21" s="253"/>
      <c r="L21" s="253"/>
      <c r="M21" s="253"/>
      <c r="N21" s="253"/>
      <c r="O21" s="253"/>
      <c r="P21" s="253"/>
      <c r="Q21" s="253"/>
      <c r="R21" s="253"/>
      <c r="S21" s="253"/>
      <c r="T21" s="21"/>
      <c r="U21" s="253"/>
      <c r="V21" s="24" t="s">
        <v>2849</v>
      </c>
      <c r="W21" s="21"/>
      <c r="X21" s="21"/>
      <c r="Y21" s="812"/>
    </row>
    <row r="22" spans="1:25" ht="15.75" customHeight="1">
      <c r="A22" s="800">
        <v>17</v>
      </c>
      <c r="B22" s="241" t="str">
        <f t="shared" ca="1" si="0"/>
        <v/>
      </c>
      <c r="C22" s="818"/>
      <c r="D22" s="63"/>
      <c r="E22" s="58"/>
      <c r="F22" s="253"/>
      <c r="G22" s="261"/>
      <c r="H22" s="253"/>
      <c r="I22" s="253"/>
      <c r="J22" s="253"/>
      <c r="K22" s="253"/>
      <c r="L22" s="253"/>
      <c r="M22" s="253"/>
      <c r="N22" s="253"/>
      <c r="O22" s="253"/>
      <c r="P22" s="253"/>
      <c r="Q22" s="253"/>
      <c r="R22" s="253"/>
      <c r="S22" s="253"/>
      <c r="T22" s="52"/>
      <c r="U22" s="253"/>
      <c r="V22" s="24" t="s">
        <v>2849</v>
      </c>
      <c r="W22" s="21"/>
      <c r="X22" s="21"/>
      <c r="Y22" s="817"/>
    </row>
    <row r="23" spans="1:25" ht="15.75" customHeight="1">
      <c r="A23" s="808">
        <v>18</v>
      </c>
      <c r="B23" s="241" t="str">
        <f t="shared" ca="1" si="0"/>
        <v/>
      </c>
      <c r="C23" s="818"/>
      <c r="D23" s="63"/>
      <c r="E23" s="58"/>
      <c r="F23" s="253"/>
      <c r="G23" s="261"/>
      <c r="H23" s="253"/>
      <c r="I23" s="253"/>
      <c r="J23" s="253"/>
      <c r="K23" s="253"/>
      <c r="L23" s="253"/>
      <c r="M23" s="253"/>
      <c r="N23" s="253"/>
      <c r="O23" s="253"/>
      <c r="P23" s="253"/>
      <c r="Q23" s="253"/>
      <c r="R23" s="253"/>
      <c r="S23" s="253"/>
      <c r="T23" s="58"/>
      <c r="U23" s="253"/>
      <c r="V23" s="24" t="s">
        <v>2849</v>
      </c>
      <c r="W23" s="21"/>
      <c r="X23" s="21"/>
      <c r="Y23" s="812"/>
    </row>
    <row r="24" spans="1:25" ht="15.75" customHeight="1">
      <c r="A24" s="800">
        <v>19</v>
      </c>
      <c r="B24" s="241" t="str">
        <f t="shared" ca="1" si="0"/>
        <v/>
      </c>
      <c r="C24" s="818"/>
      <c r="D24" s="63"/>
      <c r="E24" s="262"/>
      <c r="F24" s="253"/>
      <c r="G24" s="261"/>
      <c r="H24" s="253"/>
      <c r="I24" s="253"/>
      <c r="J24" s="253"/>
      <c r="K24" s="253"/>
      <c r="L24" s="253"/>
      <c r="M24" s="253"/>
      <c r="N24" s="253"/>
      <c r="O24" s="253"/>
      <c r="P24" s="253"/>
      <c r="Q24" s="253"/>
      <c r="R24" s="253"/>
      <c r="S24" s="253"/>
      <c r="T24" s="58"/>
      <c r="U24" s="253"/>
      <c r="V24" s="24" t="s">
        <v>2849</v>
      </c>
      <c r="W24" s="21"/>
      <c r="X24" s="21"/>
      <c r="Y24" s="812"/>
    </row>
    <row r="25" spans="1:25" ht="15.75" customHeight="1">
      <c r="A25" s="808">
        <v>20</v>
      </c>
      <c r="B25" s="241" t="str">
        <f t="shared" ca="1" si="0"/>
        <v/>
      </c>
      <c r="C25" s="819"/>
      <c r="D25" s="63"/>
      <c r="E25" s="58"/>
      <c r="F25" s="253"/>
      <c r="G25" s="261"/>
      <c r="H25" s="253"/>
      <c r="I25" s="253"/>
      <c r="J25" s="253"/>
      <c r="K25" s="253"/>
      <c r="L25" s="253"/>
      <c r="M25" s="253"/>
      <c r="N25" s="253"/>
      <c r="O25" s="253"/>
      <c r="P25" s="253"/>
      <c r="Q25" s="253"/>
      <c r="R25" s="253"/>
      <c r="S25" s="253"/>
      <c r="T25" s="58"/>
      <c r="U25" s="253"/>
      <c r="V25" s="24" t="s">
        <v>2849</v>
      </c>
      <c r="W25" s="21"/>
      <c r="X25" s="21"/>
      <c r="Y25" s="812"/>
    </row>
    <row r="26" spans="1:25" ht="15.75" customHeight="1">
      <c r="A26" s="808">
        <v>21</v>
      </c>
      <c r="B26" s="241" t="str">
        <f t="shared" ca="1" si="0"/>
        <v/>
      </c>
      <c r="C26" s="818"/>
      <c r="D26" s="63"/>
      <c r="E26" s="58"/>
      <c r="F26" s="253"/>
      <c r="G26" s="261"/>
      <c r="H26" s="253"/>
      <c r="I26" s="253"/>
      <c r="J26" s="253"/>
      <c r="K26" s="253"/>
      <c r="L26" s="253"/>
      <c r="M26" s="253"/>
      <c r="N26" s="253"/>
      <c r="O26" s="253"/>
      <c r="P26" s="253"/>
      <c r="Q26" s="253"/>
      <c r="R26" s="253"/>
      <c r="S26" s="253"/>
      <c r="T26" s="820"/>
      <c r="U26" s="253"/>
      <c r="V26" s="24" t="s">
        <v>2849</v>
      </c>
      <c r="W26" s="21"/>
      <c r="X26" s="21"/>
      <c r="Y26" s="817"/>
    </row>
    <row r="27" spans="1:25" ht="15.75" customHeight="1">
      <c r="A27" s="808">
        <v>22</v>
      </c>
      <c r="B27" s="241" t="str">
        <f t="shared" ca="1" si="0"/>
        <v/>
      </c>
      <c r="C27" s="821"/>
      <c r="D27" s="63"/>
      <c r="E27" s="21"/>
      <c r="F27" s="253"/>
      <c r="G27" s="261"/>
      <c r="H27" s="253"/>
      <c r="I27" s="253"/>
      <c r="J27" s="253"/>
      <c r="K27" s="253"/>
      <c r="L27" s="253"/>
      <c r="M27" s="253"/>
      <c r="N27" s="253"/>
      <c r="O27" s="253"/>
      <c r="P27" s="253"/>
      <c r="Q27" s="253"/>
      <c r="R27" s="253"/>
      <c r="S27" s="253"/>
      <c r="T27" s="83"/>
      <c r="U27" s="253"/>
      <c r="V27" s="24" t="s">
        <v>2849</v>
      </c>
      <c r="W27" s="21"/>
      <c r="X27" s="21"/>
      <c r="Y27" s="817"/>
    </row>
    <row r="28" spans="1:25" ht="15.75" customHeight="1">
      <c r="A28" s="808">
        <v>23</v>
      </c>
      <c r="B28" s="241" t="str">
        <f t="shared" ca="1" si="0"/>
        <v/>
      </c>
      <c r="C28" s="801"/>
      <c r="D28" s="63"/>
      <c r="E28" s="21"/>
      <c r="F28" s="253"/>
      <c r="G28" s="253"/>
      <c r="H28" s="253"/>
      <c r="I28" s="253"/>
      <c r="J28" s="253"/>
      <c r="K28" s="253"/>
      <c r="L28" s="253"/>
      <c r="M28" s="253"/>
      <c r="N28" s="253"/>
      <c r="O28" s="253"/>
      <c r="P28" s="253"/>
      <c r="Q28" s="253"/>
      <c r="R28" s="253"/>
      <c r="S28" s="253"/>
      <c r="T28" s="83"/>
      <c r="U28" s="253"/>
      <c r="V28" s="24" t="s">
        <v>2849</v>
      </c>
      <c r="W28" s="21"/>
      <c r="X28" s="21"/>
      <c r="Y28" s="817"/>
    </row>
    <row r="29" spans="1:25" ht="15.75" customHeight="1">
      <c r="A29" s="808">
        <v>24</v>
      </c>
      <c r="B29" s="241" t="str">
        <f t="shared" ca="1" si="0"/>
        <v/>
      </c>
      <c r="C29" s="801"/>
      <c r="D29" s="63"/>
      <c r="E29" s="21"/>
      <c r="F29" s="253"/>
      <c r="G29" s="253"/>
      <c r="H29" s="253"/>
      <c r="I29" s="253"/>
      <c r="J29" s="253"/>
      <c r="K29" s="253"/>
      <c r="L29" s="253"/>
      <c r="M29" s="253"/>
      <c r="N29" s="253"/>
      <c r="O29" s="253"/>
      <c r="P29" s="253"/>
      <c r="Q29" s="253"/>
      <c r="R29" s="253"/>
      <c r="S29" s="253"/>
      <c r="T29" s="83"/>
      <c r="U29" s="253"/>
      <c r="V29" s="24" t="s">
        <v>2849</v>
      </c>
      <c r="W29" s="21"/>
      <c r="X29" s="21"/>
      <c r="Y29" s="817"/>
    </row>
    <row r="30" spans="1:25" ht="15.75" customHeight="1">
      <c r="A30" s="808">
        <v>25</v>
      </c>
      <c r="B30" s="241" t="str">
        <f t="shared" ca="1" si="0"/>
        <v/>
      </c>
      <c r="C30" s="801"/>
      <c r="D30" s="63"/>
      <c r="E30" s="21"/>
      <c r="F30" s="253"/>
      <c r="G30" s="253"/>
      <c r="H30" s="253"/>
      <c r="I30" s="253"/>
      <c r="J30" s="253"/>
      <c r="K30" s="253"/>
      <c r="L30" s="253"/>
      <c r="M30" s="253"/>
      <c r="N30" s="253"/>
      <c r="O30" s="253"/>
      <c r="P30" s="253"/>
      <c r="Q30" s="253"/>
      <c r="R30" s="253"/>
      <c r="S30" s="253"/>
      <c r="T30" s="83"/>
      <c r="U30" s="253"/>
      <c r="V30" s="24" t="s">
        <v>2849</v>
      </c>
      <c r="W30" s="21"/>
      <c r="X30" s="21"/>
      <c r="Y30" s="817"/>
    </row>
    <row r="31" spans="1:25" ht="15.75" customHeight="1">
      <c r="A31" s="808">
        <v>26</v>
      </c>
      <c r="B31" s="241" t="str">
        <f t="shared" ca="1" si="0"/>
        <v/>
      </c>
      <c r="C31" s="801"/>
      <c r="D31" s="63"/>
      <c r="E31" s="21"/>
      <c r="F31" s="253"/>
      <c r="G31" s="253"/>
      <c r="H31" s="253"/>
      <c r="I31" s="253"/>
      <c r="J31" s="253"/>
      <c r="K31" s="253"/>
      <c r="L31" s="253"/>
      <c r="M31" s="253"/>
      <c r="N31" s="253"/>
      <c r="O31" s="253"/>
      <c r="P31" s="253"/>
      <c r="Q31" s="253"/>
      <c r="R31" s="253"/>
      <c r="S31" s="253"/>
      <c r="T31" s="83"/>
      <c r="U31" s="253"/>
      <c r="V31" s="24" t="s">
        <v>2849</v>
      </c>
      <c r="W31" s="21"/>
      <c r="X31" s="21"/>
      <c r="Y31" s="812"/>
    </row>
    <row r="32" spans="1:25" ht="15.75" customHeight="1">
      <c r="A32" s="800">
        <v>27</v>
      </c>
      <c r="B32" s="241" t="str">
        <f t="shared" ca="1" si="0"/>
        <v/>
      </c>
      <c r="C32" s="801"/>
      <c r="D32" s="63"/>
      <c r="E32" s="21"/>
      <c r="F32" s="253"/>
      <c r="G32" s="253"/>
      <c r="H32" s="253"/>
      <c r="I32" s="253"/>
      <c r="J32" s="253"/>
      <c r="K32" s="253"/>
      <c r="L32" s="253"/>
      <c r="M32" s="253"/>
      <c r="N32" s="253"/>
      <c r="O32" s="253"/>
      <c r="P32" s="253"/>
      <c r="Q32" s="253"/>
      <c r="R32" s="253"/>
      <c r="S32" s="253"/>
      <c r="T32" s="83"/>
      <c r="U32" s="253"/>
      <c r="V32" s="24" t="s">
        <v>2849</v>
      </c>
      <c r="W32" s="21"/>
      <c r="X32" s="21"/>
      <c r="Y32" s="812"/>
    </row>
    <row r="33" spans="1:25" ht="15.75" customHeight="1">
      <c r="A33" s="808">
        <v>28</v>
      </c>
      <c r="B33" s="241" t="str">
        <f t="shared" ca="1" si="0"/>
        <v/>
      </c>
      <c r="C33" s="818"/>
      <c r="D33" s="63"/>
      <c r="E33" s="21"/>
      <c r="F33" s="253"/>
      <c r="G33" s="253"/>
      <c r="H33" s="253"/>
      <c r="I33" s="253"/>
      <c r="J33" s="253"/>
      <c r="K33" s="253"/>
      <c r="L33" s="253"/>
      <c r="M33" s="253"/>
      <c r="N33" s="253"/>
      <c r="O33" s="253"/>
      <c r="P33" s="253"/>
      <c r="Q33" s="253"/>
      <c r="R33" s="253"/>
      <c r="S33" s="253"/>
      <c r="T33" s="21"/>
      <c r="U33" s="253"/>
      <c r="V33" s="24" t="s">
        <v>2849</v>
      </c>
      <c r="W33" s="21"/>
      <c r="X33" s="21"/>
      <c r="Y33" s="812"/>
    </row>
    <row r="34" spans="1:25" ht="15.75" customHeight="1">
      <c r="A34" s="808">
        <v>29</v>
      </c>
      <c r="B34" s="241" t="str">
        <f t="shared" ca="1" si="0"/>
        <v/>
      </c>
      <c r="C34" s="818"/>
      <c r="D34" s="63"/>
      <c r="E34" s="21"/>
      <c r="F34" s="253"/>
      <c r="G34" s="253"/>
      <c r="H34" s="253"/>
      <c r="I34" s="253"/>
      <c r="J34" s="253"/>
      <c r="K34" s="253"/>
      <c r="L34" s="253"/>
      <c r="M34" s="253"/>
      <c r="N34" s="253"/>
      <c r="O34" s="253"/>
      <c r="P34" s="253"/>
      <c r="Q34" s="253"/>
      <c r="R34" s="253"/>
      <c r="S34" s="253"/>
      <c r="T34" s="21"/>
      <c r="U34" s="253"/>
      <c r="V34" s="24" t="s">
        <v>2849</v>
      </c>
      <c r="W34" s="21"/>
      <c r="X34" s="21"/>
      <c r="Y34" s="812"/>
    </row>
    <row r="35" spans="1:25" ht="15.75" customHeight="1">
      <c r="A35" s="808">
        <v>30</v>
      </c>
      <c r="B35" s="241" t="str">
        <f t="shared" ca="1" si="0"/>
        <v/>
      </c>
      <c r="C35" s="818"/>
      <c r="D35" s="63"/>
      <c r="E35" s="21"/>
      <c r="F35" s="253"/>
      <c r="G35" s="253"/>
      <c r="H35" s="253"/>
      <c r="I35" s="253"/>
      <c r="J35" s="253"/>
      <c r="K35" s="253"/>
      <c r="L35" s="253"/>
      <c r="M35" s="253"/>
      <c r="N35" s="253"/>
      <c r="O35" s="253"/>
      <c r="P35" s="253"/>
      <c r="Q35" s="253"/>
      <c r="R35" s="253"/>
      <c r="S35" s="253"/>
      <c r="T35" s="21"/>
      <c r="U35" s="253"/>
      <c r="V35" s="24" t="s">
        <v>2849</v>
      </c>
      <c r="W35" s="21"/>
      <c r="X35" s="21"/>
      <c r="Y35" s="812"/>
    </row>
    <row r="36" spans="1:25" ht="15.75" customHeight="1">
      <c r="A36" s="808">
        <v>31</v>
      </c>
      <c r="B36" s="241" t="str">
        <f t="shared" ca="1" si="0"/>
        <v/>
      </c>
      <c r="C36" s="818"/>
      <c r="D36" s="63"/>
      <c r="E36" s="21"/>
      <c r="F36" s="253"/>
      <c r="G36" s="253"/>
      <c r="H36" s="253"/>
      <c r="I36" s="253"/>
      <c r="J36" s="253"/>
      <c r="K36" s="253"/>
      <c r="L36" s="253"/>
      <c r="M36" s="253"/>
      <c r="N36" s="253"/>
      <c r="O36" s="253"/>
      <c r="P36" s="253"/>
      <c r="Q36" s="253"/>
      <c r="R36" s="253"/>
      <c r="S36" s="253"/>
      <c r="T36" s="21"/>
      <c r="U36" s="253"/>
      <c r="V36" s="24" t="s">
        <v>2849</v>
      </c>
      <c r="W36" s="21"/>
      <c r="X36" s="21"/>
      <c r="Y36" s="812"/>
    </row>
    <row r="37" spans="1:25" ht="15.75" customHeight="1">
      <c r="A37" s="808">
        <v>32</v>
      </c>
      <c r="B37" s="241" t="str">
        <f t="shared" ca="1" si="0"/>
        <v/>
      </c>
      <c r="C37" s="818"/>
      <c r="D37" s="63"/>
      <c r="E37" s="21"/>
      <c r="F37" s="253"/>
      <c r="G37" s="253"/>
      <c r="H37" s="253"/>
      <c r="I37" s="253"/>
      <c r="J37" s="253"/>
      <c r="K37" s="253"/>
      <c r="L37" s="253"/>
      <c r="M37" s="253"/>
      <c r="N37" s="253"/>
      <c r="O37" s="253"/>
      <c r="P37" s="253"/>
      <c r="Q37" s="253"/>
      <c r="R37" s="253"/>
      <c r="S37" s="253"/>
      <c r="T37" s="21"/>
      <c r="U37" s="253"/>
      <c r="V37" s="24" t="s">
        <v>2849</v>
      </c>
      <c r="W37" s="21"/>
      <c r="X37" s="21"/>
      <c r="Y37" s="812"/>
    </row>
    <row r="38" spans="1:25" ht="15.75" customHeight="1">
      <c r="A38" s="808">
        <v>33</v>
      </c>
      <c r="B38" s="241" t="str">
        <f t="shared" ca="1" si="0"/>
        <v/>
      </c>
      <c r="C38" s="818"/>
      <c r="D38" s="63"/>
      <c r="E38" s="21"/>
      <c r="F38" s="253"/>
      <c r="G38" s="253"/>
      <c r="H38" s="253"/>
      <c r="I38" s="253"/>
      <c r="J38" s="253"/>
      <c r="K38" s="253"/>
      <c r="L38" s="253"/>
      <c r="M38" s="253"/>
      <c r="N38" s="253"/>
      <c r="O38" s="253"/>
      <c r="P38" s="253"/>
      <c r="Q38" s="253"/>
      <c r="R38" s="253"/>
      <c r="S38" s="253"/>
      <c r="T38" s="83"/>
      <c r="U38" s="253"/>
      <c r="V38" s="24" t="s">
        <v>2849</v>
      </c>
      <c r="W38" s="21"/>
      <c r="X38" s="21"/>
      <c r="Y38" s="817"/>
    </row>
    <row r="39" spans="1:25" ht="15.75" customHeight="1">
      <c r="A39" s="808">
        <v>34</v>
      </c>
      <c r="B39" s="241" t="str">
        <f t="shared" ca="1" si="0"/>
        <v/>
      </c>
      <c r="C39" s="818"/>
      <c r="D39" s="63"/>
      <c r="E39" s="21"/>
      <c r="F39" s="253"/>
      <c r="G39" s="822"/>
      <c r="H39" s="822"/>
      <c r="I39" s="822"/>
      <c r="J39" s="822"/>
      <c r="K39" s="822"/>
      <c r="L39" s="822"/>
      <c r="M39" s="822"/>
      <c r="N39" s="822"/>
      <c r="O39" s="822"/>
      <c r="P39" s="822"/>
      <c r="Q39" s="822"/>
      <c r="R39" s="253"/>
      <c r="S39" s="253"/>
      <c r="T39" s="21"/>
      <c r="U39" s="253"/>
      <c r="V39" s="24" t="s">
        <v>2849</v>
      </c>
      <c r="W39" s="21"/>
      <c r="X39" s="21"/>
      <c r="Y39" s="817"/>
    </row>
    <row r="40" spans="1:25" ht="15.75" customHeight="1">
      <c r="A40" s="800">
        <v>35</v>
      </c>
      <c r="B40" s="241" t="str">
        <f t="shared" ca="1" si="0"/>
        <v/>
      </c>
      <c r="C40" s="818"/>
      <c r="D40" s="63"/>
      <c r="E40" s="823"/>
      <c r="F40" s="253"/>
      <c r="G40" s="253"/>
      <c r="H40" s="253"/>
      <c r="I40" s="253"/>
      <c r="J40" s="253"/>
      <c r="K40" s="253"/>
      <c r="L40" s="253"/>
      <c r="M40" s="253"/>
      <c r="N40" s="253"/>
      <c r="O40" s="253"/>
      <c r="P40" s="253"/>
      <c r="Q40" s="253"/>
      <c r="R40" s="253"/>
      <c r="S40" s="253"/>
      <c r="T40" s="21"/>
      <c r="U40" s="253"/>
      <c r="V40" s="24" t="s">
        <v>2849</v>
      </c>
      <c r="W40" s="21"/>
      <c r="X40" s="21"/>
      <c r="Y40" s="817"/>
    </row>
    <row r="41" spans="1:25" ht="15.75" customHeight="1">
      <c r="A41" s="808">
        <v>36</v>
      </c>
      <c r="B41" s="241" t="str">
        <f t="shared" ca="1" si="0"/>
        <v/>
      </c>
      <c r="C41" s="818"/>
      <c r="D41" s="63"/>
      <c r="E41" s="21"/>
      <c r="F41" s="253"/>
      <c r="G41" s="253"/>
      <c r="H41" s="253"/>
      <c r="I41" s="253"/>
      <c r="J41" s="253"/>
      <c r="K41" s="253"/>
      <c r="L41" s="253"/>
      <c r="M41" s="253"/>
      <c r="N41" s="253"/>
      <c r="O41" s="253"/>
      <c r="P41" s="253"/>
      <c r="Q41" s="253"/>
      <c r="R41" s="253"/>
      <c r="S41" s="253"/>
      <c r="T41" s="21"/>
      <c r="U41" s="253"/>
      <c r="V41" s="24" t="s">
        <v>2849</v>
      </c>
      <c r="W41" s="21"/>
      <c r="X41" s="21"/>
      <c r="Y41" s="817"/>
    </row>
    <row r="42" spans="1:25" ht="15.75" customHeight="1">
      <c r="A42" s="800">
        <v>37</v>
      </c>
      <c r="B42" s="241" t="str">
        <f t="shared" ca="1" si="0"/>
        <v/>
      </c>
      <c r="C42" s="824"/>
      <c r="D42" s="63"/>
      <c r="E42" s="21"/>
      <c r="F42" s="253"/>
      <c r="G42" s="253"/>
      <c r="H42" s="253"/>
      <c r="I42" s="253"/>
      <c r="J42" s="253"/>
      <c r="K42" s="253"/>
      <c r="L42" s="253"/>
      <c r="M42" s="253"/>
      <c r="N42" s="253"/>
      <c r="O42" s="253"/>
      <c r="P42" s="253"/>
      <c r="Q42" s="253"/>
      <c r="R42" s="253"/>
      <c r="S42" s="253"/>
      <c r="T42" s="21"/>
      <c r="U42" s="253"/>
      <c r="V42" s="24" t="s">
        <v>2849</v>
      </c>
      <c r="W42" s="21"/>
      <c r="X42" s="21"/>
      <c r="Y42" s="61"/>
    </row>
    <row r="43" spans="1:25" ht="15.75" customHeight="1">
      <c r="A43" s="808">
        <v>38</v>
      </c>
      <c r="B43" s="241" t="str">
        <f t="shared" ca="1" si="0"/>
        <v/>
      </c>
      <c r="C43" s="818"/>
      <c r="D43" s="63"/>
      <c r="E43" s="21"/>
      <c r="F43" s="253"/>
      <c r="G43" s="253"/>
      <c r="H43" s="253"/>
      <c r="I43" s="253"/>
      <c r="J43" s="253"/>
      <c r="K43" s="253"/>
      <c r="L43" s="253"/>
      <c r="M43" s="253"/>
      <c r="N43" s="253"/>
      <c r="O43" s="253"/>
      <c r="P43" s="253"/>
      <c r="Q43" s="253"/>
      <c r="R43" s="253"/>
      <c r="S43" s="253"/>
      <c r="T43" s="21"/>
      <c r="U43" s="253"/>
      <c r="V43" s="24" t="s">
        <v>2849</v>
      </c>
      <c r="W43" s="59"/>
      <c r="X43" s="21"/>
      <c r="Y43" s="61"/>
    </row>
    <row r="44" spans="1:25" ht="15.75" customHeight="1">
      <c r="A44" s="808">
        <v>39</v>
      </c>
      <c r="B44" s="241" t="str">
        <f t="shared" ca="1" si="0"/>
        <v/>
      </c>
      <c r="C44" s="818"/>
      <c r="D44" s="63"/>
      <c r="E44" s="21"/>
      <c r="F44" s="253"/>
      <c r="G44" s="253"/>
      <c r="H44" s="253"/>
      <c r="I44" s="253"/>
      <c r="J44" s="253"/>
      <c r="K44" s="253"/>
      <c r="L44" s="253"/>
      <c r="M44" s="253"/>
      <c r="N44" s="253"/>
      <c r="O44" s="253"/>
      <c r="P44" s="253"/>
      <c r="Q44" s="253"/>
      <c r="R44" s="253"/>
      <c r="S44" s="253"/>
      <c r="T44" s="21"/>
      <c r="U44" s="253"/>
      <c r="V44" s="24" t="s">
        <v>2849</v>
      </c>
      <c r="W44" s="59"/>
      <c r="X44" s="21"/>
      <c r="Y44" s="812"/>
    </row>
    <row r="45" spans="1:25" ht="15.75" customHeight="1">
      <c r="A45" s="808">
        <v>40</v>
      </c>
      <c r="B45" s="241" t="str">
        <f t="shared" ca="1" si="0"/>
        <v/>
      </c>
      <c r="C45" s="818"/>
      <c r="D45" s="63"/>
      <c r="E45" s="21"/>
      <c r="F45" s="253"/>
      <c r="G45" s="253"/>
      <c r="H45" s="253"/>
      <c r="I45" s="253"/>
      <c r="J45" s="253"/>
      <c r="K45" s="253"/>
      <c r="L45" s="253"/>
      <c r="M45" s="253"/>
      <c r="N45" s="253"/>
      <c r="O45" s="253"/>
      <c r="P45" s="253"/>
      <c r="Q45" s="253"/>
      <c r="R45" s="253"/>
      <c r="S45" s="253"/>
      <c r="T45" s="21"/>
      <c r="U45" s="253"/>
      <c r="V45" s="24" t="s">
        <v>2849</v>
      </c>
      <c r="W45" s="21"/>
      <c r="X45" s="21"/>
      <c r="Y45" s="817"/>
    </row>
    <row r="46" spans="1:25" ht="15.75" customHeight="1">
      <c r="A46" s="808">
        <v>41</v>
      </c>
      <c r="B46" s="241" t="str">
        <f t="shared" ca="1" si="0"/>
        <v/>
      </c>
      <c r="C46" s="818"/>
      <c r="D46" s="63"/>
      <c r="E46" s="21"/>
      <c r="F46" s="253"/>
      <c r="G46" s="253"/>
      <c r="H46" s="253"/>
      <c r="I46" s="253"/>
      <c r="J46" s="253"/>
      <c r="K46" s="253"/>
      <c r="L46" s="253"/>
      <c r="M46" s="253"/>
      <c r="N46" s="253"/>
      <c r="O46" s="253"/>
      <c r="P46" s="253"/>
      <c r="Q46" s="253"/>
      <c r="R46" s="253"/>
      <c r="S46" s="253"/>
      <c r="T46" s="21"/>
      <c r="U46" s="253"/>
      <c r="V46" s="24" t="s">
        <v>2849</v>
      </c>
      <c r="W46" s="21"/>
      <c r="X46" s="21"/>
      <c r="Y46" s="812"/>
    </row>
    <row r="47" spans="1:25" ht="15.75" customHeight="1">
      <c r="A47" s="808">
        <v>42</v>
      </c>
      <c r="B47" s="241" t="str">
        <f t="shared" ca="1" si="0"/>
        <v/>
      </c>
      <c r="C47" s="818"/>
      <c r="D47" s="63"/>
      <c r="E47" s="21"/>
      <c r="F47" s="253"/>
      <c r="G47" s="253"/>
      <c r="H47" s="253"/>
      <c r="I47" s="253"/>
      <c r="J47" s="253"/>
      <c r="K47" s="253"/>
      <c r="L47" s="253"/>
      <c r="M47" s="253"/>
      <c r="N47" s="253"/>
      <c r="O47" s="253"/>
      <c r="P47" s="253"/>
      <c r="Q47" s="253"/>
      <c r="R47" s="253"/>
      <c r="S47" s="253"/>
      <c r="T47" s="21"/>
      <c r="U47" s="253"/>
      <c r="V47" s="24" t="s">
        <v>2849</v>
      </c>
      <c r="W47" s="59"/>
      <c r="X47" s="21"/>
      <c r="Y47" s="812"/>
    </row>
    <row r="48" spans="1:25" ht="15.75" customHeight="1">
      <c r="A48" s="808">
        <v>43</v>
      </c>
      <c r="B48" s="241" t="str">
        <f t="shared" ca="1" si="0"/>
        <v/>
      </c>
      <c r="C48" s="818"/>
      <c r="D48" s="63"/>
      <c r="E48" s="21"/>
      <c r="F48" s="253"/>
      <c r="G48" s="253"/>
      <c r="H48" s="253"/>
      <c r="I48" s="253"/>
      <c r="J48" s="253"/>
      <c r="K48" s="253"/>
      <c r="L48" s="253"/>
      <c r="M48" s="253"/>
      <c r="N48" s="253"/>
      <c r="O48" s="253"/>
      <c r="P48" s="253"/>
      <c r="Q48" s="253"/>
      <c r="R48" s="253"/>
      <c r="S48" s="253"/>
      <c r="T48" s="21"/>
      <c r="U48" s="253"/>
      <c r="V48" s="24" t="s">
        <v>2849</v>
      </c>
      <c r="W48" s="21"/>
      <c r="X48" s="21"/>
      <c r="Y48" s="812"/>
    </row>
    <row r="49" spans="1:25" ht="15.75" customHeight="1">
      <c r="A49" s="808">
        <v>44</v>
      </c>
      <c r="B49" s="241" t="str">
        <f t="shared" ca="1" si="0"/>
        <v/>
      </c>
      <c r="C49" s="818"/>
      <c r="D49" s="63"/>
      <c r="E49" s="21"/>
      <c r="F49" s="253"/>
      <c r="G49" s="253"/>
      <c r="H49" s="253"/>
      <c r="I49" s="253"/>
      <c r="J49" s="253"/>
      <c r="K49" s="253"/>
      <c r="L49" s="253"/>
      <c r="M49" s="253"/>
      <c r="N49" s="253"/>
      <c r="O49" s="253"/>
      <c r="P49" s="253"/>
      <c r="Q49" s="253"/>
      <c r="R49" s="253"/>
      <c r="S49" s="253"/>
      <c r="T49" s="21"/>
      <c r="U49" s="253"/>
      <c r="V49" s="24" t="s">
        <v>2849</v>
      </c>
      <c r="W49" s="21"/>
      <c r="X49" s="21"/>
      <c r="Y49" s="812"/>
    </row>
    <row r="50" spans="1:25" ht="15.75" customHeight="1">
      <c r="A50" s="800">
        <v>45</v>
      </c>
      <c r="B50" s="241" t="str">
        <f t="shared" ca="1" si="0"/>
        <v/>
      </c>
      <c r="C50" s="818"/>
      <c r="D50" s="63"/>
      <c r="E50" s="21"/>
      <c r="F50" s="253"/>
      <c r="G50" s="253"/>
      <c r="H50" s="253"/>
      <c r="I50" s="253"/>
      <c r="J50" s="253"/>
      <c r="K50" s="253"/>
      <c r="L50" s="253"/>
      <c r="M50" s="253"/>
      <c r="N50" s="253"/>
      <c r="O50" s="253"/>
      <c r="P50" s="253"/>
      <c r="Q50" s="253"/>
      <c r="R50" s="253"/>
      <c r="S50" s="253"/>
      <c r="T50" s="21"/>
      <c r="U50" s="253"/>
      <c r="V50" s="24" t="s">
        <v>2849</v>
      </c>
      <c r="W50" s="21"/>
      <c r="X50" s="21"/>
      <c r="Y50" s="825"/>
    </row>
    <row r="51" spans="1:25" ht="15.75" customHeight="1">
      <c r="A51" s="808">
        <v>46</v>
      </c>
      <c r="B51" s="241" t="str">
        <f t="shared" ca="1" si="0"/>
        <v/>
      </c>
      <c r="C51" s="818"/>
      <c r="D51" s="63"/>
      <c r="E51" s="21"/>
      <c r="F51" s="253"/>
      <c r="G51" s="207"/>
      <c r="H51" s="253"/>
      <c r="I51" s="253"/>
      <c r="J51" s="253"/>
      <c r="K51" s="253"/>
      <c r="L51" s="253"/>
      <c r="M51" s="253"/>
      <c r="N51" s="253"/>
      <c r="O51" s="253"/>
      <c r="P51" s="253"/>
      <c r="Q51" s="253"/>
      <c r="R51" s="253"/>
      <c r="S51" s="253"/>
      <c r="T51" s="21"/>
      <c r="U51" s="253"/>
      <c r="V51" s="24" t="s">
        <v>2849</v>
      </c>
      <c r="W51" s="21"/>
      <c r="X51" s="21"/>
      <c r="Y51" s="812"/>
    </row>
    <row r="52" spans="1:25" ht="15.75" customHeight="1">
      <c r="A52" s="808">
        <v>47</v>
      </c>
      <c r="B52" s="241" t="str">
        <f t="shared" ca="1" si="0"/>
        <v/>
      </c>
      <c r="C52" s="818"/>
      <c r="D52" s="63"/>
      <c r="E52" s="52"/>
      <c r="F52" s="253"/>
      <c r="G52" s="253"/>
      <c r="H52" s="253"/>
      <c r="I52" s="253"/>
      <c r="J52" s="253"/>
      <c r="K52" s="253"/>
      <c r="L52" s="253"/>
      <c r="M52" s="253"/>
      <c r="N52" s="253"/>
      <c r="O52" s="253"/>
      <c r="P52" s="253"/>
      <c r="Q52" s="253"/>
      <c r="R52" s="253"/>
      <c r="S52" s="253"/>
      <c r="T52" s="21"/>
      <c r="U52" s="253"/>
      <c r="V52" s="24" t="s">
        <v>2849</v>
      </c>
      <c r="W52" s="21"/>
      <c r="X52" s="21"/>
      <c r="Y52" s="812"/>
    </row>
    <row r="53" spans="1:25" ht="15.75" customHeight="1">
      <c r="A53" s="808">
        <v>48</v>
      </c>
      <c r="B53" s="241" t="str">
        <f t="shared" ca="1" si="0"/>
        <v/>
      </c>
      <c r="C53" s="818"/>
      <c r="D53" s="63"/>
      <c r="E53" s="21"/>
      <c r="F53" s="253"/>
      <c r="G53" s="253"/>
      <c r="H53" s="253"/>
      <c r="I53" s="253"/>
      <c r="J53" s="253"/>
      <c r="K53" s="253"/>
      <c r="L53" s="253"/>
      <c r="M53" s="253"/>
      <c r="N53" s="253"/>
      <c r="O53" s="253"/>
      <c r="P53" s="253"/>
      <c r="Q53" s="253"/>
      <c r="R53" s="253"/>
      <c r="S53" s="253"/>
      <c r="T53" s="21"/>
      <c r="U53" s="253"/>
      <c r="V53" s="24" t="s">
        <v>2849</v>
      </c>
      <c r="W53" s="21"/>
      <c r="X53" s="21"/>
      <c r="Y53" s="812"/>
    </row>
    <row r="54" spans="1:25" ht="15.75" customHeight="1">
      <c r="A54" s="808">
        <v>49</v>
      </c>
      <c r="B54" s="241" t="str">
        <f t="shared" ca="1" si="0"/>
        <v/>
      </c>
      <c r="C54" s="818"/>
      <c r="D54" s="63"/>
      <c r="E54" s="21"/>
      <c r="F54" s="253"/>
      <c r="G54" s="253"/>
      <c r="H54" s="253"/>
      <c r="I54" s="253"/>
      <c r="J54" s="253"/>
      <c r="K54" s="253"/>
      <c r="L54" s="253"/>
      <c r="M54" s="253"/>
      <c r="N54" s="253"/>
      <c r="O54" s="253"/>
      <c r="P54" s="253"/>
      <c r="Q54" s="253"/>
      <c r="R54" s="253"/>
      <c r="S54" s="253"/>
      <c r="T54" s="21"/>
      <c r="U54" s="253"/>
      <c r="V54" s="24" t="s">
        <v>2849</v>
      </c>
      <c r="W54" s="21"/>
      <c r="X54" s="21"/>
      <c r="Y54" s="812"/>
    </row>
    <row r="55" spans="1:25" ht="15.75" customHeight="1">
      <c r="A55" s="808">
        <v>50</v>
      </c>
      <c r="B55" s="241" t="str">
        <f t="shared" ca="1" si="0"/>
        <v/>
      </c>
      <c r="C55" s="818"/>
      <c r="D55" s="63"/>
      <c r="E55" s="21"/>
      <c r="F55" s="253"/>
      <c r="G55" s="253"/>
      <c r="H55" s="253"/>
      <c r="I55" s="253"/>
      <c r="J55" s="253"/>
      <c r="K55" s="253"/>
      <c r="L55" s="253"/>
      <c r="M55" s="253"/>
      <c r="N55" s="253"/>
      <c r="O55" s="253"/>
      <c r="P55" s="253"/>
      <c r="Q55" s="253"/>
      <c r="R55" s="253"/>
      <c r="S55" s="253"/>
      <c r="T55" s="21"/>
      <c r="U55" s="253"/>
      <c r="V55" s="24" t="s">
        <v>2849</v>
      </c>
      <c r="W55" s="21"/>
      <c r="X55" s="21"/>
      <c r="Y55" s="61"/>
    </row>
    <row r="56" spans="1:25" ht="15.75" customHeight="1">
      <c r="A56" s="808">
        <v>51</v>
      </c>
      <c r="B56" s="241" t="str">
        <f t="shared" ca="1" si="0"/>
        <v/>
      </c>
      <c r="C56" s="818"/>
      <c r="D56" s="63"/>
      <c r="E56" s="21"/>
      <c r="F56" s="253"/>
      <c r="G56" s="253"/>
      <c r="H56" s="253"/>
      <c r="I56" s="253"/>
      <c r="J56" s="253"/>
      <c r="K56" s="253"/>
      <c r="L56" s="253"/>
      <c r="M56" s="253"/>
      <c r="N56" s="253"/>
      <c r="O56" s="253"/>
      <c r="P56" s="253"/>
      <c r="Q56" s="253"/>
      <c r="R56" s="253"/>
      <c r="S56" s="253"/>
      <c r="T56" s="21"/>
      <c r="U56" s="253"/>
      <c r="V56" s="24" t="s">
        <v>2849</v>
      </c>
      <c r="W56" s="21"/>
      <c r="X56" s="21"/>
      <c r="Y56" s="61"/>
    </row>
    <row r="57" spans="1:25" ht="15.75" customHeight="1">
      <c r="A57" s="808">
        <v>52</v>
      </c>
      <c r="B57" s="241" t="str">
        <f t="shared" ca="1" si="0"/>
        <v/>
      </c>
      <c r="C57" s="818"/>
      <c r="D57" s="63"/>
      <c r="E57" s="21"/>
      <c r="F57" s="253"/>
      <c r="G57" s="253"/>
      <c r="H57" s="253"/>
      <c r="I57" s="253"/>
      <c r="J57" s="253"/>
      <c r="K57" s="253"/>
      <c r="L57" s="253"/>
      <c r="M57" s="253"/>
      <c r="N57" s="253"/>
      <c r="O57" s="253"/>
      <c r="P57" s="253"/>
      <c r="Q57" s="253"/>
      <c r="R57" s="253"/>
      <c r="S57" s="253"/>
      <c r="T57" s="21"/>
      <c r="U57" s="253"/>
      <c r="V57" s="24" t="s">
        <v>2849</v>
      </c>
      <c r="W57" s="21"/>
      <c r="X57" s="21"/>
      <c r="Y57" s="812"/>
    </row>
    <row r="58" spans="1:25" ht="15.75" customHeight="1">
      <c r="A58" s="800">
        <v>53</v>
      </c>
      <c r="B58" s="241" t="str">
        <f t="shared" ca="1" si="0"/>
        <v/>
      </c>
      <c r="C58" s="818"/>
      <c r="D58" s="63"/>
      <c r="E58" s="21"/>
      <c r="F58" s="253"/>
      <c r="G58" s="253"/>
      <c r="H58" s="253"/>
      <c r="I58" s="253"/>
      <c r="J58" s="253"/>
      <c r="K58" s="253"/>
      <c r="L58" s="253"/>
      <c r="M58" s="253"/>
      <c r="N58" s="253"/>
      <c r="O58" s="253"/>
      <c r="P58" s="253"/>
      <c r="Q58" s="253"/>
      <c r="R58" s="253"/>
      <c r="S58" s="253"/>
      <c r="T58" s="21"/>
      <c r="U58" s="253"/>
      <c r="V58" s="24" t="s">
        <v>2849</v>
      </c>
      <c r="W58" s="59"/>
      <c r="X58" s="21"/>
      <c r="Y58" s="817"/>
    </row>
    <row r="59" spans="1:25" ht="15.75" customHeight="1">
      <c r="A59" s="808">
        <v>54</v>
      </c>
      <c r="B59" s="241" t="str">
        <f t="shared" ca="1" si="0"/>
        <v/>
      </c>
      <c r="C59" s="818"/>
      <c r="D59" s="63"/>
      <c r="E59" s="21"/>
      <c r="F59" s="253"/>
      <c r="G59" s="253"/>
      <c r="H59" s="253"/>
      <c r="I59" s="253"/>
      <c r="J59" s="253"/>
      <c r="K59" s="253"/>
      <c r="L59" s="253"/>
      <c r="M59" s="253"/>
      <c r="N59" s="253"/>
      <c r="O59" s="253"/>
      <c r="P59" s="253"/>
      <c r="Q59" s="253"/>
      <c r="R59" s="253"/>
      <c r="S59" s="253"/>
      <c r="T59" s="21"/>
      <c r="U59" s="253"/>
      <c r="V59" s="24" t="s">
        <v>2849</v>
      </c>
      <c r="W59" s="21"/>
      <c r="X59" s="21"/>
      <c r="Y59" s="812"/>
    </row>
    <row r="60" spans="1:25" ht="15.75" customHeight="1">
      <c r="A60" s="800">
        <v>55</v>
      </c>
      <c r="B60" s="241" t="str">
        <f t="shared" ca="1" si="0"/>
        <v/>
      </c>
      <c r="C60" s="824"/>
      <c r="D60" s="63"/>
      <c r="E60" s="21"/>
      <c r="F60" s="253"/>
      <c r="G60" s="253"/>
      <c r="H60" s="253"/>
      <c r="I60" s="253"/>
      <c r="J60" s="253"/>
      <c r="K60" s="253"/>
      <c r="L60" s="253"/>
      <c r="M60" s="253"/>
      <c r="N60" s="253"/>
      <c r="O60" s="253"/>
      <c r="P60" s="253"/>
      <c r="Q60" s="253"/>
      <c r="R60" s="253"/>
      <c r="S60" s="253"/>
      <c r="T60" s="21"/>
      <c r="U60" s="253"/>
      <c r="V60" s="24" t="s">
        <v>2849</v>
      </c>
      <c r="W60" s="826"/>
      <c r="X60" s="826"/>
      <c r="Y60" s="812"/>
    </row>
    <row r="61" spans="1:25" ht="15.75" customHeight="1">
      <c r="A61" s="808">
        <v>56</v>
      </c>
      <c r="B61" s="241" t="str">
        <f t="shared" ca="1" si="0"/>
        <v/>
      </c>
      <c r="C61" s="824"/>
      <c r="D61" s="63"/>
      <c r="E61" s="21"/>
      <c r="F61" s="253"/>
      <c r="G61" s="253"/>
      <c r="H61" s="253"/>
      <c r="I61" s="253"/>
      <c r="J61" s="253"/>
      <c r="K61" s="253"/>
      <c r="L61" s="253"/>
      <c r="M61" s="253"/>
      <c r="N61" s="253"/>
      <c r="O61" s="253"/>
      <c r="P61" s="253"/>
      <c r="Q61" s="253"/>
      <c r="R61" s="253"/>
      <c r="S61" s="253"/>
      <c r="T61" s="21"/>
      <c r="U61" s="253"/>
      <c r="V61" s="24" t="s">
        <v>2849</v>
      </c>
      <c r="W61" s="21"/>
      <c r="X61" s="21"/>
      <c r="Y61" s="812"/>
    </row>
    <row r="62" spans="1:25" ht="15.75" customHeight="1">
      <c r="A62" s="808">
        <v>57</v>
      </c>
      <c r="B62" s="241" t="str">
        <f t="shared" ca="1" si="0"/>
        <v/>
      </c>
      <c r="C62" s="824"/>
      <c r="D62" s="63"/>
      <c r="E62" s="21"/>
      <c r="F62" s="253"/>
      <c r="G62" s="253"/>
      <c r="H62" s="253"/>
      <c r="I62" s="253"/>
      <c r="J62" s="253"/>
      <c r="K62" s="253"/>
      <c r="L62" s="253"/>
      <c r="M62" s="253"/>
      <c r="N62" s="253"/>
      <c r="O62" s="253"/>
      <c r="P62" s="253"/>
      <c r="Q62" s="253"/>
      <c r="R62" s="253"/>
      <c r="S62" s="253"/>
      <c r="T62" s="21"/>
      <c r="U62" s="253"/>
      <c r="V62" s="24" t="s">
        <v>2849</v>
      </c>
      <c r="W62" s="21"/>
      <c r="X62" s="21"/>
      <c r="Y62" s="61"/>
    </row>
    <row r="63" spans="1:25" ht="15.75" customHeight="1">
      <c r="A63" s="808">
        <v>58</v>
      </c>
      <c r="B63" s="241" t="str">
        <f t="shared" ca="1" si="0"/>
        <v/>
      </c>
      <c r="C63" s="824"/>
      <c r="D63" s="63"/>
      <c r="E63" s="21"/>
      <c r="F63" s="253"/>
      <c r="G63" s="253"/>
      <c r="H63" s="253"/>
      <c r="I63" s="253"/>
      <c r="J63" s="253"/>
      <c r="K63" s="253"/>
      <c r="L63" s="253"/>
      <c r="M63" s="253"/>
      <c r="N63" s="253"/>
      <c r="O63" s="253"/>
      <c r="P63" s="253"/>
      <c r="Q63" s="253"/>
      <c r="R63" s="253"/>
      <c r="S63" s="253"/>
      <c r="T63" s="21"/>
      <c r="U63" s="253"/>
      <c r="V63" s="24" t="s">
        <v>2849</v>
      </c>
      <c r="W63" s="21"/>
      <c r="X63" s="21"/>
      <c r="Y63" s="812"/>
    </row>
    <row r="64" spans="1:25" ht="15.75" customHeight="1">
      <c r="A64" s="808">
        <v>59</v>
      </c>
      <c r="B64" s="241" t="str">
        <f t="shared" ca="1" si="0"/>
        <v/>
      </c>
      <c r="C64" s="824"/>
      <c r="D64" s="63"/>
      <c r="E64" s="823"/>
      <c r="F64" s="253"/>
      <c r="G64" s="253"/>
      <c r="H64" s="253"/>
      <c r="I64" s="253"/>
      <c r="J64" s="253"/>
      <c r="K64" s="253"/>
      <c r="L64" s="253"/>
      <c r="M64" s="253"/>
      <c r="N64" s="253"/>
      <c r="O64" s="253"/>
      <c r="P64" s="253"/>
      <c r="Q64" s="253"/>
      <c r="R64" s="253"/>
      <c r="S64" s="253"/>
      <c r="T64" s="823"/>
      <c r="U64" s="253"/>
      <c r="V64" s="24" t="s">
        <v>2849</v>
      </c>
      <c r="W64" s="21"/>
      <c r="X64" s="21"/>
      <c r="Y64" s="817"/>
    </row>
    <row r="65" spans="1:25" ht="15.75" customHeight="1">
      <c r="A65" s="808">
        <v>60</v>
      </c>
      <c r="B65" s="241" t="str">
        <f t="shared" ca="1" si="0"/>
        <v/>
      </c>
      <c r="C65" s="824"/>
      <c r="D65" s="63"/>
      <c r="E65" s="21"/>
      <c r="F65" s="253"/>
      <c r="G65" s="253"/>
      <c r="H65" s="253"/>
      <c r="I65" s="253"/>
      <c r="J65" s="253"/>
      <c r="K65" s="253"/>
      <c r="L65" s="253"/>
      <c r="M65" s="253"/>
      <c r="N65" s="253"/>
      <c r="O65" s="253"/>
      <c r="P65" s="253"/>
      <c r="Q65" s="253"/>
      <c r="R65" s="253"/>
      <c r="S65" s="253"/>
      <c r="T65" s="21"/>
      <c r="U65" s="253"/>
      <c r="V65" s="24" t="s">
        <v>2849</v>
      </c>
      <c r="W65" s="21"/>
      <c r="X65" s="59"/>
      <c r="Y65" s="812"/>
    </row>
    <row r="66" spans="1:25" ht="15.75" customHeight="1">
      <c r="A66" s="808">
        <v>61</v>
      </c>
      <c r="B66" s="241" t="str">
        <f t="shared" ca="1" si="0"/>
        <v/>
      </c>
      <c r="C66" s="824"/>
      <c r="D66" s="63"/>
      <c r="E66" s="21"/>
      <c r="F66" s="253"/>
      <c r="G66" s="253"/>
      <c r="H66" s="253"/>
      <c r="I66" s="253"/>
      <c r="J66" s="253"/>
      <c r="K66" s="253"/>
      <c r="L66" s="253"/>
      <c r="M66" s="253"/>
      <c r="N66" s="253"/>
      <c r="O66" s="253"/>
      <c r="P66" s="253"/>
      <c r="Q66" s="253"/>
      <c r="R66" s="253"/>
      <c r="S66" s="253"/>
      <c r="T66" s="21"/>
      <c r="U66" s="253"/>
      <c r="V66" s="24" t="s">
        <v>2849</v>
      </c>
      <c r="W66" s="21"/>
      <c r="X66" s="21"/>
      <c r="Y66" s="812"/>
    </row>
    <row r="67" spans="1:25" ht="15.75" customHeight="1">
      <c r="A67" s="808">
        <v>62</v>
      </c>
      <c r="B67" s="241" t="str">
        <f t="shared" ca="1" si="0"/>
        <v/>
      </c>
      <c r="C67" s="821"/>
      <c r="D67" s="63"/>
      <c r="E67" s="21"/>
      <c r="F67" s="253"/>
      <c r="G67" s="253"/>
      <c r="H67" s="253"/>
      <c r="I67" s="253"/>
      <c r="J67" s="253"/>
      <c r="K67" s="253"/>
      <c r="L67" s="253"/>
      <c r="M67" s="253"/>
      <c r="N67" s="253"/>
      <c r="O67" s="253"/>
      <c r="P67" s="253"/>
      <c r="Q67" s="253"/>
      <c r="R67" s="253"/>
      <c r="S67" s="253"/>
      <c r="T67" s="21"/>
      <c r="U67" s="253"/>
      <c r="V67" s="24" t="s">
        <v>2849</v>
      </c>
      <c r="W67" s="21"/>
      <c r="X67" s="21"/>
      <c r="Y67" s="812"/>
    </row>
    <row r="68" spans="1:25" ht="15.75" customHeight="1">
      <c r="A68" s="800">
        <v>63</v>
      </c>
      <c r="B68" s="241" t="str">
        <f t="shared" ca="1" si="0"/>
        <v/>
      </c>
      <c r="C68" s="821"/>
      <c r="D68" s="63"/>
      <c r="E68" s="21"/>
      <c r="F68" s="253"/>
      <c r="G68" s="253"/>
      <c r="H68" s="253"/>
      <c r="I68" s="253"/>
      <c r="J68" s="253"/>
      <c r="K68" s="253"/>
      <c r="L68" s="253"/>
      <c r="M68" s="253"/>
      <c r="N68" s="253"/>
      <c r="O68" s="253"/>
      <c r="P68" s="253"/>
      <c r="Q68" s="253"/>
      <c r="R68" s="253"/>
      <c r="S68" s="253"/>
      <c r="T68" s="21"/>
      <c r="U68" s="253"/>
      <c r="V68" s="24" t="s">
        <v>2849</v>
      </c>
      <c r="W68" s="21"/>
      <c r="X68" s="21"/>
      <c r="Y68" s="812"/>
    </row>
    <row r="69" spans="1:25" ht="15.75" customHeight="1">
      <c r="A69" s="808">
        <v>64</v>
      </c>
      <c r="B69" s="241" t="str">
        <f t="shared" ca="1" si="0"/>
        <v/>
      </c>
      <c r="C69" s="818"/>
      <c r="D69" s="63"/>
      <c r="E69" s="21"/>
      <c r="F69" s="253"/>
      <c r="G69" s="253"/>
      <c r="H69" s="253"/>
      <c r="I69" s="253"/>
      <c r="J69" s="253"/>
      <c r="K69" s="253"/>
      <c r="L69" s="253"/>
      <c r="M69" s="253"/>
      <c r="N69" s="253"/>
      <c r="O69" s="253"/>
      <c r="P69" s="253"/>
      <c r="Q69" s="253"/>
      <c r="R69" s="253"/>
      <c r="S69" s="253"/>
      <c r="T69" s="21"/>
      <c r="U69" s="253"/>
      <c r="V69" s="24" t="s">
        <v>2849</v>
      </c>
      <c r="W69" s="21"/>
      <c r="X69" s="21"/>
      <c r="Y69" s="812"/>
    </row>
    <row r="70" spans="1:25" ht="15.75" customHeight="1">
      <c r="A70" s="808">
        <v>65</v>
      </c>
      <c r="B70" s="241" t="str">
        <f t="shared" ca="1" si="0"/>
        <v/>
      </c>
      <c r="C70" s="824"/>
      <c r="D70" s="63"/>
      <c r="E70" s="21"/>
      <c r="F70" s="253"/>
      <c r="G70" s="253"/>
      <c r="H70" s="253"/>
      <c r="I70" s="253"/>
      <c r="J70" s="253"/>
      <c r="K70" s="253"/>
      <c r="L70" s="253"/>
      <c r="M70" s="253"/>
      <c r="N70" s="253"/>
      <c r="O70" s="253"/>
      <c r="P70" s="253"/>
      <c r="Q70" s="253"/>
      <c r="R70" s="253"/>
      <c r="S70" s="253"/>
      <c r="T70" s="21"/>
      <c r="U70" s="253"/>
      <c r="V70" s="24" t="s">
        <v>2849</v>
      </c>
      <c r="W70" s="165"/>
      <c r="X70" s="165"/>
      <c r="Y70" s="827"/>
    </row>
    <row r="71" spans="1:25" ht="15.75" customHeight="1">
      <c r="A71" s="808">
        <v>66</v>
      </c>
      <c r="B71" s="241" t="str">
        <f t="shared" ca="1" si="0"/>
        <v/>
      </c>
      <c r="C71" s="258"/>
      <c r="D71" s="63"/>
      <c r="E71" s="21"/>
      <c r="F71" s="253"/>
      <c r="G71" s="253"/>
      <c r="H71" s="253"/>
      <c r="I71" s="253"/>
      <c r="J71" s="253"/>
      <c r="K71" s="253"/>
      <c r="L71" s="253"/>
      <c r="M71" s="253"/>
      <c r="N71" s="253"/>
      <c r="O71" s="253"/>
      <c r="P71" s="253"/>
      <c r="Q71" s="253"/>
      <c r="R71" s="253"/>
      <c r="S71" s="253"/>
      <c r="T71" s="21"/>
      <c r="U71" s="253"/>
      <c r="V71" s="24" t="s">
        <v>2849</v>
      </c>
      <c r="W71" s="59"/>
      <c r="X71" s="21"/>
      <c r="Y71" s="828"/>
    </row>
    <row r="72" spans="1:25" ht="15.75" customHeight="1">
      <c r="A72" s="808">
        <v>67</v>
      </c>
      <c r="B72" s="241" t="str">
        <f t="shared" ca="1" si="0"/>
        <v/>
      </c>
      <c r="C72" s="258"/>
      <c r="D72" s="63"/>
      <c r="E72" s="21"/>
      <c r="F72" s="253"/>
      <c r="G72" s="253"/>
      <c r="H72" s="253"/>
      <c r="I72" s="253"/>
      <c r="J72" s="253"/>
      <c r="K72" s="253"/>
      <c r="L72" s="253"/>
      <c r="M72" s="253"/>
      <c r="N72" s="253"/>
      <c r="O72" s="253"/>
      <c r="P72" s="253"/>
      <c r="Q72" s="253"/>
      <c r="R72" s="253"/>
      <c r="S72" s="253"/>
      <c r="T72" s="21"/>
      <c r="U72" s="253"/>
      <c r="V72" s="24" t="s">
        <v>2849</v>
      </c>
      <c r="W72" s="21"/>
      <c r="X72" s="21"/>
      <c r="Y72" s="817"/>
    </row>
    <row r="73" spans="1:25" ht="15.75" customHeight="1">
      <c r="A73" s="808">
        <v>68</v>
      </c>
      <c r="B73" s="241" t="str">
        <f t="shared" ca="1" si="0"/>
        <v/>
      </c>
      <c r="C73" s="254"/>
      <c r="D73" s="63"/>
      <c r="E73" s="21"/>
      <c r="F73" s="253"/>
      <c r="G73" s="253"/>
      <c r="H73" s="253"/>
      <c r="I73" s="253"/>
      <c r="J73" s="253"/>
      <c r="K73" s="253"/>
      <c r="L73" s="253"/>
      <c r="M73" s="253"/>
      <c r="N73" s="253"/>
      <c r="O73" s="253"/>
      <c r="P73" s="253"/>
      <c r="Q73" s="253"/>
      <c r="R73" s="253"/>
      <c r="S73" s="253"/>
      <c r="T73" s="21"/>
      <c r="U73" s="253"/>
      <c r="V73" s="24" t="s">
        <v>2849</v>
      </c>
      <c r="W73" s="59"/>
      <c r="X73" s="21"/>
      <c r="Y73" s="817"/>
    </row>
    <row r="74" spans="1:25" ht="15.75" customHeight="1">
      <c r="A74" s="808">
        <v>69</v>
      </c>
      <c r="B74" s="241" t="str">
        <f t="shared" ca="1" si="0"/>
        <v/>
      </c>
      <c r="C74" s="258"/>
      <c r="D74" s="63"/>
      <c r="E74" s="21"/>
      <c r="F74" s="253"/>
      <c r="G74" s="253"/>
      <c r="H74" s="253"/>
      <c r="I74" s="253"/>
      <c r="J74" s="253"/>
      <c r="K74" s="253"/>
      <c r="L74" s="253"/>
      <c r="M74" s="253"/>
      <c r="N74" s="253"/>
      <c r="O74" s="253"/>
      <c r="P74" s="253"/>
      <c r="Q74" s="253"/>
      <c r="R74" s="253"/>
      <c r="S74" s="253"/>
      <c r="T74" s="21"/>
      <c r="U74" s="253"/>
      <c r="V74" s="24" t="s">
        <v>2849</v>
      </c>
      <c r="W74" s="21"/>
      <c r="X74" s="21"/>
      <c r="Y74" s="828"/>
    </row>
    <row r="75" spans="1:25" ht="15.75" customHeight="1">
      <c r="A75" s="808">
        <v>70</v>
      </c>
      <c r="B75" s="241" t="str">
        <f t="shared" ca="1" si="0"/>
        <v/>
      </c>
      <c r="C75" s="801"/>
      <c r="D75" s="63"/>
      <c r="E75" s="21"/>
      <c r="F75" s="253"/>
      <c r="G75" s="253"/>
      <c r="H75" s="253"/>
      <c r="I75" s="253"/>
      <c r="J75" s="253"/>
      <c r="K75" s="253"/>
      <c r="L75" s="253"/>
      <c r="M75" s="253"/>
      <c r="N75" s="253"/>
      <c r="O75" s="253"/>
      <c r="P75" s="253"/>
      <c r="Q75" s="253"/>
      <c r="R75" s="253"/>
      <c r="S75" s="253"/>
      <c r="T75" s="21"/>
      <c r="U75" s="253"/>
      <c r="V75" s="24" t="s">
        <v>2849</v>
      </c>
      <c r="W75" s="21"/>
      <c r="X75" s="21"/>
      <c r="Y75" s="817"/>
    </row>
    <row r="76" spans="1:25" ht="15.75" customHeight="1">
      <c r="A76" s="800">
        <v>71</v>
      </c>
      <c r="B76" s="241" t="str">
        <f t="shared" ca="1" si="0"/>
        <v/>
      </c>
      <c r="C76" s="258"/>
      <c r="D76" s="63"/>
      <c r="E76" s="780"/>
      <c r="F76" s="253"/>
      <c r="G76" s="253"/>
      <c r="H76" s="253"/>
      <c r="I76" s="253"/>
      <c r="J76" s="253"/>
      <c r="K76" s="253"/>
      <c r="L76" s="253"/>
      <c r="M76" s="253"/>
      <c r="N76" s="253"/>
      <c r="O76" s="253"/>
      <c r="P76" s="253"/>
      <c r="Q76" s="253"/>
      <c r="R76" s="253"/>
      <c r="S76" s="253"/>
      <c r="T76" s="829"/>
      <c r="U76" s="253"/>
      <c r="V76" s="24" t="s">
        <v>2849</v>
      </c>
      <c r="W76" s="21"/>
      <c r="X76" s="21"/>
      <c r="Y76" s="828"/>
    </row>
    <row r="77" spans="1:25" ht="15.75" customHeight="1">
      <c r="A77" s="808">
        <v>72</v>
      </c>
      <c r="B77" s="241" t="str">
        <f t="shared" ca="1" si="0"/>
        <v/>
      </c>
      <c r="C77" s="254"/>
      <c r="D77" s="63"/>
      <c r="E77" s="21"/>
      <c r="F77" s="253"/>
      <c r="G77" s="253"/>
      <c r="H77" s="253"/>
      <c r="I77" s="253"/>
      <c r="J77" s="253"/>
      <c r="K77" s="253"/>
      <c r="L77" s="253"/>
      <c r="M77" s="253"/>
      <c r="N77" s="253"/>
      <c r="O77" s="253"/>
      <c r="P77" s="253"/>
      <c r="Q77" s="253"/>
      <c r="R77" s="253"/>
      <c r="S77" s="253"/>
      <c r="T77" s="21"/>
      <c r="U77" s="253"/>
      <c r="V77" s="24" t="s">
        <v>2849</v>
      </c>
      <c r="W77" s="21"/>
      <c r="X77" s="21"/>
      <c r="Y77" s="817"/>
    </row>
    <row r="78" spans="1:25" ht="15.75" customHeight="1">
      <c r="A78" s="800">
        <v>73</v>
      </c>
      <c r="B78" s="241" t="str">
        <f t="shared" ca="1" si="0"/>
        <v/>
      </c>
      <c r="C78" s="254"/>
      <c r="D78" s="63"/>
      <c r="E78" s="823"/>
      <c r="F78" s="822"/>
      <c r="G78" s="253"/>
      <c r="H78" s="253"/>
      <c r="I78" s="253"/>
      <c r="J78" s="253"/>
      <c r="K78" s="253"/>
      <c r="L78" s="253"/>
      <c r="M78" s="253"/>
      <c r="N78" s="253"/>
      <c r="O78" s="253"/>
      <c r="P78" s="253"/>
      <c r="Q78" s="253"/>
      <c r="R78" s="253"/>
      <c r="S78" s="253"/>
      <c r="T78" s="21"/>
      <c r="U78" s="253"/>
      <c r="V78" s="24" t="s">
        <v>2849</v>
      </c>
      <c r="W78" s="157"/>
      <c r="X78" s="157"/>
      <c r="Y78" s="830"/>
    </row>
    <row r="79" spans="1:25" ht="15.75" customHeight="1">
      <c r="A79" s="808">
        <v>74</v>
      </c>
      <c r="B79" s="241" t="str">
        <f t="shared" ca="1" si="0"/>
        <v/>
      </c>
      <c r="C79" s="254"/>
      <c r="D79" s="63"/>
      <c r="E79" s="21"/>
      <c r="F79" s="253"/>
      <c r="G79" s="253"/>
      <c r="H79" s="253"/>
      <c r="I79" s="253"/>
      <c r="J79" s="253"/>
      <c r="K79" s="253"/>
      <c r="L79" s="253"/>
      <c r="M79" s="253"/>
      <c r="N79" s="253"/>
      <c r="O79" s="253"/>
      <c r="P79" s="253"/>
      <c r="Q79" s="253"/>
      <c r="R79" s="253"/>
      <c r="S79" s="253"/>
      <c r="T79" s="21"/>
      <c r="U79" s="253"/>
      <c r="V79" s="24" t="s">
        <v>2849</v>
      </c>
      <c r="W79" s="21"/>
      <c r="X79" s="21"/>
      <c r="Y79" s="828"/>
    </row>
    <row r="80" spans="1:25" ht="15.75" customHeight="1">
      <c r="A80" s="808">
        <v>75</v>
      </c>
      <c r="B80" s="241" t="str">
        <f t="shared" ca="1" si="0"/>
        <v/>
      </c>
      <c r="C80" s="258"/>
      <c r="D80" s="63"/>
      <c r="E80" s="21"/>
      <c r="F80" s="253"/>
      <c r="G80" s="253"/>
      <c r="H80" s="253"/>
      <c r="I80" s="253"/>
      <c r="J80" s="253"/>
      <c r="K80" s="253"/>
      <c r="L80" s="253"/>
      <c r="M80" s="253"/>
      <c r="N80" s="253"/>
      <c r="O80" s="253"/>
      <c r="P80" s="253"/>
      <c r="Q80" s="253"/>
      <c r="R80" s="253"/>
      <c r="S80" s="253"/>
      <c r="T80" s="21"/>
      <c r="U80" s="253"/>
      <c r="V80" s="24" t="s">
        <v>2849</v>
      </c>
      <c r="W80" s="165"/>
      <c r="X80" s="165"/>
      <c r="Y80" s="830"/>
    </row>
    <row r="81" spans="1:25" ht="15.75" customHeight="1">
      <c r="A81" s="808">
        <v>76</v>
      </c>
      <c r="B81" s="241" t="str">
        <f t="shared" ca="1" si="0"/>
        <v/>
      </c>
      <c r="C81" s="254"/>
      <c r="D81" s="63"/>
      <c r="E81" s="165"/>
      <c r="F81" s="831"/>
      <c r="G81" s="831"/>
      <c r="H81" s="831"/>
      <c r="I81" s="831"/>
      <c r="J81" s="831"/>
      <c r="K81" s="831"/>
      <c r="L81" s="831"/>
      <c r="M81" s="831"/>
      <c r="N81" s="831"/>
      <c r="O81" s="831"/>
      <c r="P81" s="831"/>
      <c r="Q81" s="831"/>
      <c r="R81" s="253"/>
      <c r="S81" s="831"/>
      <c r="T81" s="165"/>
      <c r="U81" s="831"/>
      <c r="V81" s="24" t="s">
        <v>2849</v>
      </c>
      <c r="W81" s="165"/>
      <c r="X81" s="157"/>
      <c r="Y81" s="830"/>
    </row>
    <row r="82" spans="1:25" ht="15.75" customHeight="1">
      <c r="A82" s="808">
        <v>77</v>
      </c>
      <c r="B82" s="241" t="str">
        <f t="shared" ca="1" si="0"/>
        <v/>
      </c>
      <c r="C82" s="824"/>
      <c r="D82" s="63"/>
      <c r="E82" s="165"/>
      <c r="F82" s="831"/>
      <c r="G82" s="831"/>
      <c r="H82" s="831"/>
      <c r="I82" s="831"/>
      <c r="J82" s="831"/>
      <c r="K82" s="831"/>
      <c r="L82" s="831"/>
      <c r="M82" s="831"/>
      <c r="N82" s="831"/>
      <c r="O82" s="831"/>
      <c r="P82" s="831"/>
      <c r="Q82" s="831"/>
      <c r="R82" s="253"/>
      <c r="S82" s="831"/>
      <c r="T82" s="165"/>
      <c r="U82" s="831"/>
      <c r="V82" s="24" t="s">
        <v>2849</v>
      </c>
      <c r="W82" s="165"/>
      <c r="X82" s="165"/>
      <c r="Y82" s="830"/>
    </row>
    <row r="83" spans="1:25" ht="15.75" customHeight="1">
      <c r="A83" s="808">
        <v>78</v>
      </c>
      <c r="B83" s="241" t="str">
        <f t="shared" ca="1" si="0"/>
        <v/>
      </c>
      <c r="C83" s="824"/>
      <c r="D83" s="63"/>
      <c r="E83" s="165"/>
      <c r="F83" s="831"/>
      <c r="G83" s="831"/>
      <c r="H83" s="831"/>
      <c r="I83" s="831"/>
      <c r="J83" s="831"/>
      <c r="K83" s="831"/>
      <c r="L83" s="831"/>
      <c r="M83" s="831"/>
      <c r="N83" s="831"/>
      <c r="O83" s="831"/>
      <c r="P83" s="831"/>
      <c r="Q83" s="831"/>
      <c r="R83" s="253"/>
      <c r="S83" s="831"/>
      <c r="T83" s="165"/>
      <c r="U83" s="831"/>
      <c r="V83" s="24" t="s">
        <v>2849</v>
      </c>
      <c r="W83" s="165"/>
      <c r="X83" s="165"/>
      <c r="Y83" s="830"/>
    </row>
    <row r="84" spans="1:25" ht="15.75" customHeight="1">
      <c r="A84" s="808">
        <v>79</v>
      </c>
      <c r="B84" s="241" t="str">
        <f t="shared" ca="1" si="0"/>
        <v/>
      </c>
      <c r="C84" s="258"/>
      <c r="D84" s="63"/>
      <c r="E84" s="165"/>
      <c r="F84" s="831"/>
      <c r="G84" s="831"/>
      <c r="H84" s="831"/>
      <c r="I84" s="831"/>
      <c r="J84" s="831"/>
      <c r="K84" s="831"/>
      <c r="L84" s="831"/>
      <c r="M84" s="831"/>
      <c r="N84" s="831"/>
      <c r="O84" s="831"/>
      <c r="P84" s="831"/>
      <c r="Q84" s="831"/>
      <c r="R84" s="253"/>
      <c r="S84" s="831"/>
      <c r="T84" s="165"/>
      <c r="U84" s="831"/>
      <c r="V84" s="24" t="s">
        <v>2849</v>
      </c>
      <c r="W84" s="165"/>
      <c r="X84" s="165"/>
      <c r="Y84" s="817"/>
    </row>
    <row r="85" spans="1:25" ht="15.75" customHeight="1">
      <c r="A85" s="808">
        <v>80</v>
      </c>
      <c r="B85" s="241" t="str">
        <f t="shared" ca="1" si="0"/>
        <v/>
      </c>
      <c r="C85" s="258"/>
      <c r="D85" s="63"/>
      <c r="E85" s="21"/>
      <c r="F85" s="253"/>
      <c r="G85" s="253"/>
      <c r="H85" s="253"/>
      <c r="I85" s="253"/>
      <c r="J85" s="253"/>
      <c r="K85" s="253"/>
      <c r="L85" s="253"/>
      <c r="M85" s="253"/>
      <c r="N85" s="253"/>
      <c r="O85" s="253"/>
      <c r="P85" s="253"/>
      <c r="Q85" s="253"/>
      <c r="R85" s="253"/>
      <c r="S85" s="253"/>
      <c r="T85" s="21"/>
      <c r="U85" s="253"/>
      <c r="V85" s="24" t="s">
        <v>2849</v>
      </c>
      <c r="W85" s="21"/>
      <c r="X85" s="21"/>
      <c r="Y85" s="828"/>
    </row>
    <row r="86" spans="1:25" ht="15.75" customHeight="1">
      <c r="A86" s="800">
        <v>81</v>
      </c>
      <c r="B86" s="241" t="str">
        <f t="shared" ca="1" si="0"/>
        <v/>
      </c>
      <c r="C86" s="258"/>
      <c r="D86" s="63"/>
      <c r="E86" s="21"/>
      <c r="F86" s="253"/>
      <c r="G86" s="253"/>
      <c r="H86" s="253"/>
      <c r="I86" s="253"/>
      <c r="J86" s="253"/>
      <c r="K86" s="253"/>
      <c r="L86" s="253"/>
      <c r="M86" s="253"/>
      <c r="N86" s="253"/>
      <c r="O86" s="253"/>
      <c r="P86" s="253"/>
      <c r="Q86" s="253"/>
      <c r="R86" s="253"/>
      <c r="S86" s="253"/>
      <c r="T86" s="21"/>
      <c r="U86" s="253"/>
      <c r="V86" s="24" t="s">
        <v>2849</v>
      </c>
      <c r="W86" s="780"/>
      <c r="X86" s="780"/>
      <c r="Y86" s="817"/>
    </row>
    <row r="87" spans="1:25" ht="15.75" customHeight="1">
      <c r="A87" s="808">
        <v>82</v>
      </c>
      <c r="B87" s="241" t="str">
        <f t="shared" ca="1" si="0"/>
        <v/>
      </c>
      <c r="C87" s="258"/>
      <c r="D87" s="63"/>
      <c r="E87" s="21"/>
      <c r="F87" s="253"/>
      <c r="G87" s="253"/>
      <c r="H87" s="253"/>
      <c r="I87" s="253"/>
      <c r="J87" s="253"/>
      <c r="K87" s="253"/>
      <c r="L87" s="253"/>
      <c r="M87" s="253"/>
      <c r="N87" s="253"/>
      <c r="O87" s="253"/>
      <c r="P87" s="253"/>
      <c r="Q87" s="253"/>
      <c r="R87" s="253"/>
      <c r="S87" s="253"/>
      <c r="T87" s="21"/>
      <c r="U87" s="253"/>
      <c r="V87" s="24" t="s">
        <v>2849</v>
      </c>
      <c r="W87" s="780"/>
      <c r="X87" s="780"/>
      <c r="Y87" s="817"/>
    </row>
    <row r="88" spans="1:25" ht="15.75" customHeight="1">
      <c r="A88" s="808">
        <v>83</v>
      </c>
      <c r="B88" s="241" t="str">
        <f t="shared" ca="1" si="0"/>
        <v/>
      </c>
      <c r="C88" s="258"/>
      <c r="D88" s="63"/>
      <c r="E88" s="58"/>
      <c r="F88" s="404"/>
      <c r="G88" s="253"/>
      <c r="H88" s="253"/>
      <c r="I88" s="253"/>
      <c r="J88" s="253"/>
      <c r="K88" s="253"/>
      <c r="L88" s="253"/>
      <c r="M88" s="253"/>
      <c r="N88" s="253"/>
      <c r="O88" s="253"/>
      <c r="P88" s="253"/>
      <c r="Q88" s="253"/>
      <c r="R88" s="253"/>
      <c r="S88" s="253"/>
      <c r="T88" s="21"/>
      <c r="U88" s="253"/>
      <c r="V88" s="24" t="s">
        <v>2849</v>
      </c>
      <c r="W88" s="780"/>
      <c r="X88" s="780"/>
      <c r="Y88" s="817"/>
    </row>
    <row r="89" spans="1:25" ht="15.75" customHeight="1">
      <c r="A89" s="808">
        <v>84</v>
      </c>
      <c r="B89" s="241" t="str">
        <f t="shared" ca="1" si="0"/>
        <v/>
      </c>
      <c r="C89" s="258"/>
      <c r="D89" s="63"/>
      <c r="E89" s="21"/>
      <c r="F89" s="253"/>
      <c r="G89" s="253"/>
      <c r="H89" s="253"/>
      <c r="I89" s="253"/>
      <c r="J89" s="253"/>
      <c r="K89" s="253"/>
      <c r="L89" s="253"/>
      <c r="M89" s="253"/>
      <c r="N89" s="253"/>
      <c r="O89" s="253"/>
      <c r="P89" s="253"/>
      <c r="Q89" s="253"/>
      <c r="R89" s="253"/>
      <c r="S89" s="253"/>
      <c r="T89" s="21"/>
      <c r="U89" s="253"/>
      <c r="V89" s="24" t="s">
        <v>2849</v>
      </c>
      <c r="W89" s="780"/>
      <c r="X89" s="780"/>
      <c r="Y89" s="817"/>
    </row>
    <row r="90" spans="1:25" ht="15.75" customHeight="1">
      <c r="A90" s="808">
        <v>85</v>
      </c>
      <c r="B90" s="241" t="str">
        <f t="shared" ca="1" si="0"/>
        <v/>
      </c>
      <c r="C90" s="258"/>
      <c r="D90" s="63"/>
      <c r="E90" s="21"/>
      <c r="F90" s="253"/>
      <c r="G90" s="253"/>
      <c r="H90" s="253"/>
      <c r="I90" s="253"/>
      <c r="J90" s="253"/>
      <c r="K90" s="253"/>
      <c r="L90" s="253"/>
      <c r="M90" s="253"/>
      <c r="N90" s="253"/>
      <c r="O90" s="253"/>
      <c r="P90" s="253"/>
      <c r="Q90" s="253"/>
      <c r="R90" s="253"/>
      <c r="S90" s="253"/>
      <c r="T90" s="21"/>
      <c r="U90" s="253"/>
      <c r="V90" s="24" t="s">
        <v>2849</v>
      </c>
      <c r="W90" s="832"/>
      <c r="X90" s="780"/>
      <c r="Y90" s="817"/>
    </row>
    <row r="91" spans="1:25" ht="15.75" customHeight="1">
      <c r="A91" s="808">
        <v>86</v>
      </c>
      <c r="B91" s="241" t="str">
        <f t="shared" ca="1" si="0"/>
        <v/>
      </c>
      <c r="C91" s="258"/>
      <c r="D91" s="63"/>
      <c r="E91" s="21"/>
      <c r="F91" s="253"/>
      <c r="G91" s="253"/>
      <c r="H91" s="253"/>
      <c r="I91" s="253"/>
      <c r="J91" s="253"/>
      <c r="K91" s="253"/>
      <c r="L91" s="253"/>
      <c r="M91" s="253"/>
      <c r="N91" s="253"/>
      <c r="O91" s="253"/>
      <c r="P91" s="253"/>
      <c r="Q91" s="253"/>
      <c r="R91" s="253"/>
      <c r="S91" s="253"/>
      <c r="T91" s="21"/>
      <c r="U91" s="253"/>
      <c r="V91" s="24" t="s">
        <v>2849</v>
      </c>
      <c r="W91" s="780"/>
      <c r="X91" s="780"/>
      <c r="Y91" s="817"/>
    </row>
    <row r="92" spans="1:25" ht="15.75" customHeight="1">
      <c r="A92" s="808">
        <v>87</v>
      </c>
      <c r="B92" s="241" t="str">
        <f t="shared" ca="1" si="0"/>
        <v/>
      </c>
      <c r="C92" s="258"/>
      <c r="D92" s="63"/>
      <c r="E92" s="21"/>
      <c r="F92" s="253"/>
      <c r="G92" s="253"/>
      <c r="H92" s="253"/>
      <c r="I92" s="253"/>
      <c r="J92" s="253"/>
      <c r="K92" s="253"/>
      <c r="L92" s="253"/>
      <c r="M92" s="253"/>
      <c r="N92" s="253"/>
      <c r="O92" s="253"/>
      <c r="P92" s="253"/>
      <c r="Q92" s="253"/>
      <c r="R92" s="253"/>
      <c r="S92" s="253"/>
      <c r="T92" s="21"/>
      <c r="U92" s="253"/>
      <c r="V92" s="24" t="s">
        <v>2849</v>
      </c>
      <c r="W92" s="52"/>
      <c r="X92" s="52"/>
      <c r="Y92" s="817"/>
    </row>
    <row r="93" spans="1:25" ht="15.75" customHeight="1">
      <c r="A93" s="808">
        <v>88</v>
      </c>
      <c r="B93" s="241" t="str">
        <f t="shared" ca="1" si="0"/>
        <v/>
      </c>
      <c r="C93" s="258"/>
      <c r="D93" s="63"/>
      <c r="E93" s="21"/>
      <c r="F93" s="253"/>
      <c r="G93" s="253"/>
      <c r="H93" s="253"/>
      <c r="I93" s="253"/>
      <c r="J93" s="253"/>
      <c r="K93" s="253"/>
      <c r="L93" s="253"/>
      <c r="M93" s="253"/>
      <c r="N93" s="253"/>
      <c r="O93" s="253"/>
      <c r="P93" s="253"/>
      <c r="Q93" s="253"/>
      <c r="R93" s="253"/>
      <c r="S93" s="253"/>
      <c r="T93" s="21"/>
      <c r="U93" s="253"/>
      <c r="V93" s="24" t="s">
        <v>2849</v>
      </c>
      <c r="W93" s="52"/>
      <c r="X93" s="52"/>
      <c r="Y93" s="833"/>
    </row>
    <row r="94" spans="1:25" ht="15.75" customHeight="1">
      <c r="A94" s="800">
        <v>89</v>
      </c>
      <c r="B94" s="241" t="str">
        <f t="shared" ca="1" si="0"/>
        <v/>
      </c>
      <c r="C94" s="258"/>
      <c r="D94" s="63"/>
      <c r="E94" s="21"/>
      <c r="F94" s="253"/>
      <c r="G94" s="253"/>
      <c r="H94" s="253"/>
      <c r="I94" s="253"/>
      <c r="J94" s="253"/>
      <c r="K94" s="253"/>
      <c r="L94" s="253"/>
      <c r="M94" s="253"/>
      <c r="N94" s="253"/>
      <c r="O94" s="253"/>
      <c r="P94" s="253"/>
      <c r="Q94" s="253"/>
      <c r="R94" s="253"/>
      <c r="S94" s="253"/>
      <c r="T94" s="21"/>
      <c r="U94" s="253"/>
      <c r="V94" s="24" t="s">
        <v>2849</v>
      </c>
      <c r="W94" s="52"/>
      <c r="X94" s="52"/>
      <c r="Y94" s="833"/>
    </row>
    <row r="95" spans="1:25" ht="15.75" customHeight="1">
      <c r="A95" s="808">
        <v>90</v>
      </c>
      <c r="B95" s="241" t="str">
        <f t="shared" ca="1" si="0"/>
        <v/>
      </c>
      <c r="C95" s="258"/>
      <c r="D95" s="63"/>
      <c r="E95" s="21"/>
      <c r="F95" s="253"/>
      <c r="G95" s="253"/>
      <c r="H95" s="253"/>
      <c r="I95" s="253"/>
      <c r="J95" s="253"/>
      <c r="K95" s="253"/>
      <c r="L95" s="253"/>
      <c r="M95" s="253"/>
      <c r="N95" s="253"/>
      <c r="O95" s="253"/>
      <c r="P95" s="253"/>
      <c r="Q95" s="253"/>
      <c r="R95" s="253"/>
      <c r="S95" s="253"/>
      <c r="T95" s="165"/>
      <c r="U95" s="253"/>
      <c r="V95" s="24" t="s">
        <v>2849</v>
      </c>
      <c r="W95" s="52"/>
      <c r="X95" s="52"/>
      <c r="Y95" s="817"/>
    </row>
    <row r="96" spans="1:25" ht="15.75" customHeight="1">
      <c r="A96" s="800">
        <v>91</v>
      </c>
      <c r="B96" s="241" t="str">
        <f t="shared" ca="1" si="0"/>
        <v/>
      </c>
      <c r="C96" s="258"/>
      <c r="D96" s="63"/>
      <c r="E96" s="21"/>
      <c r="F96" s="253"/>
      <c r="G96" s="253"/>
      <c r="H96" s="253"/>
      <c r="I96" s="253"/>
      <c r="J96" s="253"/>
      <c r="K96" s="253"/>
      <c r="L96" s="253"/>
      <c r="M96" s="253"/>
      <c r="N96" s="253"/>
      <c r="O96" s="253"/>
      <c r="P96" s="253"/>
      <c r="Q96" s="253"/>
      <c r="R96" s="253"/>
      <c r="S96" s="253"/>
      <c r="T96" s="165"/>
      <c r="U96" s="253"/>
      <c r="V96" s="24" t="s">
        <v>2849</v>
      </c>
      <c r="W96" s="832"/>
      <c r="X96" s="52"/>
      <c r="Y96" s="817"/>
    </row>
    <row r="97" spans="1:25" ht="15.75" customHeight="1">
      <c r="A97" s="808">
        <v>92</v>
      </c>
      <c r="B97" s="241" t="str">
        <f t="shared" ca="1" si="0"/>
        <v/>
      </c>
      <c r="C97" s="258"/>
      <c r="D97" s="63"/>
      <c r="E97" s="834"/>
      <c r="F97" s="253"/>
      <c r="G97" s="253"/>
      <c r="H97" s="253"/>
      <c r="I97" s="253"/>
      <c r="J97" s="253"/>
      <c r="K97" s="253"/>
      <c r="L97" s="253"/>
      <c r="M97" s="253"/>
      <c r="N97" s="253"/>
      <c r="O97" s="253"/>
      <c r="P97" s="253"/>
      <c r="Q97" s="253"/>
      <c r="R97" s="253"/>
      <c r="S97" s="253"/>
      <c r="T97" s="780"/>
      <c r="U97" s="253"/>
      <c r="V97" s="24" t="s">
        <v>2849</v>
      </c>
      <c r="W97" s="780"/>
      <c r="X97" s="52"/>
      <c r="Y97" s="833"/>
    </row>
    <row r="98" spans="1:25" ht="15.75" customHeight="1">
      <c r="A98" s="808">
        <v>93</v>
      </c>
      <c r="B98" s="241" t="str">
        <f t="shared" ca="1" si="0"/>
        <v/>
      </c>
      <c r="C98" s="818"/>
      <c r="D98" s="63"/>
      <c r="E98" s="780"/>
      <c r="F98" s="253"/>
      <c r="G98" s="253"/>
      <c r="H98" s="253"/>
      <c r="I98" s="253"/>
      <c r="J98" s="253"/>
      <c r="K98" s="253"/>
      <c r="L98" s="253"/>
      <c r="M98" s="253"/>
      <c r="N98" s="253"/>
      <c r="O98" s="253"/>
      <c r="P98" s="253"/>
      <c r="Q98" s="253"/>
      <c r="R98" s="253"/>
      <c r="S98" s="253"/>
      <c r="T98" s="780"/>
      <c r="U98" s="253"/>
      <c r="V98" s="24" t="s">
        <v>2849</v>
      </c>
      <c r="W98" s="780"/>
      <c r="X98" s="52"/>
      <c r="Y98" s="817"/>
    </row>
    <row r="99" spans="1:25" ht="15.75" customHeight="1">
      <c r="A99" s="808">
        <v>94</v>
      </c>
      <c r="B99" s="241" t="str">
        <f t="shared" ca="1" si="0"/>
        <v/>
      </c>
      <c r="C99" s="258"/>
      <c r="D99" s="63"/>
      <c r="E99" s="780"/>
      <c r="F99" s="253"/>
      <c r="G99" s="253"/>
      <c r="H99" s="253"/>
      <c r="I99" s="253"/>
      <c r="J99" s="253"/>
      <c r="K99" s="253"/>
      <c r="L99" s="253"/>
      <c r="M99" s="253"/>
      <c r="N99" s="253"/>
      <c r="O99" s="253"/>
      <c r="P99" s="253"/>
      <c r="Q99" s="253"/>
      <c r="R99" s="253"/>
      <c r="S99" s="253"/>
      <c r="T99" s="835"/>
      <c r="U99" s="253"/>
      <c r="V99" s="24" t="s">
        <v>2849</v>
      </c>
      <c r="W99" s="832"/>
      <c r="X99" s="52"/>
      <c r="Y99" s="817"/>
    </row>
    <row r="100" spans="1:25" ht="15.75" customHeight="1">
      <c r="A100" s="808">
        <v>95</v>
      </c>
      <c r="B100" s="241" t="str">
        <f t="shared" ca="1" si="0"/>
        <v/>
      </c>
      <c r="C100" s="258"/>
      <c r="D100" s="63"/>
      <c r="E100" s="780"/>
      <c r="F100" s="253"/>
      <c r="G100" s="253"/>
      <c r="H100" s="253"/>
      <c r="I100" s="253"/>
      <c r="J100" s="253"/>
      <c r="K100" s="253"/>
      <c r="L100" s="253"/>
      <c r="M100" s="253"/>
      <c r="N100" s="253"/>
      <c r="O100" s="253"/>
      <c r="P100" s="253"/>
      <c r="Q100" s="253"/>
      <c r="R100" s="253"/>
      <c r="S100" s="253"/>
      <c r="T100" s="780"/>
      <c r="U100" s="253"/>
      <c r="V100" s="24" t="s">
        <v>2849</v>
      </c>
      <c r="W100" s="780"/>
      <c r="X100" s="52"/>
      <c r="Y100" s="817"/>
    </row>
    <row r="101" spans="1:25" ht="15.75" customHeight="1">
      <c r="A101" s="808">
        <v>96</v>
      </c>
      <c r="B101" s="241" t="str">
        <f t="shared" ca="1" si="0"/>
        <v/>
      </c>
      <c r="C101" s="258"/>
      <c r="D101" s="63"/>
      <c r="E101" s="780"/>
      <c r="F101" s="253"/>
      <c r="G101" s="253"/>
      <c r="H101" s="253"/>
      <c r="I101" s="253"/>
      <c r="J101" s="253"/>
      <c r="K101" s="253"/>
      <c r="L101" s="253"/>
      <c r="M101" s="253"/>
      <c r="N101" s="253"/>
      <c r="O101" s="253"/>
      <c r="P101" s="253"/>
      <c r="Q101" s="253"/>
      <c r="R101" s="253"/>
      <c r="S101" s="253"/>
      <c r="T101" s="780"/>
      <c r="U101" s="253"/>
      <c r="V101" s="24" t="s">
        <v>2849</v>
      </c>
      <c r="W101" s="780"/>
      <c r="X101" s="52"/>
      <c r="Y101" s="833"/>
    </row>
    <row r="102" spans="1:25" ht="15.75" customHeight="1">
      <c r="A102" s="808">
        <v>97</v>
      </c>
      <c r="B102" s="241" t="str">
        <f t="shared" ca="1" si="0"/>
        <v/>
      </c>
      <c r="C102" s="836"/>
      <c r="D102" s="63"/>
      <c r="E102" s="780"/>
      <c r="F102" s="253"/>
      <c r="G102" s="253"/>
      <c r="H102" s="253"/>
      <c r="I102" s="253"/>
      <c r="J102" s="253"/>
      <c r="K102" s="253"/>
      <c r="L102" s="253"/>
      <c r="M102" s="253"/>
      <c r="N102" s="253"/>
      <c r="O102" s="253"/>
      <c r="P102" s="253"/>
      <c r="Q102" s="253"/>
      <c r="R102" s="253"/>
      <c r="S102" s="253"/>
      <c r="T102" s="780"/>
      <c r="U102" s="253"/>
      <c r="V102" s="24" t="s">
        <v>2849</v>
      </c>
      <c r="W102" s="780"/>
      <c r="X102" s="780"/>
      <c r="Y102" s="833"/>
    </row>
    <row r="103" spans="1:25" ht="15.75" customHeight="1">
      <c r="A103" s="808">
        <v>98</v>
      </c>
      <c r="B103" s="241" t="str">
        <f t="shared" ca="1" si="0"/>
        <v/>
      </c>
      <c r="C103" s="836"/>
      <c r="D103" s="63"/>
      <c r="E103" s="21"/>
      <c r="F103" s="253"/>
      <c r="G103" s="253"/>
      <c r="H103" s="253"/>
      <c r="I103" s="253"/>
      <c r="J103" s="253"/>
      <c r="K103" s="253"/>
      <c r="L103" s="253"/>
      <c r="M103" s="253"/>
      <c r="N103" s="253"/>
      <c r="O103" s="253"/>
      <c r="P103" s="253"/>
      <c r="Q103" s="253"/>
      <c r="R103" s="253"/>
      <c r="S103" s="253"/>
      <c r="T103" s="837"/>
      <c r="U103" s="253"/>
      <c r="V103" s="24" t="s">
        <v>2849</v>
      </c>
      <c r="W103" s="780"/>
      <c r="X103" s="52"/>
      <c r="Y103" s="833"/>
    </row>
    <row r="104" spans="1:25" ht="15.75" customHeight="1">
      <c r="A104" s="800">
        <v>99</v>
      </c>
      <c r="B104" s="241" t="str">
        <f t="shared" ca="1" si="0"/>
        <v/>
      </c>
      <c r="C104" s="836"/>
      <c r="D104" s="63"/>
      <c r="E104" s="21"/>
      <c r="F104" s="253"/>
      <c r="G104" s="253"/>
      <c r="H104" s="253"/>
      <c r="I104" s="253"/>
      <c r="J104" s="253"/>
      <c r="K104" s="253"/>
      <c r="L104" s="253"/>
      <c r="M104" s="253"/>
      <c r="N104" s="253"/>
      <c r="O104" s="253"/>
      <c r="P104" s="253"/>
      <c r="Q104" s="253"/>
      <c r="R104" s="253"/>
      <c r="S104" s="253"/>
      <c r="T104" s="52"/>
      <c r="U104" s="253"/>
      <c r="V104" s="24" t="s">
        <v>2849</v>
      </c>
      <c r="W104" s="780"/>
      <c r="X104" s="52"/>
      <c r="Y104" s="833"/>
    </row>
    <row r="105" spans="1:25" ht="15.75" customHeight="1">
      <c r="A105" s="808">
        <v>100</v>
      </c>
      <c r="B105" s="241" t="str">
        <f t="shared" ca="1" si="0"/>
        <v/>
      </c>
      <c r="C105" s="836"/>
      <c r="D105" s="63"/>
      <c r="E105" s="838"/>
      <c r="F105" s="253"/>
      <c r="G105" s="253"/>
      <c r="H105" s="253"/>
      <c r="I105" s="253"/>
      <c r="J105" s="253"/>
      <c r="K105" s="253"/>
      <c r="L105" s="253"/>
      <c r="M105" s="253"/>
      <c r="N105" s="253"/>
      <c r="O105" s="253"/>
      <c r="P105" s="253"/>
      <c r="Q105" s="253"/>
      <c r="R105" s="253"/>
      <c r="S105" s="253"/>
      <c r="T105" s="52"/>
      <c r="U105" s="253"/>
      <c r="V105" s="24" t="s">
        <v>2849</v>
      </c>
      <c r="W105" s="780"/>
      <c r="X105" s="52"/>
      <c r="Y105" s="833"/>
    </row>
    <row r="106" spans="1:25" ht="15.75" customHeight="1">
      <c r="A106" s="808">
        <v>101</v>
      </c>
      <c r="B106" s="241" t="str">
        <f t="shared" ca="1" si="0"/>
        <v/>
      </c>
      <c r="C106" s="258"/>
      <c r="D106" s="63"/>
      <c r="E106" s="780"/>
      <c r="F106" s="253"/>
      <c r="G106" s="253"/>
      <c r="H106" s="253"/>
      <c r="I106" s="253"/>
      <c r="J106" s="253"/>
      <c r="K106" s="253"/>
      <c r="L106" s="253"/>
      <c r="M106" s="253"/>
      <c r="N106" s="253"/>
      <c r="O106" s="253"/>
      <c r="P106" s="253"/>
      <c r="Q106" s="253"/>
      <c r="R106" s="253"/>
      <c r="S106" s="253"/>
      <c r="T106" s="52"/>
      <c r="U106" s="253"/>
      <c r="V106" s="24" t="s">
        <v>2849</v>
      </c>
      <c r="W106" s="780"/>
      <c r="X106" s="52"/>
      <c r="Y106" s="833"/>
    </row>
    <row r="107" spans="1:25" ht="15.75" customHeight="1">
      <c r="A107" s="808">
        <v>102</v>
      </c>
      <c r="B107" s="241" t="str">
        <f t="shared" ca="1" si="0"/>
        <v/>
      </c>
      <c r="C107" s="818"/>
      <c r="D107" s="63"/>
      <c r="E107" s="834"/>
      <c r="F107" s="253"/>
      <c r="G107" s="253"/>
      <c r="H107" s="253"/>
      <c r="I107" s="253"/>
      <c r="J107" s="253"/>
      <c r="K107" s="253"/>
      <c r="L107" s="253"/>
      <c r="M107" s="253"/>
      <c r="N107" s="253"/>
      <c r="O107" s="253"/>
      <c r="P107" s="253"/>
      <c r="Q107" s="253"/>
      <c r="R107" s="253"/>
      <c r="S107" s="253"/>
      <c r="T107" s="837"/>
      <c r="U107" s="253"/>
      <c r="V107" s="24" t="s">
        <v>2849</v>
      </c>
      <c r="W107" s="52"/>
      <c r="X107" s="52"/>
      <c r="Y107" s="817"/>
    </row>
    <row r="108" spans="1:25" ht="15.75" customHeight="1">
      <c r="A108" s="808">
        <v>103</v>
      </c>
      <c r="B108" s="241" t="str">
        <f t="shared" ca="1" si="0"/>
        <v/>
      </c>
      <c r="C108" s="818"/>
      <c r="D108" s="63"/>
      <c r="E108" s="780"/>
      <c r="F108" s="253"/>
      <c r="G108" s="253"/>
      <c r="H108" s="253"/>
      <c r="I108" s="253"/>
      <c r="J108" s="253"/>
      <c r="K108" s="253"/>
      <c r="L108" s="253"/>
      <c r="M108" s="253"/>
      <c r="N108" s="253"/>
      <c r="O108" s="253"/>
      <c r="P108" s="253"/>
      <c r="Q108" s="253"/>
      <c r="R108" s="253"/>
      <c r="S108" s="253"/>
      <c r="T108" s="837"/>
      <c r="U108" s="253"/>
      <c r="V108" s="24" t="s">
        <v>2849</v>
      </c>
      <c r="W108" s="52"/>
      <c r="X108" s="52"/>
      <c r="Y108" s="817"/>
    </row>
    <row r="109" spans="1:25" ht="15.75" customHeight="1">
      <c r="A109" s="808">
        <v>104</v>
      </c>
      <c r="B109" s="241" t="str">
        <f t="shared" ca="1" si="0"/>
        <v/>
      </c>
      <c r="C109" s="839"/>
      <c r="D109" s="63"/>
      <c r="E109" s="780"/>
      <c r="F109" s="253"/>
      <c r="G109" s="253"/>
      <c r="H109" s="253"/>
      <c r="I109" s="253"/>
      <c r="J109" s="253"/>
      <c r="K109" s="253"/>
      <c r="L109" s="253"/>
      <c r="M109" s="253"/>
      <c r="N109" s="253"/>
      <c r="O109" s="253"/>
      <c r="P109" s="253"/>
      <c r="Q109" s="21"/>
      <c r="R109" s="253"/>
      <c r="S109" s="253"/>
      <c r="T109" s="835"/>
      <c r="U109" s="253"/>
      <c r="V109" s="24" t="s">
        <v>2849</v>
      </c>
      <c r="W109" s="52"/>
      <c r="X109" s="52"/>
      <c r="Y109" s="817"/>
    </row>
    <row r="110" spans="1:25" ht="15.75" customHeight="1">
      <c r="A110" s="808">
        <v>105</v>
      </c>
      <c r="B110" s="241" t="str">
        <f t="shared" ca="1" si="0"/>
        <v/>
      </c>
      <c r="C110" s="839"/>
      <c r="D110" s="63"/>
      <c r="E110" s="780"/>
      <c r="F110" s="253"/>
      <c r="G110" s="253"/>
      <c r="H110" s="253"/>
      <c r="I110" s="253"/>
      <c r="J110" s="253"/>
      <c r="K110" s="253"/>
      <c r="L110" s="253"/>
      <c r="M110" s="253"/>
      <c r="N110" s="253"/>
      <c r="O110" s="253"/>
      <c r="P110" s="253"/>
      <c r="Q110" s="21"/>
      <c r="R110" s="253"/>
      <c r="S110" s="253"/>
      <c r="T110" s="52"/>
      <c r="U110" s="253"/>
      <c r="V110" s="24" t="s">
        <v>2849</v>
      </c>
      <c r="W110" s="52"/>
      <c r="X110" s="52"/>
      <c r="Y110" s="817"/>
    </row>
    <row r="111" spans="1:25" ht="15.75" customHeight="1">
      <c r="A111" s="808">
        <v>106</v>
      </c>
      <c r="B111" s="241" t="str">
        <f t="shared" ca="1" si="0"/>
        <v/>
      </c>
      <c r="C111" s="258"/>
      <c r="D111" s="63"/>
      <c r="E111" s="834"/>
      <c r="F111" s="253"/>
      <c r="G111" s="253"/>
      <c r="H111" s="253"/>
      <c r="I111" s="253"/>
      <c r="J111" s="253"/>
      <c r="K111" s="253"/>
      <c r="L111" s="253"/>
      <c r="M111" s="253"/>
      <c r="N111" s="253"/>
      <c r="O111" s="253"/>
      <c r="P111" s="253"/>
      <c r="Q111" s="21"/>
      <c r="R111" s="253"/>
      <c r="S111" s="253"/>
      <c r="T111" s="840"/>
      <c r="U111" s="253"/>
      <c r="V111" s="24" t="s">
        <v>2849</v>
      </c>
      <c r="W111" s="52"/>
      <c r="X111" s="823"/>
      <c r="Y111" s="833"/>
    </row>
    <row r="112" spans="1:25" ht="15.75" customHeight="1">
      <c r="A112" s="800">
        <v>107</v>
      </c>
      <c r="B112" s="241" t="str">
        <f t="shared" ca="1" si="0"/>
        <v/>
      </c>
      <c r="C112" s="258"/>
      <c r="D112" s="63"/>
      <c r="E112" s="58"/>
      <c r="F112" s="253"/>
      <c r="G112" s="253"/>
      <c r="H112" s="253"/>
      <c r="I112" s="253"/>
      <c r="J112" s="253"/>
      <c r="K112" s="253"/>
      <c r="L112" s="253"/>
      <c r="M112" s="253"/>
      <c r="N112" s="253"/>
      <c r="O112" s="253"/>
      <c r="P112" s="253"/>
      <c r="Q112" s="21"/>
      <c r="R112" s="253"/>
      <c r="S112" s="253"/>
      <c r="T112" s="21"/>
      <c r="U112" s="253"/>
      <c r="V112" s="24" t="s">
        <v>2849</v>
      </c>
      <c r="W112" s="52"/>
      <c r="X112" s="52"/>
      <c r="Y112" s="833"/>
    </row>
    <row r="113" spans="1:25" ht="15.75" customHeight="1">
      <c r="A113" s="808">
        <v>108</v>
      </c>
      <c r="B113" s="241" t="str">
        <f t="shared" ca="1" si="0"/>
        <v/>
      </c>
      <c r="C113" s="818"/>
      <c r="D113" s="63"/>
      <c r="E113" s="780"/>
      <c r="F113" s="253"/>
      <c r="G113" s="253"/>
      <c r="H113" s="253"/>
      <c r="I113" s="253"/>
      <c r="J113" s="253"/>
      <c r="K113" s="253"/>
      <c r="L113" s="253"/>
      <c r="M113" s="253"/>
      <c r="N113" s="253"/>
      <c r="O113" s="253"/>
      <c r="P113" s="253"/>
      <c r="Q113" s="21"/>
      <c r="R113" s="253"/>
      <c r="S113" s="253"/>
      <c r="T113" s="21"/>
      <c r="U113" s="253"/>
      <c r="V113" s="24" t="s">
        <v>2849</v>
      </c>
      <c r="W113" s="52"/>
      <c r="X113" s="52"/>
      <c r="Y113" s="817"/>
    </row>
    <row r="114" spans="1:25" ht="15.75" customHeight="1">
      <c r="A114" s="800">
        <v>109</v>
      </c>
      <c r="B114" s="241" t="str">
        <f t="shared" ca="1" si="0"/>
        <v/>
      </c>
      <c r="C114" s="818"/>
      <c r="D114" s="63"/>
      <c r="E114" s="780"/>
      <c r="F114" s="253"/>
      <c r="G114" s="253"/>
      <c r="H114" s="253"/>
      <c r="I114" s="253"/>
      <c r="J114" s="253"/>
      <c r="K114" s="253"/>
      <c r="L114" s="253"/>
      <c r="M114" s="253"/>
      <c r="N114" s="253"/>
      <c r="O114" s="253"/>
      <c r="P114" s="253"/>
      <c r="Q114" s="21"/>
      <c r="R114" s="253"/>
      <c r="S114" s="253"/>
      <c r="T114" s="21"/>
      <c r="U114" s="253"/>
      <c r="V114" s="24" t="s">
        <v>2849</v>
      </c>
      <c r="W114" s="52"/>
      <c r="X114" s="52"/>
      <c r="Y114" s="817"/>
    </row>
    <row r="115" spans="1:25" ht="15.75" customHeight="1">
      <c r="A115" s="808">
        <v>110</v>
      </c>
      <c r="B115" s="241" t="str">
        <f t="shared" ca="1" si="0"/>
        <v/>
      </c>
      <c r="C115" s="818"/>
      <c r="D115" s="63"/>
      <c r="E115" s="780"/>
      <c r="F115" s="253"/>
      <c r="G115" s="253"/>
      <c r="H115" s="253"/>
      <c r="I115" s="253"/>
      <c r="J115" s="253"/>
      <c r="K115" s="253"/>
      <c r="L115" s="253"/>
      <c r="M115" s="253"/>
      <c r="N115" s="253"/>
      <c r="O115" s="253"/>
      <c r="P115" s="253"/>
      <c r="Q115" s="21"/>
      <c r="R115" s="253"/>
      <c r="S115" s="253"/>
      <c r="T115" s="52"/>
      <c r="U115" s="253"/>
      <c r="V115" s="24" t="s">
        <v>2849</v>
      </c>
      <c r="W115" s="52"/>
      <c r="X115" s="52"/>
      <c r="Y115" s="817"/>
    </row>
    <row r="116" spans="1:25" ht="15.75" customHeight="1">
      <c r="A116" s="808">
        <v>111</v>
      </c>
      <c r="B116" s="241" t="str">
        <f t="shared" ca="1" si="0"/>
        <v/>
      </c>
      <c r="C116" s="818"/>
      <c r="D116" s="63"/>
      <c r="E116" s="21"/>
      <c r="F116" s="253"/>
      <c r="G116" s="253"/>
      <c r="H116" s="253"/>
      <c r="I116" s="253"/>
      <c r="J116" s="253"/>
      <c r="K116" s="253"/>
      <c r="L116" s="253"/>
      <c r="M116" s="253"/>
      <c r="N116" s="253"/>
      <c r="O116" s="253"/>
      <c r="P116" s="253"/>
      <c r="Q116" s="21"/>
      <c r="R116" s="253"/>
      <c r="S116" s="253"/>
      <c r="T116" s="52"/>
      <c r="U116" s="253"/>
      <c r="V116" s="24" t="s">
        <v>2849</v>
      </c>
      <c r="W116" s="52"/>
      <c r="X116" s="52"/>
      <c r="Y116" s="833"/>
    </row>
    <row r="117" spans="1:25" ht="15.75" customHeight="1">
      <c r="A117" s="808">
        <v>112</v>
      </c>
      <c r="B117" s="241" t="str">
        <f t="shared" ca="1" si="0"/>
        <v/>
      </c>
      <c r="C117" s="839"/>
      <c r="D117" s="63"/>
      <c r="E117" s="52"/>
      <c r="F117" s="253"/>
      <c r="G117" s="253"/>
      <c r="H117" s="253"/>
      <c r="I117" s="253"/>
      <c r="J117" s="253"/>
      <c r="K117" s="253"/>
      <c r="L117" s="253"/>
      <c r="M117" s="253"/>
      <c r="N117" s="253"/>
      <c r="O117" s="253"/>
      <c r="P117" s="253"/>
      <c r="Q117" s="21"/>
      <c r="R117" s="253"/>
      <c r="S117" s="253"/>
      <c r="T117" s="841"/>
      <c r="U117" s="253"/>
      <c r="V117" s="24" t="s">
        <v>2849</v>
      </c>
      <c r="W117" s="842"/>
      <c r="X117" s="52"/>
      <c r="Y117" s="833"/>
    </row>
    <row r="118" spans="1:25" ht="15.75" customHeight="1">
      <c r="A118" s="808">
        <v>113</v>
      </c>
      <c r="B118" s="241" t="str">
        <f t="shared" ca="1" si="0"/>
        <v/>
      </c>
      <c r="C118" s="258"/>
      <c r="D118" s="63"/>
      <c r="E118" s="841"/>
      <c r="F118" s="253"/>
      <c r="G118" s="253"/>
      <c r="H118" s="253"/>
      <c r="I118" s="253"/>
      <c r="J118" s="253"/>
      <c r="K118" s="253"/>
      <c r="L118" s="253"/>
      <c r="M118" s="253"/>
      <c r="N118" s="253"/>
      <c r="O118" s="253"/>
      <c r="P118" s="253"/>
      <c r="Q118" s="21"/>
      <c r="R118" s="253"/>
      <c r="S118" s="253"/>
      <c r="T118" s="52"/>
      <c r="U118" s="253"/>
      <c r="V118" s="24" t="s">
        <v>2849</v>
      </c>
      <c r="W118" s="52"/>
      <c r="X118" s="843"/>
      <c r="Y118" s="825"/>
    </row>
    <row r="119" spans="1:25" ht="15.75" customHeight="1">
      <c r="A119" s="808">
        <v>114</v>
      </c>
      <c r="B119" s="241" t="str">
        <f t="shared" ca="1" si="0"/>
        <v/>
      </c>
      <c r="C119" s="258"/>
      <c r="D119" s="63"/>
      <c r="E119" s="841"/>
      <c r="F119" s="253"/>
      <c r="G119" s="253"/>
      <c r="H119" s="253"/>
      <c r="I119" s="253"/>
      <c r="J119" s="253"/>
      <c r="K119" s="253"/>
      <c r="L119" s="253"/>
      <c r="M119" s="253"/>
      <c r="N119" s="253"/>
      <c r="O119" s="253"/>
      <c r="P119" s="253"/>
      <c r="Q119" s="21"/>
      <c r="R119" s="253"/>
      <c r="S119" s="253"/>
      <c r="T119" s="52"/>
      <c r="U119" s="253"/>
      <c r="V119" s="24" t="s">
        <v>2849</v>
      </c>
      <c r="W119" s="52"/>
      <c r="X119" s="52"/>
      <c r="Y119" s="817"/>
    </row>
    <row r="120" spans="1:25" ht="15.75" customHeight="1">
      <c r="A120" s="808">
        <v>115</v>
      </c>
      <c r="B120" s="241" t="str">
        <f t="shared" ca="1" si="0"/>
        <v/>
      </c>
      <c r="C120" s="258"/>
      <c r="D120" s="63"/>
      <c r="E120" s="52"/>
      <c r="F120" s="253"/>
      <c r="G120" s="253"/>
      <c r="H120" s="253"/>
      <c r="I120" s="253"/>
      <c r="J120" s="253"/>
      <c r="K120" s="253"/>
      <c r="L120" s="253"/>
      <c r="M120" s="253"/>
      <c r="N120" s="253"/>
      <c r="O120" s="253"/>
      <c r="P120" s="253"/>
      <c r="Q120" s="21"/>
      <c r="R120" s="253"/>
      <c r="S120" s="253"/>
      <c r="T120" s="52"/>
      <c r="U120" s="253"/>
      <c r="V120" s="24" t="s">
        <v>2849</v>
      </c>
      <c r="W120" s="52"/>
      <c r="X120" s="52"/>
      <c r="Y120" s="833"/>
    </row>
    <row r="121" spans="1:25" ht="15.75" customHeight="1">
      <c r="A121" s="808">
        <v>116</v>
      </c>
      <c r="B121" s="241" t="str">
        <f t="shared" ca="1" si="0"/>
        <v/>
      </c>
      <c r="C121" s="258"/>
      <c r="D121" s="63"/>
      <c r="E121" s="52"/>
      <c r="F121" s="253"/>
      <c r="G121" s="253"/>
      <c r="H121" s="253"/>
      <c r="I121" s="253"/>
      <c r="J121" s="253"/>
      <c r="K121" s="253"/>
      <c r="L121" s="253"/>
      <c r="M121" s="253"/>
      <c r="N121" s="253"/>
      <c r="O121" s="253"/>
      <c r="P121" s="253"/>
      <c r="Q121" s="21"/>
      <c r="R121" s="253"/>
      <c r="S121" s="253"/>
      <c r="T121" s="52"/>
      <c r="U121" s="253"/>
      <c r="V121" s="24" t="s">
        <v>2849</v>
      </c>
      <c r="W121" s="52"/>
      <c r="X121" s="52"/>
      <c r="Y121" s="833"/>
    </row>
    <row r="122" spans="1:25" ht="15.75" customHeight="1">
      <c r="A122" s="800">
        <v>117</v>
      </c>
      <c r="B122" s="241" t="str">
        <f t="shared" ca="1" si="0"/>
        <v/>
      </c>
      <c r="C122" s="258"/>
      <c r="D122" s="63"/>
      <c r="E122" s="52"/>
      <c r="F122" s="253"/>
      <c r="G122" s="253"/>
      <c r="H122" s="253"/>
      <c r="I122" s="253"/>
      <c r="J122" s="253"/>
      <c r="K122" s="253"/>
      <c r="L122" s="253"/>
      <c r="M122" s="253"/>
      <c r="N122" s="253"/>
      <c r="O122" s="253"/>
      <c r="P122" s="253"/>
      <c r="Q122" s="21"/>
      <c r="R122" s="253"/>
      <c r="S122" s="253"/>
      <c r="T122" s="52"/>
      <c r="U122" s="253"/>
      <c r="V122" s="24" t="s">
        <v>2849</v>
      </c>
      <c r="W122" s="52"/>
      <c r="X122" s="52"/>
      <c r="Y122" s="833"/>
    </row>
    <row r="123" spans="1:25" ht="15.75" customHeight="1">
      <c r="A123" s="808">
        <v>118</v>
      </c>
      <c r="B123" s="241" t="str">
        <f t="shared" ca="1" si="0"/>
        <v/>
      </c>
      <c r="C123" s="836"/>
      <c r="D123" s="63"/>
      <c r="E123" s="844"/>
      <c r="F123" s="253"/>
      <c r="G123" s="253"/>
      <c r="H123" s="253"/>
      <c r="I123" s="253"/>
      <c r="J123" s="253"/>
      <c r="K123" s="253"/>
      <c r="L123" s="253"/>
      <c r="M123" s="253"/>
      <c r="N123" s="253"/>
      <c r="O123" s="253"/>
      <c r="P123" s="253"/>
      <c r="Q123" s="21"/>
      <c r="R123" s="253"/>
      <c r="S123" s="253"/>
      <c r="T123" s="52"/>
      <c r="U123" s="253"/>
      <c r="V123" s="24" t="s">
        <v>2849</v>
      </c>
      <c r="W123" s="52"/>
      <c r="X123" s="842"/>
      <c r="Y123" s="833"/>
    </row>
    <row r="124" spans="1:25" ht="15.75" customHeight="1">
      <c r="A124" s="808">
        <v>119</v>
      </c>
      <c r="B124" s="241" t="str">
        <f t="shared" ca="1" si="0"/>
        <v/>
      </c>
      <c r="C124" s="836"/>
      <c r="D124" s="63"/>
      <c r="E124" s="52"/>
      <c r="F124" s="253"/>
      <c r="G124" s="253"/>
      <c r="H124" s="253"/>
      <c r="I124" s="253"/>
      <c r="J124" s="253"/>
      <c r="K124" s="253"/>
      <c r="L124" s="253"/>
      <c r="M124" s="253"/>
      <c r="N124" s="253"/>
      <c r="O124" s="253"/>
      <c r="P124" s="253"/>
      <c r="Q124" s="21"/>
      <c r="R124" s="253"/>
      <c r="S124" s="253"/>
      <c r="T124" s="52"/>
      <c r="U124" s="253"/>
      <c r="V124" s="24" t="s">
        <v>2849</v>
      </c>
      <c r="W124" s="52"/>
      <c r="X124" s="52"/>
      <c r="Y124" s="833"/>
    </row>
    <row r="125" spans="1:25" ht="15.75" customHeight="1">
      <c r="A125" s="808">
        <v>120</v>
      </c>
      <c r="B125" s="241" t="str">
        <f t="shared" ca="1" si="0"/>
        <v/>
      </c>
      <c r="C125" s="836"/>
      <c r="D125" s="63"/>
      <c r="E125" s="52"/>
      <c r="F125" s="253"/>
      <c r="G125" s="253"/>
      <c r="H125" s="253"/>
      <c r="I125" s="253"/>
      <c r="J125" s="253"/>
      <c r="K125" s="253"/>
      <c r="L125" s="253"/>
      <c r="M125" s="253"/>
      <c r="N125" s="253"/>
      <c r="O125" s="253"/>
      <c r="P125" s="253"/>
      <c r="Q125" s="21"/>
      <c r="R125" s="253"/>
      <c r="S125" s="253"/>
      <c r="T125" s="52"/>
      <c r="U125" s="253"/>
      <c r="V125" s="24" t="s">
        <v>2849</v>
      </c>
      <c r="W125" s="52"/>
      <c r="X125" s="52"/>
      <c r="Y125" s="833"/>
    </row>
    <row r="126" spans="1:25" ht="15.75" customHeight="1">
      <c r="A126" s="808">
        <v>121</v>
      </c>
      <c r="B126" s="241" t="str">
        <f t="shared" ca="1" si="0"/>
        <v/>
      </c>
      <c r="C126" s="836"/>
      <c r="D126" s="63"/>
      <c r="E126" s="52"/>
      <c r="F126" s="253"/>
      <c r="G126" s="253"/>
      <c r="H126" s="253"/>
      <c r="I126" s="253"/>
      <c r="J126" s="253"/>
      <c r="K126" s="253"/>
      <c r="L126" s="253"/>
      <c r="M126" s="253"/>
      <c r="N126" s="253"/>
      <c r="O126" s="253"/>
      <c r="P126" s="253"/>
      <c r="Q126" s="21"/>
      <c r="R126" s="253"/>
      <c r="S126" s="253"/>
      <c r="T126" s="52"/>
      <c r="U126" s="253"/>
      <c r="V126" s="24" t="s">
        <v>2849</v>
      </c>
      <c r="W126" s="845"/>
      <c r="X126" s="846"/>
      <c r="Y126" s="833"/>
    </row>
    <row r="127" spans="1:25" ht="15.75" customHeight="1">
      <c r="A127" s="808">
        <v>122</v>
      </c>
      <c r="B127" s="241" t="str">
        <f t="shared" ca="1" si="0"/>
        <v/>
      </c>
      <c r="C127" s="836"/>
      <c r="D127" s="63"/>
      <c r="E127" s="58"/>
      <c r="F127" s="253"/>
      <c r="G127" s="253"/>
      <c r="H127" s="253"/>
      <c r="I127" s="253"/>
      <c r="J127" s="253"/>
      <c r="K127" s="253"/>
      <c r="L127" s="253"/>
      <c r="M127" s="253"/>
      <c r="N127" s="253"/>
      <c r="O127" s="253"/>
      <c r="P127" s="253"/>
      <c r="Q127" s="21"/>
      <c r="R127" s="253"/>
      <c r="S127" s="253"/>
      <c r="T127" s="52"/>
      <c r="U127" s="253"/>
      <c r="V127" s="24" t="s">
        <v>2849</v>
      </c>
      <c r="W127" s="845"/>
      <c r="X127" s="52"/>
      <c r="Y127" s="833"/>
    </row>
    <row r="128" spans="1:25" ht="15.75" customHeight="1">
      <c r="A128" s="808">
        <v>123</v>
      </c>
      <c r="B128" s="241" t="str">
        <f t="shared" ca="1" si="0"/>
        <v/>
      </c>
      <c r="C128" s="836"/>
      <c r="D128" s="63"/>
      <c r="E128" s="52"/>
      <c r="F128" s="253"/>
      <c r="G128" s="253"/>
      <c r="H128" s="253"/>
      <c r="I128" s="253"/>
      <c r="J128" s="253"/>
      <c r="K128" s="253"/>
      <c r="L128" s="253"/>
      <c r="M128" s="253"/>
      <c r="N128" s="253"/>
      <c r="O128" s="253"/>
      <c r="P128" s="253"/>
      <c r="Q128" s="21"/>
      <c r="R128" s="253"/>
      <c r="S128" s="253"/>
      <c r="T128" s="52"/>
      <c r="U128" s="253"/>
      <c r="V128" s="24" t="s">
        <v>2849</v>
      </c>
      <c r="W128" s="847"/>
      <c r="X128" s="58"/>
      <c r="Y128" s="833"/>
    </row>
    <row r="129" spans="1:25" ht="15.75" customHeight="1">
      <c r="A129" s="808">
        <v>124</v>
      </c>
      <c r="B129" s="241" t="str">
        <f t="shared" ca="1" si="0"/>
        <v/>
      </c>
      <c r="C129" s="836"/>
      <c r="D129" s="63"/>
      <c r="E129" s="52"/>
      <c r="F129" s="253"/>
      <c r="G129" s="253"/>
      <c r="H129" s="253"/>
      <c r="I129" s="253"/>
      <c r="J129" s="253"/>
      <c r="K129" s="253"/>
      <c r="L129" s="253"/>
      <c r="M129" s="253"/>
      <c r="N129" s="253"/>
      <c r="O129" s="253"/>
      <c r="P129" s="253"/>
      <c r="Q129" s="21"/>
      <c r="R129" s="253"/>
      <c r="S129" s="253"/>
      <c r="T129" s="52"/>
      <c r="U129" s="253"/>
      <c r="V129" s="24" t="s">
        <v>2849</v>
      </c>
      <c r="W129" s="847"/>
      <c r="X129" s="847"/>
      <c r="Y129" s="833"/>
    </row>
    <row r="130" spans="1:25" ht="15.75" customHeight="1">
      <c r="A130" s="800">
        <v>125</v>
      </c>
      <c r="B130" s="241" t="str">
        <f t="shared" ca="1" si="0"/>
        <v/>
      </c>
      <c r="C130" s="836"/>
      <c r="D130" s="63"/>
      <c r="E130" s="52"/>
      <c r="F130" s="253"/>
      <c r="G130" s="253"/>
      <c r="H130" s="253"/>
      <c r="I130" s="253"/>
      <c r="J130" s="253"/>
      <c r="K130" s="253"/>
      <c r="L130" s="253"/>
      <c r="M130" s="253"/>
      <c r="N130" s="253"/>
      <c r="O130" s="253"/>
      <c r="P130" s="253"/>
      <c r="Q130" s="21"/>
      <c r="R130" s="253"/>
      <c r="S130" s="253"/>
      <c r="T130" s="52"/>
      <c r="U130" s="253"/>
      <c r="V130" s="24" t="s">
        <v>2849</v>
      </c>
      <c r="W130" s="52"/>
      <c r="X130" s="52"/>
      <c r="Y130" s="833"/>
    </row>
    <row r="131" spans="1:25" ht="15.75" customHeight="1">
      <c r="A131" s="808">
        <v>126</v>
      </c>
      <c r="B131" s="241" t="str">
        <f t="shared" ca="1" si="0"/>
        <v/>
      </c>
      <c r="C131" s="836"/>
      <c r="D131" s="63"/>
      <c r="E131" s="52"/>
      <c r="F131" s="253"/>
      <c r="G131" s="253"/>
      <c r="H131" s="253"/>
      <c r="I131" s="253"/>
      <c r="J131" s="253"/>
      <c r="K131" s="253"/>
      <c r="L131" s="253"/>
      <c r="M131" s="253"/>
      <c r="N131" s="253"/>
      <c r="O131" s="253"/>
      <c r="P131" s="253"/>
      <c r="Q131" s="21"/>
      <c r="R131" s="253"/>
      <c r="S131" s="253"/>
      <c r="T131" s="52"/>
      <c r="U131" s="253"/>
      <c r="V131" s="24" t="s">
        <v>2849</v>
      </c>
      <c r="W131" s="52"/>
      <c r="X131" s="52"/>
      <c r="Y131" s="833"/>
    </row>
    <row r="132" spans="1:25" ht="15.75" customHeight="1">
      <c r="A132" s="800">
        <v>127</v>
      </c>
      <c r="B132" s="241" t="str">
        <f t="shared" ca="1" si="0"/>
        <v/>
      </c>
      <c r="C132" s="836"/>
      <c r="D132" s="63"/>
      <c r="E132" s="52"/>
      <c r="F132" s="253"/>
      <c r="G132" s="253"/>
      <c r="H132" s="253"/>
      <c r="I132" s="253"/>
      <c r="J132" s="253"/>
      <c r="K132" s="253"/>
      <c r="L132" s="253"/>
      <c r="M132" s="253"/>
      <c r="N132" s="253"/>
      <c r="O132" s="253"/>
      <c r="P132" s="253"/>
      <c r="Q132" s="21"/>
      <c r="R132" s="253"/>
      <c r="S132" s="253"/>
      <c r="T132" s="52"/>
      <c r="U132" s="253"/>
      <c r="V132" s="24" t="s">
        <v>2849</v>
      </c>
      <c r="W132" s="52"/>
      <c r="X132" s="52"/>
      <c r="Y132" s="833"/>
    </row>
    <row r="133" spans="1:25" ht="15.75" customHeight="1">
      <c r="A133" s="808">
        <v>128</v>
      </c>
      <c r="B133" s="241" t="str">
        <f t="shared" ca="1" si="0"/>
        <v/>
      </c>
      <c r="C133" s="836"/>
      <c r="D133" s="63"/>
      <c r="E133" s="52"/>
      <c r="F133" s="253"/>
      <c r="G133" s="253"/>
      <c r="H133" s="253"/>
      <c r="I133" s="253"/>
      <c r="J133" s="253"/>
      <c r="K133" s="253"/>
      <c r="L133" s="253"/>
      <c r="M133" s="253"/>
      <c r="N133" s="253"/>
      <c r="O133" s="253"/>
      <c r="P133" s="253"/>
      <c r="Q133" s="21"/>
      <c r="R133" s="253"/>
      <c r="S133" s="253"/>
      <c r="T133" s="52"/>
      <c r="U133" s="253"/>
      <c r="V133" s="24" t="s">
        <v>2849</v>
      </c>
      <c r="W133" s="52"/>
      <c r="X133" s="52"/>
      <c r="Y133" s="833"/>
    </row>
    <row r="134" spans="1:25" ht="15.75" customHeight="1">
      <c r="A134" s="808">
        <v>129</v>
      </c>
      <c r="B134" s="241" t="str">
        <f t="shared" ca="1" si="0"/>
        <v/>
      </c>
      <c r="C134" s="836"/>
      <c r="D134" s="63"/>
      <c r="E134" s="52"/>
      <c r="F134" s="253"/>
      <c r="G134" s="253"/>
      <c r="H134" s="253"/>
      <c r="I134" s="253"/>
      <c r="J134" s="253"/>
      <c r="K134" s="253"/>
      <c r="L134" s="253"/>
      <c r="M134" s="253"/>
      <c r="N134" s="253"/>
      <c r="O134" s="253"/>
      <c r="P134" s="253"/>
      <c r="Q134" s="21"/>
      <c r="R134" s="253"/>
      <c r="S134" s="253"/>
      <c r="T134" s="52"/>
      <c r="U134" s="253"/>
      <c r="V134" s="24" t="s">
        <v>2849</v>
      </c>
      <c r="W134" s="52"/>
      <c r="X134" s="52"/>
      <c r="Y134" s="833"/>
    </row>
    <row r="135" spans="1:25" ht="15.75" customHeight="1">
      <c r="A135" s="808">
        <v>130</v>
      </c>
      <c r="B135" s="241" t="str">
        <f t="shared" ca="1" si="0"/>
        <v/>
      </c>
      <c r="C135" s="836"/>
      <c r="D135" s="63"/>
      <c r="E135" s="52"/>
      <c r="F135" s="253"/>
      <c r="G135" s="253"/>
      <c r="H135" s="253"/>
      <c r="I135" s="253"/>
      <c r="J135" s="253"/>
      <c r="K135" s="253"/>
      <c r="L135" s="253"/>
      <c r="M135" s="253"/>
      <c r="N135" s="253"/>
      <c r="O135" s="253"/>
      <c r="P135" s="253"/>
      <c r="Q135" s="21"/>
      <c r="R135" s="253"/>
      <c r="S135" s="253"/>
      <c r="T135" s="52"/>
      <c r="U135" s="253"/>
      <c r="V135" s="24" t="s">
        <v>2849</v>
      </c>
      <c r="W135" s="52"/>
      <c r="X135" s="52"/>
      <c r="Y135" s="833"/>
    </row>
    <row r="136" spans="1:25" ht="15.75" customHeight="1">
      <c r="A136" s="808">
        <v>131</v>
      </c>
      <c r="B136" s="241" t="str">
        <f t="shared" ca="1" si="0"/>
        <v/>
      </c>
      <c r="C136" s="836"/>
      <c r="D136" s="63"/>
      <c r="E136" s="52"/>
      <c r="F136" s="253"/>
      <c r="G136" s="253"/>
      <c r="H136" s="253"/>
      <c r="I136" s="253"/>
      <c r="J136" s="253"/>
      <c r="K136" s="253"/>
      <c r="L136" s="253"/>
      <c r="M136" s="253"/>
      <c r="N136" s="253"/>
      <c r="O136" s="253"/>
      <c r="P136" s="253"/>
      <c r="Q136" s="21"/>
      <c r="R136" s="253"/>
      <c r="S136" s="253"/>
      <c r="T136" s="52"/>
      <c r="U136" s="253"/>
      <c r="V136" s="24" t="s">
        <v>2849</v>
      </c>
      <c r="W136" s="52"/>
      <c r="X136" s="52"/>
      <c r="Y136" s="833"/>
    </row>
    <row r="137" spans="1:25" ht="15.75" customHeight="1">
      <c r="A137" s="808">
        <v>132</v>
      </c>
      <c r="B137" s="241" t="str">
        <f t="shared" ca="1" si="0"/>
        <v/>
      </c>
      <c r="C137" s="836"/>
      <c r="D137" s="63"/>
      <c r="E137" s="52"/>
      <c r="F137" s="253"/>
      <c r="G137" s="253"/>
      <c r="H137" s="253"/>
      <c r="I137" s="253"/>
      <c r="J137" s="253"/>
      <c r="K137" s="253"/>
      <c r="L137" s="253"/>
      <c r="M137" s="253"/>
      <c r="N137" s="253"/>
      <c r="O137" s="253"/>
      <c r="P137" s="253"/>
      <c r="Q137" s="21"/>
      <c r="R137" s="253"/>
      <c r="S137" s="253"/>
      <c r="T137" s="52"/>
      <c r="U137" s="253"/>
      <c r="V137" s="24" t="s">
        <v>2849</v>
      </c>
      <c r="W137" s="52"/>
      <c r="X137" s="52"/>
      <c r="Y137" s="833"/>
    </row>
    <row r="138" spans="1:25" ht="15.75" customHeight="1">
      <c r="A138" s="808">
        <v>133</v>
      </c>
      <c r="B138" s="241" t="str">
        <f t="shared" ca="1" si="0"/>
        <v/>
      </c>
      <c r="C138" s="836"/>
      <c r="D138" s="63"/>
      <c r="E138" s="52"/>
      <c r="F138" s="253"/>
      <c r="G138" s="253"/>
      <c r="H138" s="253"/>
      <c r="I138" s="253"/>
      <c r="J138" s="253"/>
      <c r="K138" s="253"/>
      <c r="L138" s="253"/>
      <c r="M138" s="253"/>
      <c r="N138" s="253"/>
      <c r="O138" s="253"/>
      <c r="P138" s="253"/>
      <c r="Q138" s="21"/>
      <c r="R138" s="253"/>
      <c r="S138" s="253"/>
      <c r="T138" s="52"/>
      <c r="U138" s="253"/>
      <c r="V138" s="24" t="s">
        <v>2849</v>
      </c>
      <c r="W138" s="52"/>
      <c r="X138" s="52"/>
      <c r="Y138" s="833"/>
    </row>
    <row r="139" spans="1:25" ht="15.75" customHeight="1">
      <c r="A139" s="808">
        <v>134</v>
      </c>
      <c r="B139" s="241" t="str">
        <f t="shared" ca="1" si="0"/>
        <v/>
      </c>
      <c r="C139" s="836"/>
      <c r="D139" s="63"/>
      <c r="E139" s="52"/>
      <c r="F139" s="253"/>
      <c r="G139" s="253"/>
      <c r="H139" s="253"/>
      <c r="I139" s="253"/>
      <c r="J139" s="253"/>
      <c r="K139" s="253"/>
      <c r="L139" s="253"/>
      <c r="M139" s="253"/>
      <c r="N139" s="253"/>
      <c r="O139" s="253"/>
      <c r="P139" s="253"/>
      <c r="Q139" s="21"/>
      <c r="R139" s="253"/>
      <c r="S139" s="253"/>
      <c r="T139" s="52"/>
      <c r="U139" s="253"/>
      <c r="V139" s="24" t="s">
        <v>2849</v>
      </c>
      <c r="W139" s="52"/>
      <c r="X139" s="52"/>
      <c r="Y139" s="833"/>
    </row>
    <row r="140" spans="1:25" ht="15.75" customHeight="1">
      <c r="A140" s="800">
        <v>135</v>
      </c>
      <c r="B140" s="241" t="str">
        <f t="shared" ca="1" si="0"/>
        <v/>
      </c>
      <c r="C140" s="836"/>
      <c r="D140" s="63"/>
      <c r="E140" s="52"/>
      <c r="F140" s="253"/>
      <c r="G140" s="253"/>
      <c r="H140" s="253"/>
      <c r="I140" s="253"/>
      <c r="J140" s="253"/>
      <c r="K140" s="253"/>
      <c r="L140" s="253"/>
      <c r="M140" s="253"/>
      <c r="N140" s="253"/>
      <c r="O140" s="253"/>
      <c r="P140" s="253"/>
      <c r="Q140" s="21"/>
      <c r="R140" s="253"/>
      <c r="S140" s="253"/>
      <c r="T140" s="52"/>
      <c r="U140" s="253"/>
      <c r="V140" s="24" t="s">
        <v>2849</v>
      </c>
      <c r="W140" s="52"/>
      <c r="X140" s="52"/>
      <c r="Y140" s="833"/>
    </row>
    <row r="141" spans="1:25" ht="15.75" customHeight="1">
      <c r="A141" s="808">
        <v>136</v>
      </c>
      <c r="B141" s="241" t="str">
        <f t="shared" ca="1" si="0"/>
        <v/>
      </c>
      <c r="C141" s="836"/>
      <c r="D141" s="63"/>
      <c r="E141" s="52"/>
      <c r="F141" s="253"/>
      <c r="G141" s="253"/>
      <c r="H141" s="253"/>
      <c r="I141" s="253"/>
      <c r="J141" s="253"/>
      <c r="K141" s="253"/>
      <c r="L141" s="253"/>
      <c r="M141" s="253"/>
      <c r="N141" s="253"/>
      <c r="O141" s="253"/>
      <c r="P141" s="253"/>
      <c r="Q141" s="21"/>
      <c r="R141" s="253"/>
      <c r="S141" s="253"/>
      <c r="T141" s="52"/>
      <c r="U141" s="253"/>
      <c r="V141" s="24" t="s">
        <v>2849</v>
      </c>
      <c r="W141" s="52"/>
      <c r="X141" s="52"/>
      <c r="Y141" s="833"/>
    </row>
    <row r="142" spans="1:25" ht="15.75" customHeight="1">
      <c r="A142" s="808">
        <v>137</v>
      </c>
      <c r="B142" s="241" t="str">
        <f t="shared" ca="1" si="0"/>
        <v/>
      </c>
      <c r="C142" s="836"/>
      <c r="D142" s="63"/>
      <c r="E142" s="52"/>
      <c r="F142" s="253"/>
      <c r="G142" s="253"/>
      <c r="H142" s="253"/>
      <c r="I142" s="253"/>
      <c r="J142" s="253"/>
      <c r="K142" s="253"/>
      <c r="L142" s="253"/>
      <c r="M142" s="253"/>
      <c r="N142" s="253"/>
      <c r="O142" s="253"/>
      <c r="P142" s="253"/>
      <c r="Q142" s="21"/>
      <c r="R142" s="253"/>
      <c r="S142" s="253"/>
      <c r="T142" s="52"/>
      <c r="U142" s="253"/>
      <c r="V142" s="24" t="s">
        <v>2849</v>
      </c>
      <c r="W142" s="52"/>
      <c r="X142" s="52"/>
      <c r="Y142" s="833"/>
    </row>
    <row r="143" spans="1:25" ht="15.75" customHeight="1">
      <c r="A143" s="808">
        <v>138</v>
      </c>
      <c r="B143" s="241" t="str">
        <f t="shared" ca="1" si="0"/>
        <v/>
      </c>
      <c r="C143" s="836"/>
      <c r="D143" s="63"/>
      <c r="E143" s="52"/>
      <c r="F143" s="253"/>
      <c r="G143" s="253"/>
      <c r="H143" s="253"/>
      <c r="I143" s="253"/>
      <c r="J143" s="253"/>
      <c r="K143" s="253"/>
      <c r="L143" s="253"/>
      <c r="M143" s="253"/>
      <c r="N143" s="253"/>
      <c r="O143" s="253"/>
      <c r="P143" s="253"/>
      <c r="Q143" s="21"/>
      <c r="R143" s="253"/>
      <c r="S143" s="253"/>
      <c r="T143" s="52"/>
      <c r="U143" s="253"/>
      <c r="V143" s="24" t="s">
        <v>2849</v>
      </c>
      <c r="W143" s="52"/>
      <c r="X143" s="52"/>
      <c r="Y143" s="833"/>
    </row>
    <row r="144" spans="1:25" ht="15.75" customHeight="1">
      <c r="A144" s="808">
        <v>139</v>
      </c>
      <c r="B144" s="241" t="str">
        <f t="shared" ca="1" si="0"/>
        <v/>
      </c>
      <c r="C144" s="836"/>
      <c r="D144" s="63"/>
      <c r="E144" s="52"/>
      <c r="F144" s="253"/>
      <c r="G144" s="253"/>
      <c r="H144" s="253"/>
      <c r="I144" s="253"/>
      <c r="J144" s="253"/>
      <c r="K144" s="253"/>
      <c r="L144" s="253"/>
      <c r="M144" s="253"/>
      <c r="N144" s="253"/>
      <c r="O144" s="253"/>
      <c r="P144" s="253"/>
      <c r="Q144" s="21"/>
      <c r="R144" s="253"/>
      <c r="S144" s="253"/>
      <c r="T144" s="52"/>
      <c r="U144" s="253"/>
      <c r="V144" s="24" t="s">
        <v>2849</v>
      </c>
      <c r="W144" s="52"/>
      <c r="X144" s="52"/>
      <c r="Y144" s="833"/>
    </row>
    <row r="145" spans="1:25" ht="15.75" customHeight="1">
      <c r="A145" s="808">
        <v>140</v>
      </c>
      <c r="B145" s="241" t="str">
        <f t="shared" ca="1" si="0"/>
        <v/>
      </c>
      <c r="C145" s="836"/>
      <c r="D145" s="63"/>
      <c r="E145" s="52"/>
      <c r="F145" s="253"/>
      <c r="G145" s="253"/>
      <c r="H145" s="253"/>
      <c r="I145" s="253"/>
      <c r="J145" s="253"/>
      <c r="K145" s="253"/>
      <c r="L145" s="253"/>
      <c r="M145" s="253"/>
      <c r="N145" s="253"/>
      <c r="O145" s="253"/>
      <c r="P145" s="253"/>
      <c r="Q145" s="21"/>
      <c r="R145" s="253"/>
      <c r="S145" s="253"/>
      <c r="T145" s="52"/>
      <c r="U145" s="253"/>
      <c r="V145" s="24" t="s">
        <v>2849</v>
      </c>
      <c r="W145" s="52"/>
      <c r="X145" s="52"/>
      <c r="Y145" s="833"/>
    </row>
    <row r="146" spans="1:25" ht="15.75" customHeight="1">
      <c r="A146" s="808">
        <v>141</v>
      </c>
      <c r="B146" s="241" t="str">
        <f t="shared" ca="1" si="0"/>
        <v/>
      </c>
      <c r="C146" s="836"/>
      <c r="D146" s="63"/>
      <c r="E146" s="52"/>
      <c r="F146" s="253"/>
      <c r="G146" s="253"/>
      <c r="H146" s="253"/>
      <c r="I146" s="253"/>
      <c r="J146" s="253"/>
      <c r="K146" s="253"/>
      <c r="L146" s="253"/>
      <c r="M146" s="253"/>
      <c r="N146" s="253"/>
      <c r="O146" s="253"/>
      <c r="P146" s="253"/>
      <c r="Q146" s="21"/>
      <c r="R146" s="253"/>
      <c r="S146" s="253"/>
      <c r="T146" s="52"/>
      <c r="U146" s="253"/>
      <c r="V146" s="24" t="s">
        <v>2849</v>
      </c>
      <c r="W146" s="52"/>
      <c r="X146" s="52"/>
      <c r="Y146" s="833"/>
    </row>
    <row r="147" spans="1:25" ht="15.75" customHeight="1">
      <c r="A147" s="808">
        <v>142</v>
      </c>
      <c r="B147" s="241" t="str">
        <f t="shared" ca="1" si="0"/>
        <v/>
      </c>
      <c r="C147" s="836"/>
      <c r="D147" s="63"/>
      <c r="E147" s="52"/>
      <c r="F147" s="253"/>
      <c r="G147" s="253"/>
      <c r="H147" s="253"/>
      <c r="I147" s="253"/>
      <c r="J147" s="253"/>
      <c r="K147" s="253"/>
      <c r="L147" s="253"/>
      <c r="M147" s="253"/>
      <c r="N147" s="253"/>
      <c r="O147" s="253"/>
      <c r="P147" s="253"/>
      <c r="Q147" s="21"/>
      <c r="R147" s="253"/>
      <c r="S147" s="253"/>
      <c r="T147" s="52"/>
      <c r="U147" s="253"/>
      <c r="V147" s="24" t="s">
        <v>2849</v>
      </c>
      <c r="W147" s="52"/>
      <c r="X147" s="52"/>
      <c r="Y147" s="833"/>
    </row>
    <row r="148" spans="1:25" ht="15.75" customHeight="1">
      <c r="A148" s="800">
        <v>143</v>
      </c>
      <c r="B148" s="241" t="str">
        <f t="shared" ca="1" si="0"/>
        <v/>
      </c>
      <c r="C148" s="836"/>
      <c r="D148" s="63"/>
      <c r="E148" s="52"/>
      <c r="F148" s="253"/>
      <c r="G148" s="253"/>
      <c r="H148" s="253"/>
      <c r="I148" s="253"/>
      <c r="J148" s="253"/>
      <c r="K148" s="253"/>
      <c r="L148" s="253"/>
      <c r="M148" s="253"/>
      <c r="N148" s="253"/>
      <c r="O148" s="253"/>
      <c r="P148" s="253"/>
      <c r="Q148" s="21"/>
      <c r="R148" s="253"/>
      <c r="S148" s="253"/>
      <c r="T148" s="52"/>
      <c r="U148" s="253"/>
      <c r="V148" s="24" t="s">
        <v>2849</v>
      </c>
      <c r="W148" s="52"/>
      <c r="X148" s="52"/>
      <c r="Y148" s="833"/>
    </row>
    <row r="149" spans="1:25" ht="15.75" customHeight="1">
      <c r="A149" s="808">
        <v>144</v>
      </c>
      <c r="B149" s="241" t="str">
        <f t="shared" ca="1" si="0"/>
        <v/>
      </c>
      <c r="C149" s="836"/>
      <c r="D149" s="63"/>
      <c r="E149" s="52"/>
      <c r="F149" s="253"/>
      <c r="G149" s="253"/>
      <c r="H149" s="253"/>
      <c r="I149" s="253"/>
      <c r="J149" s="253"/>
      <c r="K149" s="253"/>
      <c r="L149" s="253"/>
      <c r="M149" s="253"/>
      <c r="N149" s="253"/>
      <c r="O149" s="253"/>
      <c r="P149" s="253"/>
      <c r="Q149" s="21"/>
      <c r="R149" s="253"/>
      <c r="S149" s="253"/>
      <c r="T149" s="52"/>
      <c r="U149" s="253"/>
      <c r="V149" s="24" t="s">
        <v>2849</v>
      </c>
      <c r="W149" s="52"/>
      <c r="X149" s="52"/>
      <c r="Y149" s="833"/>
    </row>
    <row r="150" spans="1:25" ht="15.75" customHeight="1">
      <c r="A150" s="800">
        <v>145</v>
      </c>
      <c r="B150" s="241" t="str">
        <f t="shared" ca="1" si="0"/>
        <v/>
      </c>
      <c r="C150" s="836"/>
      <c r="D150" s="63"/>
      <c r="E150" s="52"/>
      <c r="F150" s="253"/>
      <c r="G150" s="253"/>
      <c r="H150" s="253"/>
      <c r="I150" s="253"/>
      <c r="J150" s="253"/>
      <c r="K150" s="253"/>
      <c r="L150" s="253"/>
      <c r="M150" s="253"/>
      <c r="N150" s="253"/>
      <c r="O150" s="253"/>
      <c r="P150" s="253"/>
      <c r="Q150" s="21"/>
      <c r="R150" s="253"/>
      <c r="S150" s="253"/>
      <c r="T150" s="52"/>
      <c r="U150" s="253"/>
      <c r="V150" s="24" t="s">
        <v>2849</v>
      </c>
      <c r="W150" s="52"/>
      <c r="X150" s="52"/>
      <c r="Y150" s="833"/>
    </row>
    <row r="151" spans="1:25" ht="15.75" customHeight="1">
      <c r="A151" s="808">
        <v>146</v>
      </c>
      <c r="B151" s="241" t="str">
        <f t="shared" ca="1" si="0"/>
        <v/>
      </c>
      <c r="C151" s="836"/>
      <c r="D151" s="63"/>
      <c r="E151" s="52"/>
      <c r="F151" s="253"/>
      <c r="G151" s="253"/>
      <c r="H151" s="253"/>
      <c r="I151" s="253"/>
      <c r="J151" s="253"/>
      <c r="K151" s="253"/>
      <c r="L151" s="253"/>
      <c r="M151" s="253"/>
      <c r="N151" s="253"/>
      <c r="O151" s="253"/>
      <c r="P151" s="253"/>
      <c r="Q151" s="21"/>
      <c r="R151" s="253"/>
      <c r="S151" s="253"/>
      <c r="T151" s="52"/>
      <c r="U151" s="253"/>
      <c r="V151" s="24" t="s">
        <v>2849</v>
      </c>
      <c r="W151" s="52"/>
      <c r="X151" s="52"/>
      <c r="Y151" s="833"/>
    </row>
    <row r="152" spans="1:25" ht="15.75" customHeight="1">
      <c r="A152" s="248">
        <v>148</v>
      </c>
      <c r="B152" s="241" t="str">
        <f t="shared" ca="1" si="0"/>
        <v/>
      </c>
      <c r="C152" s="836"/>
      <c r="D152" s="63"/>
      <c r="E152" s="52"/>
      <c r="F152" s="253"/>
      <c r="G152" s="253"/>
      <c r="H152" s="253"/>
      <c r="I152" s="253"/>
      <c r="J152" s="253"/>
      <c r="K152" s="253"/>
      <c r="L152" s="253"/>
      <c r="M152" s="253"/>
      <c r="N152" s="253"/>
      <c r="O152" s="253"/>
      <c r="P152" s="253"/>
      <c r="Q152" s="21"/>
      <c r="R152" s="253"/>
      <c r="S152" s="253"/>
      <c r="T152" s="52"/>
      <c r="U152" s="253"/>
      <c r="V152" s="24" t="s">
        <v>2849</v>
      </c>
      <c r="W152" s="52"/>
      <c r="X152" s="52"/>
      <c r="Y152" s="833"/>
    </row>
    <row r="153" spans="1:25" ht="15.75" customHeight="1">
      <c r="A153" s="248">
        <v>149</v>
      </c>
      <c r="B153" s="241" t="str">
        <f t="shared" ca="1" si="0"/>
        <v/>
      </c>
      <c r="C153" s="836"/>
      <c r="D153" s="63"/>
      <c r="E153" s="52"/>
      <c r="F153" s="253"/>
      <c r="G153" s="253"/>
      <c r="H153" s="253"/>
      <c r="I153" s="253"/>
      <c r="J153" s="253"/>
      <c r="K153" s="253"/>
      <c r="L153" s="253"/>
      <c r="M153" s="253"/>
      <c r="N153" s="253"/>
      <c r="O153" s="253"/>
      <c r="P153" s="253"/>
      <c r="Q153" s="21"/>
      <c r="R153" s="253"/>
      <c r="S153" s="253"/>
      <c r="T153" s="52"/>
      <c r="U153" s="253"/>
      <c r="V153" s="24" t="s">
        <v>2849</v>
      </c>
      <c r="W153" s="52"/>
      <c r="X153" s="52"/>
      <c r="Y153" s="833"/>
    </row>
    <row r="154" spans="1:25" ht="15.75" customHeight="1">
      <c r="A154" s="248">
        <v>150</v>
      </c>
      <c r="B154" s="241" t="str">
        <f t="shared" ca="1" si="0"/>
        <v/>
      </c>
      <c r="C154" s="836"/>
      <c r="D154" s="63"/>
      <c r="E154" s="52"/>
      <c r="F154" s="253"/>
      <c r="G154" s="253"/>
      <c r="H154" s="253"/>
      <c r="I154" s="253"/>
      <c r="J154" s="253"/>
      <c r="K154" s="253"/>
      <c r="L154" s="253"/>
      <c r="M154" s="253"/>
      <c r="N154" s="253"/>
      <c r="O154" s="253"/>
      <c r="P154" s="253"/>
      <c r="Q154" s="21"/>
      <c r="R154" s="253"/>
      <c r="S154" s="253"/>
      <c r="T154" s="52"/>
      <c r="U154" s="253"/>
      <c r="V154" s="24" t="s">
        <v>2849</v>
      </c>
      <c r="W154" s="52"/>
      <c r="X154" s="52"/>
      <c r="Y154" s="833"/>
    </row>
    <row r="155" spans="1:25" ht="15.75" customHeight="1">
      <c r="A155" s="248">
        <v>151</v>
      </c>
      <c r="B155" s="241" t="str">
        <f t="shared" ca="1" si="0"/>
        <v/>
      </c>
      <c r="C155" s="836"/>
      <c r="D155" s="63"/>
      <c r="E155" s="52"/>
      <c r="F155" s="253"/>
      <c r="G155" s="253"/>
      <c r="H155" s="253"/>
      <c r="I155" s="253"/>
      <c r="J155" s="253"/>
      <c r="K155" s="253"/>
      <c r="L155" s="253"/>
      <c r="M155" s="253"/>
      <c r="N155" s="253"/>
      <c r="O155" s="253"/>
      <c r="P155" s="253"/>
      <c r="Q155" s="21"/>
      <c r="R155" s="253"/>
      <c r="S155" s="253"/>
      <c r="T155" s="52"/>
      <c r="U155" s="253"/>
      <c r="V155" s="24" t="s">
        <v>2849</v>
      </c>
      <c r="W155" s="52"/>
      <c r="X155" s="52"/>
      <c r="Y155" s="833"/>
    </row>
    <row r="156" spans="1:25" ht="15.75" customHeight="1">
      <c r="A156" s="248">
        <v>152</v>
      </c>
      <c r="B156" s="241" t="str">
        <f t="shared" ca="1" si="0"/>
        <v/>
      </c>
      <c r="C156" s="836"/>
      <c r="D156" s="63"/>
      <c r="E156" s="52"/>
      <c r="F156" s="253"/>
      <c r="G156" s="253"/>
      <c r="H156" s="253"/>
      <c r="I156" s="253"/>
      <c r="J156" s="253"/>
      <c r="K156" s="253"/>
      <c r="L156" s="253"/>
      <c r="M156" s="253"/>
      <c r="N156" s="253"/>
      <c r="O156" s="253"/>
      <c r="P156" s="253"/>
      <c r="Q156" s="21"/>
      <c r="R156" s="253"/>
      <c r="S156" s="253"/>
      <c r="T156" s="52"/>
      <c r="U156" s="253"/>
      <c r="V156" s="24" t="s">
        <v>2849</v>
      </c>
      <c r="W156" s="52"/>
      <c r="X156" s="52"/>
      <c r="Y156" s="833"/>
    </row>
    <row r="157" spans="1:25" ht="15.75" customHeight="1">
      <c r="A157" s="248">
        <v>153</v>
      </c>
      <c r="B157" s="241" t="str">
        <f t="shared" ca="1" si="0"/>
        <v/>
      </c>
      <c r="C157" s="836"/>
      <c r="D157" s="63"/>
      <c r="E157" s="52"/>
      <c r="F157" s="253"/>
      <c r="G157" s="253"/>
      <c r="H157" s="253"/>
      <c r="I157" s="253"/>
      <c r="J157" s="253"/>
      <c r="K157" s="253"/>
      <c r="L157" s="253"/>
      <c r="M157" s="253"/>
      <c r="N157" s="253"/>
      <c r="O157" s="253"/>
      <c r="P157" s="253"/>
      <c r="Q157" s="21"/>
      <c r="R157" s="253"/>
      <c r="S157" s="253"/>
      <c r="T157" s="52"/>
      <c r="U157" s="253"/>
      <c r="V157" s="24" t="s">
        <v>2849</v>
      </c>
      <c r="W157" s="52"/>
      <c r="X157" s="52"/>
      <c r="Y157" s="833"/>
    </row>
    <row r="158" spans="1:25" ht="15.75" customHeight="1">
      <c r="A158" s="248">
        <v>154</v>
      </c>
      <c r="B158" s="241" t="str">
        <f t="shared" ca="1" si="0"/>
        <v/>
      </c>
      <c r="C158" s="836"/>
      <c r="D158" s="63"/>
      <c r="E158" s="52"/>
      <c r="F158" s="253"/>
      <c r="G158" s="253"/>
      <c r="H158" s="253"/>
      <c r="I158" s="253"/>
      <c r="J158" s="253"/>
      <c r="K158" s="253"/>
      <c r="L158" s="253"/>
      <c r="M158" s="253"/>
      <c r="N158" s="253"/>
      <c r="O158" s="253"/>
      <c r="P158" s="253"/>
      <c r="Q158" s="21"/>
      <c r="R158" s="253"/>
      <c r="S158" s="253"/>
      <c r="T158" s="52"/>
      <c r="U158" s="253"/>
      <c r="V158" s="24" t="s">
        <v>2849</v>
      </c>
      <c r="W158" s="52"/>
      <c r="X158" s="52"/>
      <c r="Y158" s="833"/>
    </row>
    <row r="159" spans="1:25" ht="15.75" customHeight="1">
      <c r="A159" s="248">
        <v>155</v>
      </c>
      <c r="B159" s="241" t="str">
        <f t="shared" ca="1" si="0"/>
        <v/>
      </c>
      <c r="C159" s="836"/>
      <c r="D159" s="63"/>
      <c r="E159" s="52"/>
      <c r="F159" s="253"/>
      <c r="G159" s="253"/>
      <c r="H159" s="253"/>
      <c r="I159" s="253"/>
      <c r="J159" s="253"/>
      <c r="K159" s="253"/>
      <c r="L159" s="253"/>
      <c r="M159" s="253"/>
      <c r="N159" s="253"/>
      <c r="O159" s="253"/>
      <c r="P159" s="253"/>
      <c r="Q159" s="21"/>
      <c r="R159" s="253"/>
      <c r="S159" s="253"/>
      <c r="T159" s="52"/>
      <c r="U159" s="253"/>
      <c r="V159" s="24" t="s">
        <v>2849</v>
      </c>
      <c r="W159" s="52"/>
      <c r="X159" s="52"/>
      <c r="Y159" s="833"/>
    </row>
    <row r="160" spans="1:25" ht="15.75" customHeight="1">
      <c r="A160" s="248">
        <v>156</v>
      </c>
      <c r="B160" s="241" t="str">
        <f t="shared" ca="1" si="0"/>
        <v/>
      </c>
      <c r="C160" s="836"/>
      <c r="D160" s="63"/>
      <c r="E160" s="52"/>
      <c r="F160" s="253"/>
      <c r="G160" s="253"/>
      <c r="H160" s="253"/>
      <c r="I160" s="253"/>
      <c r="J160" s="253"/>
      <c r="K160" s="253"/>
      <c r="L160" s="253"/>
      <c r="M160" s="253"/>
      <c r="N160" s="253"/>
      <c r="O160" s="253"/>
      <c r="P160" s="253"/>
      <c r="Q160" s="21"/>
      <c r="R160" s="253"/>
      <c r="S160" s="253"/>
      <c r="T160" s="52"/>
      <c r="U160" s="253"/>
      <c r="V160" s="24" t="s">
        <v>2849</v>
      </c>
      <c r="W160" s="52"/>
      <c r="X160" s="52"/>
      <c r="Y160" s="833"/>
    </row>
    <row r="161" spans="1:25" ht="15.75" customHeight="1">
      <c r="A161" s="248">
        <v>157</v>
      </c>
      <c r="B161" s="241" t="str">
        <f t="shared" ca="1" si="0"/>
        <v/>
      </c>
      <c r="C161" s="836"/>
      <c r="D161" s="63"/>
      <c r="E161" s="52"/>
      <c r="F161" s="253"/>
      <c r="G161" s="253"/>
      <c r="H161" s="253"/>
      <c r="I161" s="253"/>
      <c r="J161" s="253"/>
      <c r="K161" s="253"/>
      <c r="L161" s="253"/>
      <c r="M161" s="253"/>
      <c r="N161" s="253"/>
      <c r="O161" s="253"/>
      <c r="P161" s="253"/>
      <c r="Q161" s="21"/>
      <c r="R161" s="253"/>
      <c r="S161" s="253"/>
      <c r="T161" s="52"/>
      <c r="U161" s="253"/>
      <c r="V161" s="24" t="s">
        <v>2849</v>
      </c>
      <c r="W161" s="52"/>
      <c r="X161" s="52"/>
      <c r="Y161" s="833"/>
    </row>
    <row r="162" spans="1:25" ht="15.75" customHeight="1">
      <c r="A162" s="248">
        <v>158</v>
      </c>
      <c r="B162" s="241" t="str">
        <f t="shared" ca="1" si="0"/>
        <v/>
      </c>
      <c r="C162" s="836"/>
      <c r="D162" s="63"/>
      <c r="E162" s="52"/>
      <c r="F162" s="253"/>
      <c r="G162" s="253"/>
      <c r="H162" s="253"/>
      <c r="I162" s="253"/>
      <c r="J162" s="253"/>
      <c r="K162" s="253"/>
      <c r="L162" s="253"/>
      <c r="M162" s="253"/>
      <c r="N162" s="253"/>
      <c r="O162" s="253"/>
      <c r="P162" s="253"/>
      <c r="Q162" s="21"/>
      <c r="R162" s="253"/>
      <c r="S162" s="253"/>
      <c r="T162" s="52"/>
      <c r="U162" s="253"/>
      <c r="V162" s="24" t="s">
        <v>2849</v>
      </c>
      <c r="W162" s="52"/>
      <c r="X162" s="52"/>
      <c r="Y162" s="833"/>
    </row>
    <row r="163" spans="1:25" ht="15.75" customHeight="1">
      <c r="A163" s="248">
        <v>159</v>
      </c>
      <c r="B163" s="241" t="str">
        <f t="shared" ca="1" si="0"/>
        <v/>
      </c>
      <c r="C163" s="836"/>
      <c r="D163" s="63"/>
      <c r="E163" s="52"/>
      <c r="F163" s="253"/>
      <c r="G163" s="253"/>
      <c r="H163" s="253"/>
      <c r="I163" s="253"/>
      <c r="J163" s="253"/>
      <c r="K163" s="253"/>
      <c r="L163" s="253"/>
      <c r="M163" s="253"/>
      <c r="N163" s="253"/>
      <c r="O163" s="253"/>
      <c r="P163" s="253"/>
      <c r="Q163" s="21"/>
      <c r="R163" s="253"/>
      <c r="S163" s="253"/>
      <c r="T163" s="52"/>
      <c r="U163" s="253"/>
      <c r="V163" s="24" t="s">
        <v>2849</v>
      </c>
      <c r="W163" s="52"/>
      <c r="X163" s="52"/>
      <c r="Y163" s="833"/>
    </row>
    <row r="164" spans="1:25" ht="15.75" customHeight="1">
      <c r="A164" s="248">
        <v>160</v>
      </c>
      <c r="B164" s="241" t="str">
        <f t="shared" ca="1" si="0"/>
        <v/>
      </c>
      <c r="C164" s="836"/>
      <c r="D164" s="63"/>
      <c r="E164" s="52"/>
      <c r="F164" s="253"/>
      <c r="G164" s="253"/>
      <c r="H164" s="253"/>
      <c r="I164" s="253"/>
      <c r="J164" s="253"/>
      <c r="K164" s="253"/>
      <c r="L164" s="253"/>
      <c r="M164" s="253"/>
      <c r="N164" s="253"/>
      <c r="O164" s="253"/>
      <c r="P164" s="253"/>
      <c r="Q164" s="21"/>
      <c r="R164" s="253"/>
      <c r="S164" s="253"/>
      <c r="T164" s="52"/>
      <c r="U164" s="253"/>
      <c r="V164" s="24" t="s">
        <v>2849</v>
      </c>
      <c r="W164" s="52"/>
      <c r="X164" s="52"/>
      <c r="Y164" s="833"/>
    </row>
    <row r="165" spans="1:25" ht="15.75" customHeight="1">
      <c r="A165" s="248">
        <v>161</v>
      </c>
      <c r="B165" s="241" t="str">
        <f t="shared" ca="1" si="0"/>
        <v/>
      </c>
      <c r="C165" s="836"/>
      <c r="D165" s="63"/>
      <c r="E165" s="52"/>
      <c r="F165" s="253"/>
      <c r="G165" s="253"/>
      <c r="H165" s="253"/>
      <c r="I165" s="253"/>
      <c r="J165" s="253"/>
      <c r="K165" s="253"/>
      <c r="L165" s="253"/>
      <c r="M165" s="253"/>
      <c r="N165" s="253"/>
      <c r="O165" s="253"/>
      <c r="P165" s="253"/>
      <c r="Q165" s="21"/>
      <c r="R165" s="253"/>
      <c r="S165" s="253"/>
      <c r="T165" s="52"/>
      <c r="U165" s="253"/>
      <c r="V165" s="24" t="s">
        <v>2849</v>
      </c>
      <c r="W165" s="52"/>
      <c r="X165" s="52"/>
      <c r="Y165" s="833"/>
    </row>
    <row r="166" spans="1:25" ht="15.75" customHeight="1">
      <c r="A166" s="248">
        <v>162</v>
      </c>
      <c r="B166" s="241" t="str">
        <f t="shared" ca="1" si="0"/>
        <v/>
      </c>
      <c r="C166" s="836"/>
      <c r="D166" s="63"/>
      <c r="E166" s="52"/>
      <c r="F166" s="253"/>
      <c r="G166" s="253"/>
      <c r="H166" s="253"/>
      <c r="I166" s="253"/>
      <c r="J166" s="253"/>
      <c r="K166" s="253"/>
      <c r="L166" s="253"/>
      <c r="M166" s="253"/>
      <c r="N166" s="253"/>
      <c r="O166" s="253"/>
      <c r="P166" s="253"/>
      <c r="Q166" s="21"/>
      <c r="R166" s="253"/>
      <c r="S166" s="253"/>
      <c r="T166" s="52"/>
      <c r="U166" s="253"/>
      <c r="V166" s="24" t="s">
        <v>2849</v>
      </c>
      <c r="W166" s="52"/>
      <c r="X166" s="52"/>
      <c r="Y166" s="833"/>
    </row>
    <row r="167" spans="1:25" ht="15.75" customHeight="1">
      <c r="A167" s="248">
        <v>163</v>
      </c>
      <c r="B167" s="241" t="str">
        <f t="shared" ca="1" si="0"/>
        <v/>
      </c>
      <c r="C167" s="836"/>
      <c r="D167" s="63"/>
      <c r="E167" s="52"/>
      <c r="F167" s="253"/>
      <c r="G167" s="253"/>
      <c r="H167" s="253"/>
      <c r="I167" s="253"/>
      <c r="J167" s="253"/>
      <c r="K167" s="253"/>
      <c r="L167" s="253"/>
      <c r="M167" s="253"/>
      <c r="N167" s="253"/>
      <c r="O167" s="253"/>
      <c r="P167" s="253"/>
      <c r="Q167" s="21"/>
      <c r="R167" s="253"/>
      <c r="S167" s="253"/>
      <c r="T167" s="52"/>
      <c r="U167" s="253"/>
      <c r="V167" s="24" t="s">
        <v>2849</v>
      </c>
      <c r="W167" s="52"/>
      <c r="X167" s="52"/>
      <c r="Y167" s="833"/>
    </row>
    <row r="168" spans="1:25" ht="15.75" customHeight="1">
      <c r="A168" s="248">
        <v>164</v>
      </c>
      <c r="B168" s="241" t="str">
        <f t="shared" ca="1" si="0"/>
        <v/>
      </c>
      <c r="C168" s="836"/>
      <c r="D168" s="63"/>
      <c r="E168" s="52"/>
      <c r="F168" s="253"/>
      <c r="G168" s="253"/>
      <c r="H168" s="253"/>
      <c r="I168" s="253"/>
      <c r="J168" s="253"/>
      <c r="K168" s="253"/>
      <c r="L168" s="253"/>
      <c r="M168" s="253"/>
      <c r="N168" s="253"/>
      <c r="O168" s="253"/>
      <c r="P168" s="253"/>
      <c r="Q168" s="21"/>
      <c r="R168" s="253"/>
      <c r="S168" s="253"/>
      <c r="T168" s="52"/>
      <c r="U168" s="253"/>
      <c r="V168" s="24" t="s">
        <v>2849</v>
      </c>
      <c r="W168" s="52"/>
      <c r="X168" s="52"/>
      <c r="Y168" s="833"/>
    </row>
    <row r="169" spans="1:25" ht="15.75" customHeight="1">
      <c r="A169" s="248">
        <v>165</v>
      </c>
      <c r="B169" s="241" t="str">
        <f t="shared" ca="1" si="0"/>
        <v/>
      </c>
      <c r="C169" s="836"/>
      <c r="D169" s="63"/>
      <c r="E169" s="52"/>
      <c r="F169" s="253"/>
      <c r="G169" s="253"/>
      <c r="H169" s="253"/>
      <c r="I169" s="253"/>
      <c r="J169" s="253"/>
      <c r="K169" s="253"/>
      <c r="L169" s="253"/>
      <c r="M169" s="253"/>
      <c r="N169" s="253"/>
      <c r="O169" s="253"/>
      <c r="P169" s="253"/>
      <c r="Q169" s="21"/>
      <c r="R169" s="253"/>
      <c r="S169" s="253"/>
      <c r="T169" s="52"/>
      <c r="U169" s="253"/>
      <c r="V169" s="24" t="s">
        <v>2849</v>
      </c>
      <c r="W169" s="52"/>
      <c r="X169" s="52"/>
      <c r="Y169" s="833"/>
    </row>
    <row r="170" spans="1:25" ht="15.75" customHeight="1">
      <c r="A170" s="248">
        <v>166</v>
      </c>
      <c r="B170" s="241" t="str">
        <f t="shared" ca="1" si="0"/>
        <v/>
      </c>
      <c r="C170" s="836"/>
      <c r="D170" s="63"/>
      <c r="E170" s="52"/>
      <c r="F170" s="253"/>
      <c r="G170" s="253"/>
      <c r="H170" s="253"/>
      <c r="I170" s="253"/>
      <c r="J170" s="253"/>
      <c r="K170" s="253"/>
      <c r="L170" s="253"/>
      <c r="M170" s="253"/>
      <c r="N170" s="253"/>
      <c r="O170" s="253"/>
      <c r="P170" s="253"/>
      <c r="Q170" s="21"/>
      <c r="R170" s="253"/>
      <c r="S170" s="253"/>
      <c r="T170" s="52"/>
      <c r="U170" s="253"/>
      <c r="V170" s="24" t="s">
        <v>2849</v>
      </c>
      <c r="W170" s="52"/>
      <c r="X170" s="52"/>
      <c r="Y170" s="833"/>
    </row>
    <row r="171" spans="1:25" ht="15.75" customHeight="1">
      <c r="A171" s="248">
        <v>167</v>
      </c>
      <c r="B171" s="241" t="str">
        <f t="shared" ca="1" si="0"/>
        <v/>
      </c>
      <c r="C171" s="836"/>
      <c r="D171" s="63"/>
      <c r="E171" s="52"/>
      <c r="F171" s="253"/>
      <c r="G171" s="253"/>
      <c r="H171" s="253"/>
      <c r="I171" s="253"/>
      <c r="J171" s="253"/>
      <c r="K171" s="253"/>
      <c r="L171" s="253"/>
      <c r="M171" s="253"/>
      <c r="N171" s="253"/>
      <c r="O171" s="253"/>
      <c r="P171" s="253"/>
      <c r="Q171" s="21"/>
      <c r="R171" s="253"/>
      <c r="S171" s="253"/>
      <c r="T171" s="52"/>
      <c r="U171" s="253"/>
      <c r="V171" s="24" t="s">
        <v>2849</v>
      </c>
      <c r="W171" s="52"/>
      <c r="X171" s="52"/>
      <c r="Y171" s="833"/>
    </row>
    <row r="172" spans="1:25" ht="15.75" customHeight="1">
      <c r="A172" s="248">
        <v>168</v>
      </c>
      <c r="B172" s="241" t="str">
        <f t="shared" ca="1" si="0"/>
        <v/>
      </c>
      <c r="C172" s="836"/>
      <c r="D172" s="63"/>
      <c r="E172" s="52"/>
      <c r="F172" s="253"/>
      <c r="G172" s="253"/>
      <c r="H172" s="253"/>
      <c r="I172" s="253"/>
      <c r="J172" s="253"/>
      <c r="K172" s="253"/>
      <c r="L172" s="253"/>
      <c r="M172" s="253"/>
      <c r="N172" s="253"/>
      <c r="O172" s="253"/>
      <c r="P172" s="253"/>
      <c r="Q172" s="21"/>
      <c r="R172" s="253"/>
      <c r="S172" s="253"/>
      <c r="T172" s="52"/>
      <c r="U172" s="253"/>
      <c r="V172" s="24" t="s">
        <v>2849</v>
      </c>
      <c r="W172" s="52"/>
      <c r="X172" s="52"/>
      <c r="Y172" s="833"/>
    </row>
    <row r="173" spans="1:25" ht="15.75" customHeight="1">
      <c r="A173" s="248">
        <v>169</v>
      </c>
      <c r="B173" s="241" t="str">
        <f t="shared" ca="1" si="0"/>
        <v/>
      </c>
      <c r="C173" s="836"/>
      <c r="D173" s="63"/>
      <c r="E173" s="52"/>
      <c r="F173" s="253"/>
      <c r="G173" s="253"/>
      <c r="H173" s="253"/>
      <c r="I173" s="253"/>
      <c r="J173" s="253"/>
      <c r="K173" s="253"/>
      <c r="L173" s="253"/>
      <c r="M173" s="253"/>
      <c r="N173" s="253"/>
      <c r="O173" s="253"/>
      <c r="P173" s="253"/>
      <c r="Q173" s="21"/>
      <c r="R173" s="253"/>
      <c r="S173" s="253"/>
      <c r="T173" s="52"/>
      <c r="U173" s="253"/>
      <c r="V173" s="24" t="s">
        <v>2849</v>
      </c>
      <c r="W173" s="52"/>
      <c r="X173" s="52"/>
      <c r="Y173" s="833"/>
    </row>
    <row r="174" spans="1:25" ht="15.75" customHeight="1">
      <c r="A174" s="248">
        <v>170</v>
      </c>
      <c r="B174" s="241" t="str">
        <f t="shared" ca="1" si="0"/>
        <v/>
      </c>
      <c r="C174" s="836"/>
      <c r="D174" s="63"/>
      <c r="E174" s="52"/>
      <c r="F174" s="253"/>
      <c r="G174" s="253"/>
      <c r="H174" s="253"/>
      <c r="I174" s="253"/>
      <c r="J174" s="253"/>
      <c r="K174" s="253"/>
      <c r="L174" s="253"/>
      <c r="M174" s="253"/>
      <c r="N174" s="253"/>
      <c r="O174" s="253"/>
      <c r="P174" s="253"/>
      <c r="Q174" s="21"/>
      <c r="R174" s="253"/>
      <c r="S174" s="253"/>
      <c r="T174" s="52"/>
      <c r="U174" s="253"/>
      <c r="V174" s="24" t="s">
        <v>2849</v>
      </c>
      <c r="W174" s="52"/>
      <c r="X174" s="52"/>
      <c r="Y174" s="833"/>
    </row>
    <row r="175" spans="1:25" ht="15.75" customHeight="1">
      <c r="A175" s="248">
        <v>171</v>
      </c>
      <c r="B175" s="241" t="str">
        <f t="shared" ca="1" si="0"/>
        <v/>
      </c>
      <c r="C175" s="836"/>
      <c r="D175" s="63"/>
      <c r="E175" s="52"/>
      <c r="F175" s="253"/>
      <c r="G175" s="253"/>
      <c r="H175" s="253"/>
      <c r="I175" s="253"/>
      <c r="J175" s="253"/>
      <c r="K175" s="253"/>
      <c r="L175" s="253"/>
      <c r="M175" s="253"/>
      <c r="N175" s="253"/>
      <c r="O175" s="253"/>
      <c r="P175" s="253"/>
      <c r="Q175" s="21"/>
      <c r="R175" s="253"/>
      <c r="S175" s="253"/>
      <c r="T175" s="52"/>
      <c r="U175" s="253"/>
      <c r="V175" s="24" t="s">
        <v>2849</v>
      </c>
      <c r="W175" s="52"/>
      <c r="X175" s="52"/>
      <c r="Y175" s="833"/>
    </row>
    <row r="176" spans="1:25" ht="15.75" customHeight="1">
      <c r="A176" s="248">
        <v>172</v>
      </c>
      <c r="B176" s="241" t="str">
        <f t="shared" ca="1" si="0"/>
        <v/>
      </c>
      <c r="C176" s="836"/>
      <c r="D176" s="63"/>
      <c r="E176" s="52"/>
      <c r="F176" s="253"/>
      <c r="G176" s="253"/>
      <c r="H176" s="253"/>
      <c r="I176" s="253"/>
      <c r="J176" s="253"/>
      <c r="K176" s="253"/>
      <c r="L176" s="253"/>
      <c r="M176" s="253"/>
      <c r="N176" s="253"/>
      <c r="O176" s="253"/>
      <c r="P176" s="253"/>
      <c r="Q176" s="21"/>
      <c r="R176" s="253"/>
      <c r="S176" s="253"/>
      <c r="T176" s="52"/>
      <c r="U176" s="253"/>
      <c r="V176" s="24" t="s">
        <v>2849</v>
      </c>
      <c r="W176" s="52"/>
      <c r="X176" s="52"/>
      <c r="Y176" s="833"/>
    </row>
    <row r="177" spans="1:25" ht="15.75" customHeight="1">
      <c r="A177" s="248">
        <v>173</v>
      </c>
      <c r="B177" s="241" t="str">
        <f t="shared" ca="1" si="0"/>
        <v/>
      </c>
      <c r="C177" s="836"/>
      <c r="D177" s="63"/>
      <c r="E177" s="52"/>
      <c r="F177" s="253"/>
      <c r="G177" s="253"/>
      <c r="H177" s="253"/>
      <c r="I177" s="253"/>
      <c r="J177" s="253"/>
      <c r="K177" s="253"/>
      <c r="L177" s="253"/>
      <c r="M177" s="253"/>
      <c r="N177" s="253"/>
      <c r="O177" s="253"/>
      <c r="P177" s="253"/>
      <c r="Q177" s="21"/>
      <c r="R177" s="253"/>
      <c r="S177" s="253"/>
      <c r="T177" s="52"/>
      <c r="U177" s="253"/>
      <c r="V177" s="24" t="s">
        <v>2849</v>
      </c>
      <c r="W177" s="52"/>
      <c r="X177" s="52"/>
      <c r="Y177" s="833"/>
    </row>
    <row r="178" spans="1:25" ht="15.75" customHeight="1">
      <c r="A178" s="248">
        <v>174</v>
      </c>
      <c r="B178" s="241" t="str">
        <f t="shared" ca="1" si="0"/>
        <v/>
      </c>
      <c r="C178" s="836"/>
      <c r="D178" s="63"/>
      <c r="E178" s="52"/>
      <c r="F178" s="253"/>
      <c r="G178" s="253"/>
      <c r="H178" s="253"/>
      <c r="I178" s="253"/>
      <c r="J178" s="253"/>
      <c r="K178" s="253"/>
      <c r="L178" s="253"/>
      <c r="M178" s="253"/>
      <c r="N178" s="253"/>
      <c r="O178" s="253"/>
      <c r="P178" s="253"/>
      <c r="Q178" s="21"/>
      <c r="R178" s="253"/>
      <c r="S178" s="253"/>
      <c r="T178" s="52"/>
      <c r="U178" s="253"/>
      <c r="V178" s="24" t="s">
        <v>2849</v>
      </c>
      <c r="W178" s="52"/>
      <c r="X178" s="52"/>
      <c r="Y178" s="833"/>
    </row>
    <row r="179" spans="1:25" ht="15.75" customHeight="1">
      <c r="A179" s="248">
        <v>175</v>
      </c>
      <c r="B179" s="241" t="str">
        <f t="shared" ca="1" si="0"/>
        <v/>
      </c>
      <c r="C179" s="836"/>
      <c r="D179" s="63"/>
      <c r="E179" s="52"/>
      <c r="F179" s="253"/>
      <c r="G179" s="253"/>
      <c r="H179" s="253"/>
      <c r="I179" s="253"/>
      <c r="J179" s="253"/>
      <c r="K179" s="253"/>
      <c r="L179" s="253"/>
      <c r="M179" s="253"/>
      <c r="N179" s="253"/>
      <c r="O179" s="253"/>
      <c r="P179" s="253"/>
      <c r="Q179" s="21"/>
      <c r="R179" s="253"/>
      <c r="S179" s="253"/>
      <c r="T179" s="52"/>
      <c r="U179" s="253"/>
      <c r="V179" s="24" t="s">
        <v>2849</v>
      </c>
      <c r="W179" s="52"/>
      <c r="X179" s="52"/>
      <c r="Y179" s="833"/>
    </row>
    <row r="180" spans="1:25" ht="15.75" customHeight="1">
      <c r="A180" s="248">
        <v>176</v>
      </c>
      <c r="B180" s="241" t="str">
        <f t="shared" ca="1" si="0"/>
        <v/>
      </c>
      <c r="C180" s="836"/>
      <c r="D180" s="63"/>
      <c r="E180" s="52"/>
      <c r="F180" s="253"/>
      <c r="G180" s="253"/>
      <c r="H180" s="253"/>
      <c r="I180" s="253"/>
      <c r="J180" s="253"/>
      <c r="K180" s="253"/>
      <c r="L180" s="253"/>
      <c r="M180" s="253"/>
      <c r="N180" s="253"/>
      <c r="O180" s="253"/>
      <c r="P180" s="253"/>
      <c r="Q180" s="21"/>
      <c r="R180" s="253"/>
      <c r="S180" s="253"/>
      <c r="T180" s="52"/>
      <c r="U180" s="253"/>
      <c r="V180" s="24" t="s">
        <v>2849</v>
      </c>
      <c r="W180" s="52"/>
      <c r="X180" s="52"/>
      <c r="Y180" s="833"/>
    </row>
    <row r="181" spans="1:25" ht="15.75" customHeight="1">
      <c r="A181" s="248">
        <v>177</v>
      </c>
      <c r="B181" s="241" t="str">
        <f t="shared" ca="1" si="0"/>
        <v/>
      </c>
      <c r="C181" s="836"/>
      <c r="D181" s="63"/>
      <c r="E181" s="52"/>
      <c r="F181" s="253"/>
      <c r="G181" s="253"/>
      <c r="H181" s="253"/>
      <c r="I181" s="253"/>
      <c r="J181" s="253"/>
      <c r="K181" s="253"/>
      <c r="L181" s="253"/>
      <c r="M181" s="253"/>
      <c r="N181" s="253"/>
      <c r="O181" s="253"/>
      <c r="P181" s="253"/>
      <c r="Q181" s="21"/>
      <c r="R181" s="253"/>
      <c r="S181" s="253"/>
      <c r="T181" s="52"/>
      <c r="U181" s="253"/>
      <c r="V181" s="24" t="s">
        <v>2849</v>
      </c>
      <c r="W181" s="52"/>
      <c r="X181" s="52"/>
      <c r="Y181" s="833"/>
    </row>
    <row r="182" spans="1:25" ht="15.75" customHeight="1">
      <c r="A182" s="248">
        <v>178</v>
      </c>
      <c r="B182" s="241" t="str">
        <f t="shared" ca="1" si="0"/>
        <v/>
      </c>
      <c r="C182" s="836"/>
      <c r="D182" s="63"/>
      <c r="E182" s="52"/>
      <c r="F182" s="253"/>
      <c r="G182" s="253"/>
      <c r="H182" s="253"/>
      <c r="I182" s="253"/>
      <c r="J182" s="253"/>
      <c r="K182" s="253"/>
      <c r="L182" s="253"/>
      <c r="M182" s="253"/>
      <c r="N182" s="253"/>
      <c r="O182" s="253"/>
      <c r="P182" s="253"/>
      <c r="Q182" s="21"/>
      <c r="R182" s="253"/>
      <c r="S182" s="253"/>
      <c r="T182" s="52"/>
      <c r="U182" s="253"/>
      <c r="V182" s="24" t="s">
        <v>2849</v>
      </c>
      <c r="W182" s="52"/>
      <c r="X182" s="52"/>
      <c r="Y182" s="833"/>
    </row>
    <row r="183" spans="1:25" ht="15.75" customHeight="1">
      <c r="A183" s="248">
        <v>179</v>
      </c>
      <c r="B183" s="241" t="str">
        <f t="shared" ca="1" si="0"/>
        <v/>
      </c>
      <c r="C183" s="836"/>
      <c r="D183" s="63"/>
      <c r="E183" s="52"/>
      <c r="F183" s="253"/>
      <c r="G183" s="253"/>
      <c r="H183" s="253"/>
      <c r="I183" s="253"/>
      <c r="J183" s="253"/>
      <c r="K183" s="253"/>
      <c r="L183" s="253"/>
      <c r="M183" s="253"/>
      <c r="N183" s="253"/>
      <c r="O183" s="253"/>
      <c r="P183" s="253"/>
      <c r="Q183" s="21"/>
      <c r="R183" s="253"/>
      <c r="S183" s="253"/>
      <c r="T183" s="52"/>
      <c r="U183" s="253"/>
      <c r="V183" s="24" t="s">
        <v>2849</v>
      </c>
      <c r="W183" s="52"/>
      <c r="X183" s="52"/>
      <c r="Y183" s="833"/>
    </row>
    <row r="184" spans="1:25" ht="15.75" customHeight="1">
      <c r="A184" s="248">
        <v>180</v>
      </c>
      <c r="B184" s="241" t="str">
        <f t="shared" ca="1" si="0"/>
        <v/>
      </c>
      <c r="C184" s="836"/>
      <c r="D184" s="63"/>
      <c r="E184" s="52"/>
      <c r="F184" s="253"/>
      <c r="G184" s="253"/>
      <c r="H184" s="253"/>
      <c r="I184" s="253"/>
      <c r="J184" s="253"/>
      <c r="K184" s="253"/>
      <c r="L184" s="253"/>
      <c r="M184" s="253"/>
      <c r="N184" s="253"/>
      <c r="O184" s="253"/>
      <c r="P184" s="253"/>
      <c r="Q184" s="21"/>
      <c r="R184" s="253"/>
      <c r="S184" s="253"/>
      <c r="T184" s="52"/>
      <c r="U184" s="253"/>
      <c r="V184" s="24" t="s">
        <v>2849</v>
      </c>
      <c r="W184" s="52"/>
      <c r="X184" s="52"/>
      <c r="Y184" s="833"/>
    </row>
    <row r="185" spans="1:25" ht="15.75" customHeight="1">
      <c r="A185" s="248">
        <v>181</v>
      </c>
      <c r="B185" s="241" t="str">
        <f t="shared" ca="1" si="0"/>
        <v/>
      </c>
      <c r="C185" s="836"/>
      <c r="D185" s="63"/>
      <c r="E185" s="52"/>
      <c r="F185" s="253"/>
      <c r="G185" s="253"/>
      <c r="H185" s="253"/>
      <c r="I185" s="253"/>
      <c r="J185" s="253"/>
      <c r="K185" s="253"/>
      <c r="L185" s="253"/>
      <c r="M185" s="253"/>
      <c r="N185" s="253"/>
      <c r="O185" s="253"/>
      <c r="P185" s="253"/>
      <c r="Q185" s="21"/>
      <c r="R185" s="253"/>
      <c r="S185" s="253"/>
      <c r="T185" s="52"/>
      <c r="U185" s="253"/>
      <c r="V185" s="24" t="s">
        <v>2849</v>
      </c>
      <c r="W185" s="52"/>
      <c r="X185" s="52"/>
      <c r="Y185" s="833"/>
    </row>
    <row r="186" spans="1:25" ht="15.75" customHeight="1">
      <c r="A186" s="248">
        <v>182</v>
      </c>
      <c r="B186" s="241" t="str">
        <f t="shared" ca="1" si="0"/>
        <v/>
      </c>
      <c r="C186" s="836"/>
      <c r="D186" s="63"/>
      <c r="E186" s="52"/>
      <c r="F186" s="253"/>
      <c r="G186" s="253"/>
      <c r="H186" s="253"/>
      <c r="I186" s="253"/>
      <c r="J186" s="253"/>
      <c r="K186" s="253"/>
      <c r="L186" s="253"/>
      <c r="M186" s="253"/>
      <c r="N186" s="253"/>
      <c r="O186" s="253"/>
      <c r="P186" s="253"/>
      <c r="Q186" s="21"/>
      <c r="R186" s="253"/>
      <c r="S186" s="253"/>
      <c r="T186" s="52"/>
      <c r="U186" s="253"/>
      <c r="V186" s="24" t="s">
        <v>2849</v>
      </c>
      <c r="W186" s="52"/>
      <c r="X186" s="52"/>
      <c r="Y186" s="833"/>
    </row>
    <row r="187" spans="1:25" ht="15.75" customHeight="1">
      <c r="A187" s="248">
        <v>183</v>
      </c>
      <c r="B187" s="241" t="str">
        <f t="shared" ca="1" si="0"/>
        <v/>
      </c>
      <c r="C187" s="836"/>
      <c r="D187" s="63"/>
      <c r="E187" s="52"/>
      <c r="F187" s="253"/>
      <c r="G187" s="253"/>
      <c r="H187" s="253"/>
      <c r="I187" s="253"/>
      <c r="J187" s="253"/>
      <c r="K187" s="253"/>
      <c r="L187" s="253"/>
      <c r="M187" s="253"/>
      <c r="N187" s="253"/>
      <c r="O187" s="253"/>
      <c r="P187" s="253"/>
      <c r="Q187" s="21"/>
      <c r="R187" s="253"/>
      <c r="S187" s="253"/>
      <c r="T187" s="52"/>
      <c r="U187" s="253"/>
      <c r="V187" s="24" t="s">
        <v>2849</v>
      </c>
      <c r="W187" s="52"/>
      <c r="X187" s="52"/>
      <c r="Y187" s="833"/>
    </row>
    <row r="188" spans="1:25" ht="15.75" customHeight="1">
      <c r="A188" s="248">
        <v>184</v>
      </c>
      <c r="B188" s="241" t="str">
        <f t="shared" ca="1" si="0"/>
        <v/>
      </c>
      <c r="C188" s="836"/>
      <c r="D188" s="63"/>
      <c r="E188" s="52"/>
      <c r="F188" s="253"/>
      <c r="G188" s="253"/>
      <c r="H188" s="253"/>
      <c r="I188" s="253"/>
      <c r="J188" s="253"/>
      <c r="K188" s="253"/>
      <c r="L188" s="253"/>
      <c r="M188" s="253"/>
      <c r="N188" s="253"/>
      <c r="O188" s="253"/>
      <c r="P188" s="253"/>
      <c r="Q188" s="21"/>
      <c r="R188" s="253"/>
      <c r="S188" s="253"/>
      <c r="T188" s="52"/>
      <c r="U188" s="253"/>
      <c r="V188" s="24" t="s">
        <v>2849</v>
      </c>
      <c r="W188" s="52"/>
      <c r="X188" s="52"/>
      <c r="Y188" s="833"/>
    </row>
    <row r="189" spans="1:25" ht="15.75" customHeight="1">
      <c r="A189" s="248">
        <v>185</v>
      </c>
      <c r="B189" s="241" t="str">
        <f t="shared" ca="1" si="0"/>
        <v/>
      </c>
      <c r="C189" s="836"/>
      <c r="D189" s="63"/>
      <c r="E189" s="52"/>
      <c r="F189" s="253"/>
      <c r="G189" s="253"/>
      <c r="H189" s="253"/>
      <c r="I189" s="253"/>
      <c r="J189" s="253"/>
      <c r="K189" s="253"/>
      <c r="L189" s="253"/>
      <c r="M189" s="253"/>
      <c r="N189" s="253"/>
      <c r="O189" s="253"/>
      <c r="P189" s="253"/>
      <c r="Q189" s="21"/>
      <c r="R189" s="253"/>
      <c r="S189" s="253"/>
      <c r="T189" s="52"/>
      <c r="U189" s="253"/>
      <c r="V189" s="24" t="s">
        <v>2849</v>
      </c>
      <c r="W189" s="52"/>
      <c r="X189" s="52"/>
      <c r="Y189" s="833"/>
    </row>
    <row r="190" spans="1:25" ht="15.75" customHeight="1">
      <c r="A190" s="248">
        <v>186</v>
      </c>
      <c r="B190" s="241" t="str">
        <f t="shared" ca="1" si="0"/>
        <v/>
      </c>
      <c r="C190" s="836"/>
      <c r="D190" s="63"/>
      <c r="E190" s="52"/>
      <c r="F190" s="253"/>
      <c r="G190" s="253"/>
      <c r="H190" s="253"/>
      <c r="I190" s="253"/>
      <c r="J190" s="253"/>
      <c r="K190" s="253"/>
      <c r="L190" s="253"/>
      <c r="M190" s="253"/>
      <c r="N190" s="253"/>
      <c r="O190" s="253"/>
      <c r="P190" s="253"/>
      <c r="Q190" s="21"/>
      <c r="R190" s="253"/>
      <c r="S190" s="253"/>
      <c r="T190" s="52"/>
      <c r="U190" s="253"/>
      <c r="V190" s="24" t="s">
        <v>2849</v>
      </c>
      <c r="W190" s="52"/>
      <c r="X190" s="52"/>
      <c r="Y190" s="833"/>
    </row>
    <row r="191" spans="1:25" ht="15.75" customHeight="1">
      <c r="A191" s="248">
        <v>187</v>
      </c>
      <c r="B191" s="241" t="str">
        <f t="shared" ca="1" si="0"/>
        <v/>
      </c>
      <c r="C191" s="836"/>
      <c r="D191" s="63"/>
      <c r="E191" s="52"/>
      <c r="F191" s="253"/>
      <c r="G191" s="253"/>
      <c r="H191" s="253"/>
      <c r="I191" s="253"/>
      <c r="J191" s="253"/>
      <c r="K191" s="253"/>
      <c r="L191" s="253"/>
      <c r="M191" s="253"/>
      <c r="N191" s="253"/>
      <c r="O191" s="253"/>
      <c r="P191" s="253"/>
      <c r="Q191" s="21"/>
      <c r="R191" s="253"/>
      <c r="S191" s="253"/>
      <c r="T191" s="52"/>
      <c r="U191" s="253"/>
      <c r="V191" s="24" t="s">
        <v>2849</v>
      </c>
      <c r="W191" s="52"/>
      <c r="X191" s="52"/>
      <c r="Y191" s="833"/>
    </row>
    <row r="192" spans="1:25" ht="15.75" customHeight="1">
      <c r="A192" s="248">
        <v>188</v>
      </c>
      <c r="B192" s="241" t="str">
        <f t="shared" ca="1" si="0"/>
        <v/>
      </c>
      <c r="C192" s="836"/>
      <c r="D192" s="63"/>
      <c r="E192" s="52"/>
      <c r="F192" s="253"/>
      <c r="G192" s="253"/>
      <c r="H192" s="253"/>
      <c r="I192" s="253"/>
      <c r="J192" s="253"/>
      <c r="K192" s="253"/>
      <c r="L192" s="253"/>
      <c r="M192" s="253"/>
      <c r="N192" s="253"/>
      <c r="O192" s="253"/>
      <c r="P192" s="253"/>
      <c r="Q192" s="21"/>
      <c r="R192" s="253"/>
      <c r="S192" s="253"/>
      <c r="T192" s="52"/>
      <c r="U192" s="253"/>
      <c r="V192" s="24" t="s">
        <v>2849</v>
      </c>
      <c r="W192" s="52"/>
      <c r="X192" s="52"/>
      <c r="Y192" s="833"/>
    </row>
    <row r="193" spans="1:25" ht="15.75" customHeight="1">
      <c r="A193" s="248">
        <v>189</v>
      </c>
      <c r="B193" s="241" t="str">
        <f t="shared" ca="1" si="0"/>
        <v/>
      </c>
      <c r="C193" s="836"/>
      <c r="D193" s="63"/>
      <c r="E193" s="52"/>
      <c r="F193" s="253"/>
      <c r="G193" s="253"/>
      <c r="H193" s="253"/>
      <c r="I193" s="253"/>
      <c r="J193" s="253"/>
      <c r="K193" s="253"/>
      <c r="L193" s="253"/>
      <c r="M193" s="253"/>
      <c r="N193" s="253"/>
      <c r="O193" s="253"/>
      <c r="P193" s="253"/>
      <c r="Q193" s="21"/>
      <c r="R193" s="253"/>
      <c r="S193" s="253"/>
      <c r="T193" s="52"/>
      <c r="U193" s="253"/>
      <c r="V193" s="24" t="s">
        <v>2849</v>
      </c>
      <c r="W193" s="52"/>
      <c r="X193" s="52"/>
      <c r="Y193" s="833"/>
    </row>
    <row r="194" spans="1:25" ht="15.75" customHeight="1">
      <c r="A194" s="248">
        <v>190</v>
      </c>
      <c r="B194" s="241" t="str">
        <f t="shared" ca="1" si="0"/>
        <v/>
      </c>
      <c r="C194" s="836"/>
      <c r="D194" s="63"/>
      <c r="E194" s="52"/>
      <c r="F194" s="253"/>
      <c r="G194" s="253"/>
      <c r="H194" s="253"/>
      <c r="I194" s="253"/>
      <c r="J194" s="253"/>
      <c r="K194" s="253"/>
      <c r="L194" s="253"/>
      <c r="M194" s="253"/>
      <c r="N194" s="253"/>
      <c r="O194" s="253"/>
      <c r="P194" s="253"/>
      <c r="Q194" s="21"/>
      <c r="R194" s="253"/>
      <c r="S194" s="253"/>
      <c r="T194" s="52"/>
      <c r="U194" s="253"/>
      <c r="V194" s="24" t="s">
        <v>2849</v>
      </c>
      <c r="W194" s="52"/>
      <c r="X194" s="52"/>
      <c r="Y194" s="833"/>
    </row>
    <row r="195" spans="1:25" ht="15.75" customHeight="1">
      <c r="A195" s="248">
        <v>191</v>
      </c>
      <c r="B195" s="241" t="str">
        <f t="shared" ca="1" si="0"/>
        <v/>
      </c>
      <c r="C195" s="836"/>
      <c r="D195" s="63"/>
      <c r="E195" s="52"/>
      <c r="F195" s="253"/>
      <c r="G195" s="253"/>
      <c r="H195" s="253"/>
      <c r="I195" s="253"/>
      <c r="J195" s="253"/>
      <c r="K195" s="253"/>
      <c r="L195" s="253"/>
      <c r="M195" s="253"/>
      <c r="N195" s="253"/>
      <c r="O195" s="253"/>
      <c r="P195" s="253"/>
      <c r="Q195" s="21"/>
      <c r="R195" s="253"/>
      <c r="S195" s="253"/>
      <c r="T195" s="52"/>
      <c r="U195" s="253"/>
      <c r="V195" s="24" t="s">
        <v>2849</v>
      </c>
      <c r="W195" s="52"/>
      <c r="X195" s="52"/>
      <c r="Y195" s="833"/>
    </row>
    <row r="196" spans="1:25" ht="15.75" customHeight="1">
      <c r="A196" s="248">
        <v>192</v>
      </c>
      <c r="B196" s="241" t="str">
        <f t="shared" ca="1" si="0"/>
        <v/>
      </c>
      <c r="C196" s="836"/>
      <c r="D196" s="63"/>
      <c r="E196" s="52"/>
      <c r="F196" s="253"/>
      <c r="G196" s="253"/>
      <c r="H196" s="253"/>
      <c r="I196" s="253"/>
      <c r="J196" s="253"/>
      <c r="K196" s="253"/>
      <c r="L196" s="253"/>
      <c r="M196" s="253"/>
      <c r="N196" s="253"/>
      <c r="O196" s="253"/>
      <c r="P196" s="253"/>
      <c r="Q196" s="21"/>
      <c r="R196" s="253"/>
      <c r="S196" s="253"/>
      <c r="T196" s="52"/>
      <c r="U196" s="253"/>
      <c r="V196" s="24" t="s">
        <v>2849</v>
      </c>
      <c r="W196" s="52"/>
      <c r="X196" s="52"/>
      <c r="Y196" s="833"/>
    </row>
    <row r="197" spans="1:25" ht="15.75" customHeight="1">
      <c r="A197" s="248">
        <v>193</v>
      </c>
      <c r="B197" s="241" t="str">
        <f t="shared" ca="1" si="0"/>
        <v/>
      </c>
      <c r="C197" s="836"/>
      <c r="D197" s="63"/>
      <c r="E197" s="52"/>
      <c r="F197" s="253"/>
      <c r="G197" s="253"/>
      <c r="H197" s="253"/>
      <c r="I197" s="253"/>
      <c r="J197" s="253"/>
      <c r="K197" s="253"/>
      <c r="L197" s="253"/>
      <c r="M197" s="253"/>
      <c r="N197" s="253"/>
      <c r="O197" s="253"/>
      <c r="P197" s="253"/>
      <c r="Q197" s="21"/>
      <c r="R197" s="253"/>
      <c r="S197" s="253"/>
      <c r="T197" s="52"/>
      <c r="U197" s="253"/>
      <c r="V197" s="24" t="s">
        <v>2849</v>
      </c>
      <c r="W197" s="52"/>
      <c r="X197" s="52"/>
      <c r="Y197" s="833"/>
    </row>
    <row r="198" spans="1:25" ht="15.75" customHeight="1">
      <c r="A198" s="248">
        <v>194</v>
      </c>
      <c r="B198" s="241" t="str">
        <f t="shared" ca="1" si="0"/>
        <v/>
      </c>
      <c r="C198" s="836"/>
      <c r="D198" s="63"/>
      <c r="E198" s="52"/>
      <c r="F198" s="253"/>
      <c r="G198" s="253"/>
      <c r="H198" s="253"/>
      <c r="I198" s="253"/>
      <c r="J198" s="253"/>
      <c r="K198" s="253"/>
      <c r="L198" s="253"/>
      <c r="M198" s="253"/>
      <c r="N198" s="253"/>
      <c r="O198" s="253"/>
      <c r="P198" s="253"/>
      <c r="Q198" s="21"/>
      <c r="R198" s="253"/>
      <c r="S198" s="253"/>
      <c r="T198" s="52"/>
      <c r="U198" s="253"/>
      <c r="V198" s="24" t="s">
        <v>2849</v>
      </c>
      <c r="W198" s="52"/>
      <c r="X198" s="52"/>
      <c r="Y198" s="833"/>
    </row>
    <row r="199" spans="1:25" ht="15.75" customHeight="1">
      <c r="A199" s="848">
        <v>195</v>
      </c>
      <c r="B199" s="241" t="str">
        <f t="shared" ca="1" si="0"/>
        <v/>
      </c>
      <c r="C199" s="849"/>
      <c r="D199" s="63"/>
      <c r="E199" s="850"/>
      <c r="F199" s="851"/>
      <c r="G199" s="253"/>
      <c r="H199" s="253"/>
      <c r="I199" s="253"/>
      <c r="J199" s="253"/>
      <c r="K199" s="253"/>
      <c r="L199" s="253"/>
      <c r="M199" s="253"/>
      <c r="N199" s="253"/>
      <c r="O199" s="253"/>
      <c r="P199" s="253"/>
      <c r="Q199" s="21"/>
      <c r="R199" s="253"/>
      <c r="S199" s="851"/>
      <c r="T199" s="850"/>
      <c r="U199" s="851"/>
      <c r="V199" s="24" t="s">
        <v>2849</v>
      </c>
      <c r="W199" s="850"/>
      <c r="X199" s="850"/>
      <c r="Y199" s="852"/>
    </row>
    <row r="200" spans="1:25" ht="15.75" customHeight="1">
      <c r="G200" s="272"/>
      <c r="W200" s="274"/>
      <c r="X200" s="274"/>
      <c r="Y200" s="272"/>
    </row>
    <row r="201" spans="1:25" ht="15.75" customHeight="1">
      <c r="G201" s="272" t="s">
        <v>2897</v>
      </c>
      <c r="H201" s="853">
        <v>2</v>
      </c>
      <c r="W201" s="274"/>
      <c r="X201" s="274"/>
      <c r="Y201" s="272"/>
    </row>
    <row r="202" spans="1:25" ht="15.75" customHeight="1">
      <c r="G202" s="272"/>
      <c r="W202" s="274"/>
      <c r="X202" s="274"/>
      <c r="Y202" s="272"/>
    </row>
    <row r="203" spans="1:25" ht="15.75" customHeight="1">
      <c r="G203" s="272"/>
      <c r="W203" s="274"/>
      <c r="X203" s="274"/>
      <c r="Y203" s="272"/>
    </row>
    <row r="204" spans="1:25" ht="15.75" customHeight="1">
      <c r="G204" s="272"/>
      <c r="W204" s="274"/>
      <c r="X204" s="274"/>
      <c r="Y204" s="272"/>
    </row>
    <row r="205" spans="1:25" ht="15.75" customHeight="1">
      <c r="G205" s="272"/>
      <c r="W205" s="274"/>
      <c r="X205" s="274"/>
      <c r="Y205" s="272"/>
    </row>
    <row r="206" spans="1:25" ht="15.75" customHeight="1">
      <c r="G206" s="272"/>
      <c r="W206" s="274"/>
      <c r="X206" s="274"/>
      <c r="Y206" s="272"/>
    </row>
    <row r="207" spans="1:25" ht="15.75" customHeight="1">
      <c r="G207" s="272"/>
      <c r="W207" s="274"/>
      <c r="X207" s="274"/>
      <c r="Y207" s="272"/>
    </row>
    <row r="208" spans="1:25" ht="15.75" customHeight="1">
      <c r="G208" s="272"/>
      <c r="W208" s="274"/>
      <c r="X208" s="274"/>
      <c r="Y208" s="272"/>
    </row>
    <row r="209" spans="7:25" ht="15.75" customHeight="1">
      <c r="G209" s="272"/>
      <c r="W209" s="274"/>
      <c r="X209" s="274"/>
      <c r="Y209" s="272"/>
    </row>
    <row r="210" spans="7:25" ht="15.75" customHeight="1">
      <c r="G210" s="272"/>
      <c r="W210" s="274"/>
      <c r="X210" s="274"/>
      <c r="Y210" s="272"/>
    </row>
    <row r="211" spans="7:25" ht="15.75" customHeight="1">
      <c r="G211" s="272"/>
      <c r="W211" s="274"/>
      <c r="X211" s="274"/>
      <c r="Y211" s="272"/>
    </row>
    <row r="212" spans="7:25" ht="15.75" customHeight="1">
      <c r="G212" s="272"/>
      <c r="W212" s="274"/>
      <c r="X212" s="274"/>
      <c r="Y212" s="272"/>
    </row>
    <row r="213" spans="7:25" ht="15.75" customHeight="1">
      <c r="G213" s="272"/>
      <c r="W213" s="274"/>
      <c r="X213" s="274"/>
      <c r="Y213" s="272"/>
    </row>
    <row r="214" spans="7:25" ht="15.75" customHeight="1">
      <c r="G214" s="272"/>
      <c r="W214" s="274"/>
      <c r="X214" s="274"/>
      <c r="Y214" s="272"/>
    </row>
    <row r="215" spans="7:25" ht="15.75" customHeight="1">
      <c r="G215" s="272"/>
      <c r="W215" s="274"/>
      <c r="X215" s="274"/>
      <c r="Y215" s="272"/>
    </row>
    <row r="216" spans="7:25" ht="15.75" customHeight="1">
      <c r="G216" s="272"/>
      <c r="W216" s="274"/>
      <c r="X216" s="274"/>
      <c r="Y216" s="272"/>
    </row>
    <row r="217" spans="7:25" ht="15.75" customHeight="1">
      <c r="G217" s="272"/>
      <c r="W217" s="274"/>
      <c r="X217" s="274"/>
      <c r="Y217" s="272"/>
    </row>
    <row r="218" spans="7:25" ht="15.75" customHeight="1">
      <c r="G218" s="272"/>
      <c r="W218" s="274"/>
      <c r="X218" s="274"/>
      <c r="Y218" s="272"/>
    </row>
    <row r="219" spans="7:25" ht="15.75" customHeight="1">
      <c r="G219" s="272"/>
      <c r="W219" s="274"/>
      <c r="X219" s="274"/>
      <c r="Y219" s="272"/>
    </row>
    <row r="220" spans="7:25" ht="15.75" customHeight="1">
      <c r="G220" s="272"/>
      <c r="W220" s="274"/>
      <c r="X220" s="274"/>
      <c r="Y220" s="272"/>
    </row>
    <row r="221" spans="7:25" ht="15.75" customHeight="1">
      <c r="G221" s="272"/>
      <c r="W221" s="274"/>
      <c r="X221" s="274"/>
      <c r="Y221" s="272"/>
    </row>
    <row r="222" spans="7:25" ht="15.75" customHeight="1">
      <c r="G222" s="272"/>
      <c r="W222" s="274"/>
      <c r="X222" s="274"/>
      <c r="Y222" s="272"/>
    </row>
    <row r="223" spans="7:25" ht="15.75" customHeight="1">
      <c r="G223" s="272"/>
      <c r="W223" s="274"/>
      <c r="X223" s="274"/>
      <c r="Y223" s="272"/>
    </row>
    <row r="224" spans="7:25" ht="15.75" customHeight="1">
      <c r="G224" s="272"/>
      <c r="W224" s="274"/>
      <c r="X224" s="274"/>
      <c r="Y224" s="272"/>
    </row>
    <row r="225" spans="7:25" ht="15.75" customHeight="1">
      <c r="G225" s="272"/>
      <c r="W225" s="274"/>
      <c r="X225" s="274"/>
      <c r="Y225" s="272"/>
    </row>
    <row r="226" spans="7:25" ht="15.75" customHeight="1">
      <c r="G226" s="272"/>
      <c r="W226" s="274"/>
      <c r="X226" s="274"/>
      <c r="Y226" s="272"/>
    </row>
    <row r="227" spans="7:25" ht="15.75" customHeight="1">
      <c r="G227" s="272"/>
      <c r="W227" s="274"/>
      <c r="X227" s="274"/>
      <c r="Y227" s="272"/>
    </row>
    <row r="228" spans="7:25" ht="15.75" customHeight="1">
      <c r="G228" s="272"/>
      <c r="W228" s="274"/>
      <c r="X228" s="274"/>
      <c r="Y228" s="272"/>
    </row>
    <row r="229" spans="7:25" ht="15.75" customHeight="1">
      <c r="G229" s="272"/>
      <c r="W229" s="274"/>
      <c r="X229" s="274"/>
      <c r="Y229" s="272"/>
    </row>
    <row r="230" spans="7:25" ht="15.75" customHeight="1">
      <c r="G230" s="272"/>
      <c r="W230" s="274"/>
      <c r="X230" s="274"/>
      <c r="Y230" s="272"/>
    </row>
    <row r="231" spans="7:25" ht="15.75" customHeight="1">
      <c r="G231" s="272"/>
      <c r="W231" s="274"/>
      <c r="X231" s="274"/>
      <c r="Y231" s="272"/>
    </row>
    <row r="232" spans="7:25" ht="15.75" customHeight="1">
      <c r="G232" s="272"/>
      <c r="W232" s="274"/>
      <c r="X232" s="274"/>
      <c r="Y232" s="272"/>
    </row>
    <row r="233" spans="7:25" ht="15.75" customHeight="1">
      <c r="G233" s="272"/>
      <c r="W233" s="274"/>
      <c r="X233" s="274"/>
      <c r="Y233" s="272"/>
    </row>
    <row r="234" spans="7:25" ht="15.75" customHeight="1">
      <c r="G234" s="272"/>
      <c r="W234" s="274"/>
      <c r="X234" s="274"/>
      <c r="Y234" s="272"/>
    </row>
    <row r="235" spans="7:25" ht="15.75" customHeight="1">
      <c r="G235" s="272"/>
      <c r="W235" s="274"/>
      <c r="X235" s="274"/>
      <c r="Y235" s="272"/>
    </row>
    <row r="236" spans="7:25" ht="15.75" customHeight="1">
      <c r="G236" s="272"/>
      <c r="W236" s="274"/>
      <c r="X236" s="274"/>
      <c r="Y236" s="272"/>
    </row>
    <row r="237" spans="7:25" ht="15.75" customHeight="1">
      <c r="G237" s="272"/>
      <c r="W237" s="274"/>
      <c r="X237" s="274"/>
      <c r="Y237" s="272"/>
    </row>
    <row r="238" spans="7:25" ht="15.75" customHeight="1">
      <c r="G238" s="272"/>
      <c r="W238" s="274"/>
      <c r="X238" s="274"/>
      <c r="Y238" s="272"/>
    </row>
    <row r="239" spans="7:25" ht="15.75" customHeight="1">
      <c r="G239" s="272"/>
      <c r="W239" s="274"/>
      <c r="X239" s="274"/>
      <c r="Y239" s="272"/>
    </row>
    <row r="240" spans="7:25" ht="15.75" customHeight="1">
      <c r="G240" s="272"/>
      <c r="W240" s="274"/>
      <c r="X240" s="274"/>
      <c r="Y240" s="272"/>
    </row>
    <row r="241" spans="7:25" ht="15.75" customHeight="1">
      <c r="G241" s="272"/>
      <c r="W241" s="274"/>
      <c r="X241" s="274"/>
      <c r="Y241" s="272"/>
    </row>
    <row r="242" spans="7:25" ht="15.75" customHeight="1">
      <c r="G242" s="272"/>
      <c r="W242" s="274"/>
      <c r="X242" s="274"/>
      <c r="Y242" s="272"/>
    </row>
    <row r="243" spans="7:25" ht="15.75" customHeight="1">
      <c r="G243" s="272"/>
      <c r="W243" s="274"/>
      <c r="X243" s="274"/>
      <c r="Y243" s="272"/>
    </row>
    <row r="244" spans="7:25" ht="15.75" customHeight="1">
      <c r="G244" s="272"/>
      <c r="W244" s="274"/>
      <c r="X244" s="274"/>
      <c r="Y244" s="272"/>
    </row>
    <row r="245" spans="7:25" ht="15.75" customHeight="1">
      <c r="G245" s="272"/>
      <c r="W245" s="274"/>
      <c r="X245" s="274"/>
      <c r="Y245" s="272"/>
    </row>
    <row r="246" spans="7:25" ht="15.75" customHeight="1">
      <c r="G246" s="272"/>
      <c r="W246" s="274"/>
      <c r="X246" s="274"/>
      <c r="Y246" s="272"/>
    </row>
    <row r="247" spans="7:25" ht="15.75" customHeight="1">
      <c r="G247" s="272"/>
      <c r="W247" s="274"/>
      <c r="X247" s="274"/>
      <c r="Y247" s="272"/>
    </row>
    <row r="248" spans="7:25" ht="15.75" customHeight="1">
      <c r="G248" s="272"/>
      <c r="W248" s="274"/>
      <c r="X248" s="274"/>
      <c r="Y248" s="272"/>
    </row>
    <row r="249" spans="7:25" ht="15.75" customHeight="1">
      <c r="G249" s="272"/>
      <c r="W249" s="274"/>
      <c r="X249" s="274"/>
      <c r="Y249" s="272"/>
    </row>
    <row r="250" spans="7:25" ht="15.75" customHeight="1">
      <c r="G250" s="272"/>
      <c r="W250" s="274"/>
      <c r="X250" s="274"/>
      <c r="Y250" s="272"/>
    </row>
    <row r="251" spans="7:25" ht="15.75" customHeight="1">
      <c r="G251" s="272"/>
      <c r="W251" s="274"/>
      <c r="X251" s="274"/>
      <c r="Y251" s="272"/>
    </row>
    <row r="252" spans="7:25" ht="15.75" customHeight="1">
      <c r="G252" s="272"/>
      <c r="W252" s="274"/>
      <c r="X252" s="274"/>
      <c r="Y252" s="272"/>
    </row>
    <row r="253" spans="7:25" ht="15.75" customHeight="1">
      <c r="G253" s="272"/>
      <c r="W253" s="274"/>
      <c r="X253" s="274"/>
      <c r="Y253" s="272"/>
    </row>
    <row r="254" spans="7:25" ht="15.75" customHeight="1">
      <c r="G254" s="272"/>
      <c r="W254" s="274"/>
      <c r="X254" s="274"/>
      <c r="Y254" s="272"/>
    </row>
    <row r="255" spans="7:25" ht="15.75" customHeight="1">
      <c r="G255" s="272"/>
      <c r="W255" s="274"/>
      <c r="X255" s="274"/>
      <c r="Y255" s="272"/>
    </row>
    <row r="256" spans="7:25" ht="15.75" customHeight="1">
      <c r="G256" s="272"/>
      <c r="W256" s="274"/>
      <c r="X256" s="274"/>
      <c r="Y256" s="272"/>
    </row>
    <row r="257" spans="7:25" ht="15.75" customHeight="1">
      <c r="G257" s="272"/>
      <c r="W257" s="274"/>
      <c r="X257" s="274"/>
      <c r="Y257" s="272"/>
    </row>
    <row r="258" spans="7:25" ht="15.75" customHeight="1">
      <c r="G258" s="272"/>
      <c r="W258" s="274"/>
      <c r="X258" s="274"/>
      <c r="Y258" s="272"/>
    </row>
    <row r="259" spans="7:25" ht="15.75" customHeight="1">
      <c r="G259" s="272"/>
      <c r="W259" s="274"/>
      <c r="X259" s="274"/>
      <c r="Y259" s="272"/>
    </row>
    <row r="260" spans="7:25" ht="15.75" customHeight="1">
      <c r="G260" s="272"/>
      <c r="W260" s="274"/>
      <c r="X260" s="274"/>
      <c r="Y260" s="272"/>
    </row>
    <row r="261" spans="7:25" ht="15.75" customHeight="1">
      <c r="G261" s="272"/>
      <c r="W261" s="274"/>
      <c r="X261" s="274"/>
      <c r="Y261" s="272"/>
    </row>
    <row r="262" spans="7:25" ht="15.75" customHeight="1">
      <c r="G262" s="272"/>
      <c r="W262" s="274"/>
      <c r="X262" s="274"/>
      <c r="Y262" s="272"/>
    </row>
    <row r="263" spans="7:25" ht="15.75" customHeight="1">
      <c r="G263" s="272"/>
      <c r="W263" s="274"/>
      <c r="X263" s="274"/>
      <c r="Y263" s="272"/>
    </row>
    <row r="264" spans="7:25" ht="15.75" customHeight="1">
      <c r="G264" s="272"/>
      <c r="W264" s="274"/>
      <c r="X264" s="274"/>
      <c r="Y264" s="272"/>
    </row>
    <row r="265" spans="7:25" ht="15.75" customHeight="1">
      <c r="G265" s="272"/>
      <c r="W265" s="274"/>
      <c r="X265" s="274"/>
      <c r="Y265" s="272"/>
    </row>
    <row r="266" spans="7:25" ht="15.75" customHeight="1">
      <c r="G266" s="272"/>
      <c r="W266" s="274"/>
      <c r="X266" s="274"/>
      <c r="Y266" s="272"/>
    </row>
    <row r="267" spans="7:25" ht="15.75" customHeight="1">
      <c r="G267" s="272"/>
      <c r="W267" s="274"/>
      <c r="X267" s="274"/>
      <c r="Y267" s="272"/>
    </row>
    <row r="268" spans="7:25" ht="15.75" customHeight="1">
      <c r="G268" s="272"/>
      <c r="W268" s="274"/>
      <c r="X268" s="274"/>
      <c r="Y268" s="272"/>
    </row>
    <row r="269" spans="7:25" ht="15.75" customHeight="1">
      <c r="G269" s="272"/>
      <c r="W269" s="274"/>
      <c r="X269" s="274"/>
      <c r="Y269" s="272"/>
    </row>
    <row r="270" spans="7:25" ht="15.75" customHeight="1">
      <c r="G270" s="272"/>
      <c r="W270" s="274"/>
      <c r="X270" s="274"/>
      <c r="Y270" s="272"/>
    </row>
    <row r="271" spans="7:25" ht="15.75" customHeight="1">
      <c r="G271" s="272"/>
      <c r="W271" s="274"/>
      <c r="X271" s="274"/>
      <c r="Y271" s="272"/>
    </row>
    <row r="272" spans="7:25" ht="15.75" customHeight="1">
      <c r="G272" s="272"/>
      <c r="W272" s="274"/>
      <c r="X272" s="274"/>
      <c r="Y272" s="272"/>
    </row>
    <row r="273" spans="7:25" ht="15.75" customHeight="1">
      <c r="G273" s="272"/>
      <c r="W273" s="274"/>
      <c r="X273" s="274"/>
      <c r="Y273" s="272"/>
    </row>
    <row r="274" spans="7:25" ht="15.75" customHeight="1">
      <c r="G274" s="272"/>
      <c r="W274" s="274"/>
      <c r="X274" s="274"/>
      <c r="Y274" s="272"/>
    </row>
    <row r="275" spans="7:25" ht="15.75" customHeight="1">
      <c r="G275" s="272"/>
      <c r="W275" s="274"/>
      <c r="X275" s="274"/>
      <c r="Y275" s="272"/>
    </row>
    <row r="276" spans="7:25" ht="15.75" customHeight="1">
      <c r="G276" s="272"/>
      <c r="W276" s="274"/>
      <c r="X276" s="274"/>
      <c r="Y276" s="272"/>
    </row>
    <row r="277" spans="7:25" ht="15.75" customHeight="1">
      <c r="G277" s="272"/>
      <c r="W277" s="274"/>
      <c r="X277" s="274"/>
      <c r="Y277" s="272"/>
    </row>
    <row r="278" spans="7:25" ht="15.75" customHeight="1">
      <c r="G278" s="272"/>
      <c r="W278" s="274"/>
      <c r="X278" s="274"/>
      <c r="Y278" s="272"/>
    </row>
    <row r="279" spans="7:25" ht="15.75" customHeight="1">
      <c r="G279" s="272"/>
      <c r="W279" s="274"/>
      <c r="X279" s="274"/>
      <c r="Y279" s="272"/>
    </row>
    <row r="280" spans="7:25" ht="15.75" customHeight="1">
      <c r="G280" s="272"/>
      <c r="W280" s="274"/>
      <c r="X280" s="274"/>
      <c r="Y280" s="272"/>
    </row>
    <row r="281" spans="7:25" ht="15.75" customHeight="1">
      <c r="G281" s="272"/>
      <c r="W281" s="274"/>
      <c r="X281" s="274"/>
      <c r="Y281" s="272"/>
    </row>
    <row r="282" spans="7:25" ht="15.75" customHeight="1">
      <c r="G282" s="272"/>
      <c r="W282" s="274"/>
      <c r="X282" s="274"/>
      <c r="Y282" s="272"/>
    </row>
    <row r="283" spans="7:25" ht="15.75" customHeight="1">
      <c r="G283" s="272"/>
      <c r="W283" s="274"/>
      <c r="X283" s="274"/>
      <c r="Y283" s="272"/>
    </row>
    <row r="284" spans="7:25" ht="15.75" customHeight="1">
      <c r="G284" s="272"/>
      <c r="W284" s="274"/>
      <c r="X284" s="274"/>
      <c r="Y284" s="272"/>
    </row>
    <row r="285" spans="7:25" ht="15.75" customHeight="1">
      <c r="G285" s="272"/>
      <c r="W285" s="274"/>
      <c r="X285" s="274"/>
      <c r="Y285" s="272"/>
    </row>
    <row r="286" spans="7:25" ht="15.75" customHeight="1">
      <c r="G286" s="272"/>
      <c r="W286" s="274"/>
      <c r="X286" s="274"/>
      <c r="Y286" s="272"/>
    </row>
    <row r="287" spans="7:25" ht="15.75" customHeight="1">
      <c r="G287" s="272"/>
      <c r="W287" s="274"/>
      <c r="X287" s="274"/>
      <c r="Y287" s="272"/>
    </row>
    <row r="288" spans="7:25" ht="15.75" customHeight="1">
      <c r="G288" s="272"/>
      <c r="W288" s="274"/>
      <c r="X288" s="274"/>
      <c r="Y288" s="272"/>
    </row>
    <row r="289" spans="7:25" ht="15.75" customHeight="1">
      <c r="G289" s="272"/>
      <c r="W289" s="274"/>
      <c r="X289" s="274"/>
      <c r="Y289" s="272"/>
    </row>
    <row r="290" spans="7:25" ht="15.75" customHeight="1">
      <c r="G290" s="272"/>
      <c r="W290" s="274"/>
      <c r="X290" s="274"/>
      <c r="Y290" s="272"/>
    </row>
    <row r="291" spans="7:25" ht="15.75" customHeight="1">
      <c r="G291" s="272"/>
      <c r="W291" s="274"/>
      <c r="X291" s="274"/>
      <c r="Y291" s="272"/>
    </row>
    <row r="292" spans="7:25" ht="15.75" customHeight="1">
      <c r="G292" s="272"/>
      <c r="W292" s="274"/>
      <c r="X292" s="274"/>
      <c r="Y292" s="272"/>
    </row>
    <row r="293" spans="7:25" ht="15.75" customHeight="1">
      <c r="G293" s="272"/>
      <c r="W293" s="274"/>
      <c r="X293" s="274"/>
      <c r="Y293" s="272"/>
    </row>
    <row r="294" spans="7:25" ht="15.75" customHeight="1">
      <c r="G294" s="272"/>
      <c r="W294" s="274"/>
      <c r="X294" s="274"/>
      <c r="Y294" s="272"/>
    </row>
    <row r="295" spans="7:25" ht="15.75" customHeight="1">
      <c r="G295" s="272"/>
      <c r="W295" s="274"/>
      <c r="X295" s="274"/>
      <c r="Y295" s="272"/>
    </row>
    <row r="296" spans="7:25" ht="15.75" customHeight="1">
      <c r="G296" s="272"/>
      <c r="W296" s="274"/>
      <c r="X296" s="274"/>
      <c r="Y296" s="272"/>
    </row>
    <row r="297" spans="7:25" ht="15.75" customHeight="1">
      <c r="G297" s="272"/>
      <c r="W297" s="274"/>
      <c r="X297" s="274"/>
      <c r="Y297" s="272"/>
    </row>
    <row r="298" spans="7:25" ht="15.75" customHeight="1">
      <c r="G298" s="272"/>
      <c r="W298" s="274"/>
      <c r="X298" s="274"/>
      <c r="Y298" s="272"/>
    </row>
    <row r="299" spans="7:25" ht="15.75" customHeight="1">
      <c r="G299" s="272"/>
      <c r="W299" s="274"/>
      <c r="X299" s="274"/>
      <c r="Y299" s="272"/>
    </row>
    <row r="300" spans="7:25" ht="15.75" customHeight="1">
      <c r="G300" s="272"/>
      <c r="W300" s="274"/>
      <c r="X300" s="274"/>
      <c r="Y300" s="272"/>
    </row>
    <row r="301" spans="7:25" ht="15.75" customHeight="1">
      <c r="G301" s="272"/>
      <c r="W301" s="274"/>
      <c r="X301" s="274"/>
      <c r="Y301" s="272"/>
    </row>
    <row r="302" spans="7:25" ht="15.75" customHeight="1">
      <c r="G302" s="272"/>
      <c r="W302" s="274"/>
      <c r="X302" s="274"/>
      <c r="Y302" s="272"/>
    </row>
    <row r="303" spans="7:25" ht="15.75" customHeight="1">
      <c r="G303" s="272"/>
      <c r="W303" s="274"/>
      <c r="X303" s="274"/>
      <c r="Y303" s="272"/>
    </row>
    <row r="304" spans="7:25" ht="15.75" customHeight="1">
      <c r="G304" s="272"/>
      <c r="W304" s="274"/>
      <c r="X304" s="274"/>
      <c r="Y304" s="272"/>
    </row>
    <row r="305" spans="7:25" ht="15.75" customHeight="1">
      <c r="G305" s="272"/>
      <c r="W305" s="274"/>
      <c r="X305" s="274"/>
      <c r="Y305" s="272"/>
    </row>
    <row r="306" spans="7:25" ht="15.75" customHeight="1">
      <c r="G306" s="272"/>
      <c r="W306" s="274"/>
      <c r="X306" s="274"/>
      <c r="Y306" s="272"/>
    </row>
    <row r="307" spans="7:25" ht="15.75" customHeight="1">
      <c r="G307" s="272"/>
      <c r="W307" s="274"/>
      <c r="X307" s="274"/>
      <c r="Y307" s="272"/>
    </row>
    <row r="308" spans="7:25" ht="15.75" customHeight="1">
      <c r="G308" s="272"/>
      <c r="W308" s="274"/>
      <c r="X308" s="274"/>
      <c r="Y308" s="272"/>
    </row>
    <row r="309" spans="7:25" ht="15.75" customHeight="1">
      <c r="G309" s="272"/>
      <c r="W309" s="274"/>
      <c r="X309" s="274"/>
      <c r="Y309" s="272"/>
    </row>
    <row r="310" spans="7:25" ht="15.75" customHeight="1">
      <c r="G310" s="272"/>
      <c r="W310" s="274"/>
      <c r="X310" s="274"/>
      <c r="Y310" s="272"/>
    </row>
    <row r="311" spans="7:25" ht="15.75" customHeight="1">
      <c r="G311" s="272"/>
      <c r="W311" s="274"/>
      <c r="X311" s="274"/>
      <c r="Y311" s="272"/>
    </row>
    <row r="312" spans="7:25" ht="15.75" customHeight="1">
      <c r="G312" s="272"/>
      <c r="W312" s="274"/>
      <c r="X312" s="274"/>
      <c r="Y312" s="272"/>
    </row>
    <row r="313" spans="7:25" ht="15.75" customHeight="1">
      <c r="G313" s="272"/>
      <c r="W313" s="274"/>
      <c r="X313" s="274"/>
      <c r="Y313" s="272"/>
    </row>
    <row r="314" spans="7:25" ht="15.75" customHeight="1">
      <c r="G314" s="272"/>
      <c r="W314" s="274"/>
      <c r="X314" s="274"/>
      <c r="Y314" s="272"/>
    </row>
    <row r="315" spans="7:25" ht="15.75" customHeight="1">
      <c r="G315" s="272"/>
      <c r="W315" s="274"/>
      <c r="X315" s="274"/>
      <c r="Y315" s="272"/>
    </row>
    <row r="316" spans="7:25" ht="15.75" customHeight="1">
      <c r="G316" s="272"/>
      <c r="W316" s="274"/>
      <c r="X316" s="274"/>
      <c r="Y316" s="272"/>
    </row>
    <row r="317" spans="7:25" ht="15.75" customHeight="1">
      <c r="G317" s="272"/>
      <c r="W317" s="274"/>
      <c r="X317" s="274"/>
      <c r="Y317" s="272"/>
    </row>
    <row r="318" spans="7:25" ht="15.75" customHeight="1">
      <c r="G318" s="272"/>
      <c r="W318" s="274"/>
      <c r="X318" s="274"/>
      <c r="Y318" s="272"/>
    </row>
    <row r="319" spans="7:25" ht="15.75" customHeight="1">
      <c r="G319" s="272"/>
      <c r="W319" s="274"/>
      <c r="X319" s="274"/>
      <c r="Y319" s="272"/>
    </row>
    <row r="320" spans="7:25" ht="15.75" customHeight="1">
      <c r="G320" s="272"/>
      <c r="W320" s="274"/>
      <c r="X320" s="274"/>
      <c r="Y320" s="272"/>
    </row>
    <row r="321" spans="7:25" ht="15.75" customHeight="1">
      <c r="G321" s="272"/>
      <c r="W321" s="274"/>
      <c r="X321" s="274"/>
      <c r="Y321" s="272"/>
    </row>
    <row r="322" spans="7:25" ht="15.75" customHeight="1">
      <c r="G322" s="272"/>
      <c r="W322" s="274"/>
      <c r="X322" s="274"/>
      <c r="Y322" s="272"/>
    </row>
    <row r="323" spans="7:25" ht="15.75" customHeight="1">
      <c r="G323" s="272"/>
      <c r="W323" s="274"/>
      <c r="X323" s="274"/>
      <c r="Y323" s="272"/>
    </row>
    <row r="324" spans="7:25" ht="15.75" customHeight="1">
      <c r="G324" s="272"/>
      <c r="W324" s="274"/>
      <c r="X324" s="274"/>
      <c r="Y324" s="272"/>
    </row>
    <row r="325" spans="7:25" ht="15.75" customHeight="1">
      <c r="G325" s="272"/>
      <c r="W325" s="274"/>
      <c r="X325" s="274"/>
      <c r="Y325" s="272"/>
    </row>
    <row r="326" spans="7:25" ht="15.75" customHeight="1">
      <c r="G326" s="272"/>
      <c r="W326" s="274"/>
      <c r="X326" s="274"/>
      <c r="Y326" s="272"/>
    </row>
    <row r="327" spans="7:25" ht="15.75" customHeight="1">
      <c r="G327" s="272"/>
      <c r="W327" s="274"/>
      <c r="X327" s="274"/>
      <c r="Y327" s="272"/>
    </row>
    <row r="328" spans="7:25" ht="15.75" customHeight="1">
      <c r="G328" s="272"/>
      <c r="W328" s="274"/>
      <c r="X328" s="274"/>
      <c r="Y328" s="272"/>
    </row>
    <row r="329" spans="7:25" ht="15.75" customHeight="1">
      <c r="G329" s="272"/>
      <c r="W329" s="274"/>
      <c r="X329" s="274"/>
      <c r="Y329" s="272"/>
    </row>
    <row r="330" spans="7:25" ht="15.75" customHeight="1">
      <c r="G330" s="272"/>
      <c r="W330" s="274"/>
      <c r="X330" s="274"/>
      <c r="Y330" s="272"/>
    </row>
    <row r="331" spans="7:25" ht="15.75" customHeight="1">
      <c r="G331" s="272"/>
      <c r="W331" s="274"/>
      <c r="X331" s="274"/>
      <c r="Y331" s="272"/>
    </row>
    <row r="332" spans="7:25" ht="15.75" customHeight="1">
      <c r="G332" s="272"/>
      <c r="W332" s="274"/>
      <c r="X332" s="274"/>
      <c r="Y332" s="272"/>
    </row>
    <row r="333" spans="7:25" ht="15.75" customHeight="1">
      <c r="G333" s="272"/>
      <c r="W333" s="274"/>
      <c r="X333" s="274"/>
      <c r="Y333" s="272"/>
    </row>
    <row r="334" spans="7:25" ht="15.75" customHeight="1">
      <c r="G334" s="272"/>
      <c r="W334" s="274"/>
      <c r="X334" s="274"/>
      <c r="Y334" s="272"/>
    </row>
    <row r="335" spans="7:25" ht="15.75" customHeight="1">
      <c r="G335" s="272"/>
      <c r="W335" s="274"/>
      <c r="X335" s="274"/>
      <c r="Y335" s="272"/>
    </row>
    <row r="336" spans="7:25" ht="15.75" customHeight="1">
      <c r="G336" s="272"/>
      <c r="W336" s="274"/>
      <c r="X336" s="274"/>
      <c r="Y336" s="272"/>
    </row>
    <row r="337" spans="7:25" ht="15.75" customHeight="1">
      <c r="G337" s="272"/>
      <c r="W337" s="274"/>
      <c r="X337" s="274"/>
      <c r="Y337" s="272"/>
    </row>
    <row r="338" spans="7:25" ht="15.75" customHeight="1">
      <c r="G338" s="272"/>
      <c r="W338" s="274"/>
      <c r="X338" s="274"/>
      <c r="Y338" s="272"/>
    </row>
    <row r="339" spans="7:25" ht="15.75" customHeight="1">
      <c r="G339" s="272"/>
      <c r="W339" s="274"/>
      <c r="X339" s="274"/>
      <c r="Y339" s="272"/>
    </row>
    <row r="340" spans="7:25" ht="15.75" customHeight="1">
      <c r="G340" s="272"/>
      <c r="W340" s="274"/>
      <c r="X340" s="274"/>
      <c r="Y340" s="272"/>
    </row>
    <row r="341" spans="7:25" ht="15.75" customHeight="1">
      <c r="G341" s="272"/>
      <c r="W341" s="274"/>
      <c r="X341" s="274"/>
      <c r="Y341" s="272"/>
    </row>
    <row r="342" spans="7:25" ht="15.75" customHeight="1">
      <c r="G342" s="272"/>
      <c r="W342" s="274"/>
      <c r="X342" s="274"/>
      <c r="Y342" s="272"/>
    </row>
    <row r="343" spans="7:25" ht="15.75" customHeight="1">
      <c r="G343" s="272"/>
      <c r="W343" s="274"/>
      <c r="X343" s="274"/>
      <c r="Y343" s="272"/>
    </row>
    <row r="344" spans="7:25" ht="15.75" customHeight="1">
      <c r="G344" s="272"/>
      <c r="W344" s="274"/>
      <c r="X344" s="274"/>
      <c r="Y344" s="272"/>
    </row>
    <row r="345" spans="7:25" ht="15.75" customHeight="1">
      <c r="G345" s="272"/>
      <c r="W345" s="274"/>
      <c r="X345" s="274"/>
      <c r="Y345" s="272"/>
    </row>
    <row r="346" spans="7:25" ht="15.75" customHeight="1">
      <c r="G346" s="272"/>
      <c r="W346" s="274"/>
      <c r="X346" s="274"/>
      <c r="Y346" s="272"/>
    </row>
    <row r="347" spans="7:25" ht="15.75" customHeight="1">
      <c r="G347" s="272"/>
      <c r="W347" s="274"/>
      <c r="X347" s="274"/>
      <c r="Y347" s="272"/>
    </row>
    <row r="348" spans="7:25" ht="15.75" customHeight="1">
      <c r="G348" s="272"/>
      <c r="W348" s="274"/>
      <c r="X348" s="274"/>
      <c r="Y348" s="272"/>
    </row>
    <row r="349" spans="7:25" ht="15.75" customHeight="1">
      <c r="G349" s="272"/>
      <c r="W349" s="274"/>
      <c r="X349" s="274"/>
      <c r="Y349" s="272"/>
    </row>
    <row r="350" spans="7:25" ht="15.75" customHeight="1">
      <c r="G350" s="272"/>
      <c r="W350" s="274"/>
      <c r="X350" s="274"/>
      <c r="Y350" s="272"/>
    </row>
    <row r="351" spans="7:25" ht="15.75" customHeight="1">
      <c r="G351" s="272"/>
      <c r="W351" s="274"/>
      <c r="X351" s="274"/>
      <c r="Y351" s="272"/>
    </row>
    <row r="352" spans="7:25" ht="15.75" customHeight="1">
      <c r="G352" s="272"/>
      <c r="W352" s="274"/>
      <c r="X352" s="274"/>
      <c r="Y352" s="272"/>
    </row>
    <row r="353" spans="7:25" ht="15.75" customHeight="1">
      <c r="G353" s="272"/>
      <c r="W353" s="274"/>
      <c r="X353" s="274"/>
      <c r="Y353" s="272"/>
    </row>
    <row r="354" spans="7:25" ht="15.75" customHeight="1">
      <c r="G354" s="272"/>
      <c r="W354" s="274"/>
      <c r="X354" s="274"/>
      <c r="Y354" s="272"/>
    </row>
    <row r="355" spans="7:25" ht="15.75" customHeight="1">
      <c r="G355" s="272"/>
      <c r="W355" s="274"/>
      <c r="X355" s="274"/>
      <c r="Y355" s="272"/>
    </row>
    <row r="356" spans="7:25" ht="15.75" customHeight="1">
      <c r="G356" s="272"/>
      <c r="W356" s="274"/>
      <c r="X356" s="274"/>
      <c r="Y356" s="272"/>
    </row>
    <row r="357" spans="7:25" ht="15.75" customHeight="1">
      <c r="G357" s="272"/>
      <c r="W357" s="274"/>
      <c r="X357" s="274"/>
      <c r="Y357" s="272"/>
    </row>
    <row r="358" spans="7:25" ht="15.75" customHeight="1">
      <c r="G358" s="272"/>
      <c r="W358" s="274"/>
      <c r="X358" s="274"/>
      <c r="Y358" s="272"/>
    </row>
    <row r="359" spans="7:25" ht="15.75" customHeight="1">
      <c r="G359" s="272"/>
      <c r="W359" s="274"/>
      <c r="X359" s="274"/>
      <c r="Y359" s="272"/>
    </row>
    <row r="360" spans="7:25" ht="15.75" customHeight="1">
      <c r="G360" s="272"/>
      <c r="W360" s="274"/>
      <c r="X360" s="274"/>
      <c r="Y360" s="272"/>
    </row>
    <row r="361" spans="7:25" ht="15.75" customHeight="1">
      <c r="G361" s="272"/>
      <c r="W361" s="274"/>
      <c r="X361" s="274"/>
      <c r="Y361" s="272"/>
    </row>
    <row r="362" spans="7:25" ht="15.75" customHeight="1">
      <c r="G362" s="272"/>
      <c r="W362" s="274"/>
      <c r="X362" s="274"/>
      <c r="Y362" s="272"/>
    </row>
    <row r="363" spans="7:25" ht="15.75" customHeight="1">
      <c r="G363" s="272"/>
      <c r="W363" s="274"/>
      <c r="X363" s="274"/>
      <c r="Y363" s="272"/>
    </row>
    <row r="364" spans="7:25" ht="15.75" customHeight="1">
      <c r="G364" s="272"/>
      <c r="W364" s="274"/>
      <c r="X364" s="274"/>
      <c r="Y364" s="272"/>
    </row>
    <row r="365" spans="7:25" ht="15.75" customHeight="1">
      <c r="G365" s="272"/>
      <c r="W365" s="274"/>
      <c r="X365" s="274"/>
      <c r="Y365" s="272"/>
    </row>
    <row r="366" spans="7:25" ht="15.75" customHeight="1">
      <c r="G366" s="272"/>
      <c r="W366" s="274"/>
      <c r="X366" s="274"/>
      <c r="Y366" s="272"/>
    </row>
    <row r="367" spans="7:25" ht="15.75" customHeight="1">
      <c r="G367" s="272"/>
      <c r="W367" s="274"/>
      <c r="X367" s="274"/>
      <c r="Y367" s="272"/>
    </row>
    <row r="368" spans="7:25" ht="15.75" customHeight="1">
      <c r="G368" s="272"/>
      <c r="W368" s="274"/>
      <c r="X368" s="274"/>
      <c r="Y368" s="272"/>
    </row>
    <row r="369" spans="7:25" ht="15.75" customHeight="1">
      <c r="G369" s="272"/>
      <c r="W369" s="274"/>
      <c r="X369" s="274"/>
      <c r="Y369" s="272"/>
    </row>
    <row r="370" spans="7:25" ht="15.75" customHeight="1">
      <c r="G370" s="272"/>
      <c r="W370" s="274"/>
      <c r="X370" s="274"/>
      <c r="Y370" s="272"/>
    </row>
    <row r="371" spans="7:25" ht="15.75" customHeight="1">
      <c r="G371" s="272"/>
      <c r="W371" s="274"/>
      <c r="X371" s="274"/>
      <c r="Y371" s="272"/>
    </row>
    <row r="372" spans="7:25" ht="15.75" customHeight="1">
      <c r="G372" s="272"/>
      <c r="W372" s="274"/>
      <c r="X372" s="274"/>
      <c r="Y372" s="272"/>
    </row>
    <row r="373" spans="7:25" ht="15.75" customHeight="1">
      <c r="G373" s="272"/>
      <c r="W373" s="274"/>
      <c r="X373" s="274"/>
      <c r="Y373" s="272"/>
    </row>
    <row r="374" spans="7:25" ht="15.75" customHeight="1">
      <c r="G374" s="272"/>
      <c r="W374" s="274"/>
      <c r="X374" s="274"/>
      <c r="Y374" s="272"/>
    </row>
    <row r="375" spans="7:25" ht="15.75" customHeight="1">
      <c r="G375" s="272"/>
      <c r="W375" s="274"/>
      <c r="X375" s="274"/>
      <c r="Y375" s="272"/>
    </row>
    <row r="376" spans="7:25" ht="15.75" customHeight="1">
      <c r="G376" s="272"/>
      <c r="W376" s="274"/>
      <c r="X376" s="274"/>
      <c r="Y376" s="272"/>
    </row>
    <row r="377" spans="7:25" ht="15.75" customHeight="1">
      <c r="G377" s="272"/>
      <c r="W377" s="274"/>
      <c r="X377" s="274"/>
      <c r="Y377" s="272"/>
    </row>
    <row r="378" spans="7:25" ht="15.75" customHeight="1">
      <c r="G378" s="272"/>
      <c r="W378" s="274"/>
      <c r="X378" s="274"/>
      <c r="Y378" s="272"/>
    </row>
    <row r="379" spans="7:25" ht="15.75" customHeight="1">
      <c r="G379" s="272"/>
      <c r="W379" s="274"/>
      <c r="X379" s="274"/>
      <c r="Y379" s="272"/>
    </row>
    <row r="380" spans="7:25" ht="15.75" customHeight="1">
      <c r="G380" s="272"/>
      <c r="W380" s="274"/>
      <c r="X380" s="274"/>
      <c r="Y380" s="272"/>
    </row>
    <row r="381" spans="7:25" ht="15.75" customHeight="1">
      <c r="G381" s="272"/>
      <c r="W381" s="274"/>
      <c r="X381" s="274"/>
      <c r="Y381" s="272"/>
    </row>
    <row r="382" spans="7:25" ht="15.75" customHeight="1">
      <c r="G382" s="272"/>
      <c r="W382" s="274"/>
      <c r="X382" s="274"/>
      <c r="Y382" s="272"/>
    </row>
    <row r="383" spans="7:25" ht="15.75" customHeight="1">
      <c r="G383" s="272"/>
      <c r="W383" s="274"/>
      <c r="X383" s="274"/>
      <c r="Y383" s="272"/>
    </row>
    <row r="384" spans="7:25" ht="15.75" customHeight="1">
      <c r="G384" s="272"/>
      <c r="W384" s="274"/>
      <c r="X384" s="274"/>
      <c r="Y384" s="272"/>
    </row>
    <row r="385" spans="7:25" ht="15.75" customHeight="1">
      <c r="G385" s="272"/>
      <c r="W385" s="274"/>
      <c r="X385" s="274"/>
      <c r="Y385" s="272"/>
    </row>
    <row r="386" spans="7:25" ht="15.75" customHeight="1">
      <c r="G386" s="272"/>
      <c r="W386" s="274"/>
      <c r="X386" s="274"/>
      <c r="Y386" s="272"/>
    </row>
    <row r="387" spans="7:25" ht="15.75" customHeight="1">
      <c r="G387" s="272"/>
      <c r="W387" s="274"/>
      <c r="X387" s="274"/>
      <c r="Y387" s="272"/>
    </row>
    <row r="388" spans="7:25" ht="15.75" customHeight="1">
      <c r="G388" s="272"/>
      <c r="W388" s="274"/>
      <c r="X388" s="274"/>
      <c r="Y388" s="272"/>
    </row>
    <row r="389" spans="7:25" ht="15.75" customHeight="1">
      <c r="G389" s="272"/>
      <c r="W389" s="274"/>
      <c r="X389" s="274"/>
      <c r="Y389" s="272"/>
    </row>
    <row r="390" spans="7:25" ht="15.75" customHeight="1">
      <c r="G390" s="272"/>
      <c r="W390" s="274"/>
      <c r="X390" s="274"/>
      <c r="Y390" s="272"/>
    </row>
    <row r="391" spans="7:25" ht="15.75" customHeight="1">
      <c r="G391" s="272"/>
      <c r="W391" s="274"/>
      <c r="X391" s="274"/>
      <c r="Y391" s="272"/>
    </row>
    <row r="392" spans="7:25" ht="15.75" customHeight="1">
      <c r="G392" s="272"/>
      <c r="W392" s="274"/>
      <c r="X392" s="274"/>
      <c r="Y392" s="272"/>
    </row>
    <row r="393" spans="7:25" ht="15.75" customHeight="1">
      <c r="G393" s="272"/>
      <c r="W393" s="274"/>
      <c r="X393" s="274"/>
      <c r="Y393" s="272"/>
    </row>
    <row r="394" spans="7:25" ht="15.75" customHeight="1">
      <c r="G394" s="272"/>
      <c r="W394" s="274"/>
      <c r="X394" s="274"/>
      <c r="Y394" s="272"/>
    </row>
    <row r="395" spans="7:25" ht="15.75" customHeight="1">
      <c r="G395" s="272"/>
      <c r="W395" s="274"/>
      <c r="X395" s="274"/>
      <c r="Y395" s="272"/>
    </row>
    <row r="396" spans="7:25" ht="15.75" customHeight="1">
      <c r="G396" s="272"/>
      <c r="W396" s="274"/>
      <c r="X396" s="274"/>
      <c r="Y396" s="272"/>
    </row>
    <row r="397" spans="7:25" ht="15.75" customHeight="1">
      <c r="G397" s="272"/>
      <c r="W397" s="274"/>
      <c r="X397" s="274"/>
      <c r="Y397" s="272"/>
    </row>
    <row r="398" spans="7:25" ht="15.75" customHeight="1">
      <c r="G398" s="272"/>
      <c r="W398" s="274"/>
      <c r="X398" s="274"/>
      <c r="Y398" s="272"/>
    </row>
    <row r="399" spans="7:25" ht="15.75" customHeight="1">
      <c r="G399" s="272"/>
      <c r="W399" s="274"/>
      <c r="X399" s="274"/>
      <c r="Y399" s="272"/>
    </row>
    <row r="400" spans="7:25"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B5:U199" xr:uid="{00000000-0009-0000-0000-000006000000}">
    <sortState xmlns:xlrd2="http://schemas.microsoft.com/office/spreadsheetml/2017/richdata2" ref="B5:U199">
      <sortCondition descending="1" ref="E5:E199"/>
    </sortState>
  </autoFilter>
  <customSheetViews>
    <customSheetView guid="{FCAF690B-A1CB-4C23-90B1-52725D85E739}" filter="1" showAutoFilter="1">
      <pageMargins left="0.7" right="0.7" top="0.75" bottom="0.75" header="0.3" footer="0.3"/>
      <autoFilter ref="C5:C91" xr:uid="{3FC3857F-B81D-4617-9C91-A5C2F9731492}"/>
    </customSheetView>
  </customSheetViews>
  <mergeCells count="5">
    <mergeCell ref="A1:F2"/>
    <mergeCell ref="A4:C4"/>
    <mergeCell ref="E4:F4"/>
    <mergeCell ref="G4:K4"/>
    <mergeCell ref="V4:X4"/>
  </mergeCells>
  <conditionalFormatting sqref="E6:E199">
    <cfRule type="expression" dxfId="8" priority="1">
      <formula>COUNTIF(E:E,E6)&gt;1</formula>
    </cfRule>
  </conditionalFormatting>
  <conditionalFormatting sqref="W6:W7">
    <cfRule type="expression" dxfId="7" priority="2">
      <formula>COUNTIF(W:W,W6)&gt;1</formula>
    </cfRule>
    <cfRule type="expression" dxfId="6" priority="3">
      <formula>AND(COUNTIF(W$6:$AC1002,W6)&gt;0,COUNTIF($AI:$AJ,W6)&gt;0)</formula>
    </cfRule>
  </conditionalFormatting>
  <conditionalFormatting sqref="W6:W85">
    <cfRule type="expression" dxfId="5" priority="4">
      <formula>COUNTIF(W:W,W6)&gt;1</formula>
    </cfRule>
  </conditionalFormatting>
  <conditionalFormatting sqref="X6:X7">
    <cfRule type="expression" dxfId="4" priority="5">
      <formula>COUNTIF(X:X,X6)&gt;1</formula>
    </cfRule>
    <cfRule type="expression" dxfId="3" priority="6">
      <formula>AND(COUNTIF(X$6:$AD1002,X6)&gt;0,COUNTIF($AI:$AJ,X6)&gt;0)</formula>
    </cfRule>
  </conditionalFormatting>
  <conditionalFormatting sqref="X6:X85">
    <cfRule type="expression" dxfId="2" priority="7">
      <formula>COUNTIF(X:X,X6)&gt;1</formula>
    </cfRule>
  </conditionalFormatting>
  <dataValidations count="9">
    <dataValidation type="list" allowBlank="1" showErrorMessage="1" sqref="C6:C199" xr:uid="{00000000-0002-0000-0600-000000000000}">
      <formula1>periodestamp</formula1>
    </dataValidation>
    <dataValidation type="list" allowBlank="1" showErrorMessage="1" sqref="G6:P199" xr:uid="{00000000-0002-0000-0600-000001000000}">
      <formula1>nmperiset</formula1>
    </dataValidation>
    <dataValidation type="list" allowBlank="1" showDropDown="1" showErrorMessage="1" sqref="D6:D199" xr:uid="{00000000-0002-0000-0600-000002000000}">
      <formula1>statuskelris</formula1>
    </dataValidation>
    <dataValidation type="list" allowBlank="1" showErrorMessage="1" sqref="F6:F199" xr:uid="{00000000-0002-0000-0600-000003000000}">
      <formula1>kelris</formula1>
    </dataValidation>
    <dataValidation type="custom" allowBlank="1" showInputMessage="1" showErrorMessage="1" prompt="Duplikasi!! judul yang anda masukkan sudah terdapat pada list sebelumnya" sqref="E6:E7" xr:uid="{00000000-0002-0000-0600-000004000000}">
      <formula1>COUNTIF($E$6:$E1002,E6)=1</formula1>
    </dataValidation>
    <dataValidation type="custom" allowBlank="1" showInputMessage="1" showErrorMessage="1" prompt="Duplikasi!! judul yang anda masukkan sudah terdapat pada list sebelumnya" sqref="E8:E199" xr:uid="{00000000-0002-0000-0600-000005000000}">
      <formula1>COUNTIF($E$6:$E1005,E8)=1</formula1>
    </dataValidation>
    <dataValidation type="list" allowBlank="1" showInputMessage="1" showErrorMessage="1" prompt=" - " sqref="R6:R199" xr:uid="{00000000-0002-0000-0600-000006000000}">
      <formula1>jnspi</formula1>
    </dataValidation>
    <dataValidation type="list" allowBlank="1" showInputMessage="1" showErrorMessage="1" prompt=" - " sqref="S6:S199" xr:uid="{00000000-0002-0000-0600-000007000000}">
      <formula1>statpi</formula1>
    </dataValidation>
    <dataValidation type="list" allowBlank="1" showInputMessage="1" showErrorMessage="1" prompt="Click and enter a value from range" sqref="U6:U199" xr:uid="{00000000-0002-0000-0600-000008000000}">
      <formula1>reppn</formula1>
    </dataValidation>
  </dataValidations>
  <hyperlinks>
    <hyperlink ref="V6" r:id="rId1" xr:uid="{00000000-0004-0000-0600-000000000000}"/>
    <hyperlink ref="V7" r:id="rId2" xr:uid="{00000000-0004-0000-0600-000001000000}"/>
    <hyperlink ref="W7" r:id="rId3" xr:uid="{00000000-0004-0000-0600-000002000000}"/>
    <hyperlink ref="X7" r:id="rId4" xr:uid="{00000000-0004-0000-0600-000003000000}"/>
    <hyperlink ref="V8" r:id="rId5" xr:uid="{00000000-0004-0000-0600-000004000000}"/>
    <hyperlink ref="W8" r:id="rId6" xr:uid="{00000000-0004-0000-0600-000005000000}"/>
    <hyperlink ref="X8" r:id="rId7" xr:uid="{00000000-0004-0000-0600-000006000000}"/>
    <hyperlink ref="V9" r:id="rId8" xr:uid="{00000000-0004-0000-0600-000007000000}"/>
    <hyperlink ref="W9" r:id="rId9" xr:uid="{00000000-0004-0000-0600-000008000000}"/>
    <hyperlink ref="X9" r:id="rId10" xr:uid="{00000000-0004-0000-0600-000009000000}"/>
    <hyperlink ref="V10" r:id="rId11" xr:uid="{00000000-0004-0000-0600-00000A000000}"/>
    <hyperlink ref="W10" r:id="rId12" xr:uid="{00000000-0004-0000-0600-00000B000000}"/>
    <hyperlink ref="V11" r:id="rId13" xr:uid="{00000000-0004-0000-0600-00000C000000}"/>
    <hyperlink ref="W11" r:id="rId14" xr:uid="{00000000-0004-0000-0600-00000D000000}"/>
    <hyperlink ref="V12" r:id="rId15" xr:uid="{00000000-0004-0000-0600-00000E000000}"/>
    <hyperlink ref="W12" r:id="rId16" xr:uid="{00000000-0004-0000-0600-00000F000000}"/>
    <hyperlink ref="X12" r:id="rId17" xr:uid="{00000000-0004-0000-0600-000010000000}"/>
    <hyperlink ref="V13" r:id="rId18" xr:uid="{00000000-0004-0000-0600-000011000000}"/>
    <hyperlink ref="W13" r:id="rId19" xr:uid="{00000000-0004-0000-0600-000012000000}"/>
    <hyperlink ref="X13" r:id="rId20" xr:uid="{00000000-0004-0000-0600-000013000000}"/>
    <hyperlink ref="V14" r:id="rId21" xr:uid="{00000000-0004-0000-0600-000014000000}"/>
    <hyperlink ref="W14" r:id="rId22" xr:uid="{00000000-0004-0000-0600-000015000000}"/>
    <hyperlink ref="V15" r:id="rId23" xr:uid="{00000000-0004-0000-0600-000016000000}"/>
    <hyperlink ref="X15" r:id="rId24" xr:uid="{00000000-0004-0000-0600-000017000000}"/>
    <hyperlink ref="V16" r:id="rId25" xr:uid="{00000000-0004-0000-0600-000018000000}"/>
    <hyperlink ref="V17" r:id="rId26" xr:uid="{00000000-0004-0000-0600-000019000000}"/>
    <hyperlink ref="W17" r:id="rId27" xr:uid="{00000000-0004-0000-0600-00001A000000}"/>
    <hyperlink ref="X17" r:id="rId28" xr:uid="{00000000-0004-0000-0600-00001B000000}"/>
    <hyperlink ref="V18" r:id="rId29" xr:uid="{00000000-0004-0000-0600-00001C000000}"/>
    <hyperlink ref="V19" r:id="rId30" xr:uid="{00000000-0004-0000-0600-00001D000000}"/>
    <hyperlink ref="V20" r:id="rId31" xr:uid="{00000000-0004-0000-0600-00001E000000}"/>
    <hyperlink ref="V21" r:id="rId32" xr:uid="{00000000-0004-0000-0600-00001F000000}"/>
    <hyperlink ref="V22" r:id="rId33" xr:uid="{00000000-0004-0000-0600-000020000000}"/>
    <hyperlink ref="V23" r:id="rId34" xr:uid="{00000000-0004-0000-0600-000021000000}"/>
    <hyperlink ref="V24" r:id="rId35" xr:uid="{00000000-0004-0000-0600-000022000000}"/>
    <hyperlink ref="V25" r:id="rId36" xr:uid="{00000000-0004-0000-0600-000023000000}"/>
    <hyperlink ref="V26" r:id="rId37" xr:uid="{00000000-0004-0000-0600-000024000000}"/>
    <hyperlink ref="V27" r:id="rId38" xr:uid="{00000000-0004-0000-0600-000025000000}"/>
    <hyperlink ref="V28" r:id="rId39" xr:uid="{00000000-0004-0000-0600-000026000000}"/>
    <hyperlink ref="V29" r:id="rId40" xr:uid="{00000000-0004-0000-0600-000027000000}"/>
    <hyperlink ref="V30" r:id="rId41" xr:uid="{00000000-0004-0000-0600-000028000000}"/>
    <hyperlink ref="V31" r:id="rId42" xr:uid="{00000000-0004-0000-0600-000029000000}"/>
    <hyperlink ref="V32" r:id="rId43" xr:uid="{00000000-0004-0000-0600-00002A000000}"/>
    <hyperlink ref="V33" r:id="rId44" xr:uid="{00000000-0004-0000-0600-00002B000000}"/>
    <hyperlink ref="V34" r:id="rId45" xr:uid="{00000000-0004-0000-0600-00002C000000}"/>
    <hyperlink ref="V35" r:id="rId46" xr:uid="{00000000-0004-0000-0600-00002D000000}"/>
    <hyperlink ref="V36" r:id="rId47" xr:uid="{00000000-0004-0000-0600-00002E000000}"/>
    <hyperlink ref="V37" r:id="rId48" xr:uid="{00000000-0004-0000-0600-00002F000000}"/>
    <hyperlink ref="V38" r:id="rId49" xr:uid="{00000000-0004-0000-0600-000030000000}"/>
    <hyperlink ref="V39" r:id="rId50" xr:uid="{00000000-0004-0000-0600-000031000000}"/>
    <hyperlink ref="V40" r:id="rId51" xr:uid="{00000000-0004-0000-0600-000032000000}"/>
    <hyperlink ref="V41" r:id="rId52" xr:uid="{00000000-0004-0000-0600-000033000000}"/>
    <hyperlink ref="V42" r:id="rId53" xr:uid="{00000000-0004-0000-0600-000034000000}"/>
    <hyperlink ref="V43" r:id="rId54" xr:uid="{00000000-0004-0000-0600-000035000000}"/>
    <hyperlink ref="V44" r:id="rId55" xr:uid="{00000000-0004-0000-0600-000036000000}"/>
    <hyperlink ref="V45" r:id="rId56" xr:uid="{00000000-0004-0000-0600-000037000000}"/>
    <hyperlink ref="V46" r:id="rId57" xr:uid="{00000000-0004-0000-0600-000038000000}"/>
    <hyperlink ref="V47" r:id="rId58" xr:uid="{00000000-0004-0000-0600-000039000000}"/>
    <hyperlink ref="V48" r:id="rId59" xr:uid="{00000000-0004-0000-0600-00003A000000}"/>
    <hyperlink ref="V49" r:id="rId60" xr:uid="{00000000-0004-0000-0600-00003B000000}"/>
    <hyperlink ref="V50" r:id="rId61" xr:uid="{00000000-0004-0000-0600-00003C000000}"/>
    <hyperlink ref="V51" r:id="rId62" xr:uid="{00000000-0004-0000-0600-00003D000000}"/>
    <hyperlink ref="V52" r:id="rId63" xr:uid="{00000000-0004-0000-0600-00003E000000}"/>
    <hyperlink ref="V53" r:id="rId64" xr:uid="{00000000-0004-0000-0600-00003F000000}"/>
    <hyperlink ref="V54" r:id="rId65" xr:uid="{00000000-0004-0000-0600-000040000000}"/>
    <hyperlink ref="V55" r:id="rId66" xr:uid="{00000000-0004-0000-0600-000041000000}"/>
    <hyperlink ref="V56" r:id="rId67" xr:uid="{00000000-0004-0000-0600-000042000000}"/>
    <hyperlink ref="V57" r:id="rId68" xr:uid="{00000000-0004-0000-0600-000043000000}"/>
    <hyperlink ref="V58" r:id="rId69" xr:uid="{00000000-0004-0000-0600-000044000000}"/>
    <hyperlink ref="V59" r:id="rId70" xr:uid="{00000000-0004-0000-0600-000045000000}"/>
    <hyperlink ref="V60" r:id="rId71" xr:uid="{00000000-0004-0000-0600-000046000000}"/>
    <hyperlink ref="V61" r:id="rId72" xr:uid="{00000000-0004-0000-0600-000047000000}"/>
    <hyperlink ref="V62" r:id="rId73" xr:uid="{00000000-0004-0000-0600-000048000000}"/>
    <hyperlink ref="V63" r:id="rId74" xr:uid="{00000000-0004-0000-0600-000049000000}"/>
    <hyperlink ref="V64" r:id="rId75" xr:uid="{00000000-0004-0000-0600-00004A000000}"/>
    <hyperlink ref="V65" r:id="rId76" xr:uid="{00000000-0004-0000-0600-00004B000000}"/>
    <hyperlink ref="V66" r:id="rId77" xr:uid="{00000000-0004-0000-0600-00004C000000}"/>
    <hyperlink ref="V67" r:id="rId78" xr:uid="{00000000-0004-0000-0600-00004D000000}"/>
    <hyperlink ref="V68" r:id="rId79" xr:uid="{00000000-0004-0000-0600-00004E000000}"/>
    <hyperlink ref="V69" r:id="rId80" xr:uid="{00000000-0004-0000-0600-00004F000000}"/>
    <hyperlink ref="V70" r:id="rId81" xr:uid="{00000000-0004-0000-0600-000050000000}"/>
    <hyperlink ref="V71" r:id="rId82" xr:uid="{00000000-0004-0000-0600-000051000000}"/>
    <hyperlink ref="V72" r:id="rId83" xr:uid="{00000000-0004-0000-0600-000052000000}"/>
    <hyperlink ref="V73" r:id="rId84" xr:uid="{00000000-0004-0000-0600-000053000000}"/>
    <hyperlink ref="V74" r:id="rId85" xr:uid="{00000000-0004-0000-0600-000054000000}"/>
    <hyperlink ref="V75" r:id="rId86" xr:uid="{00000000-0004-0000-0600-000055000000}"/>
    <hyperlink ref="V76" r:id="rId87" xr:uid="{00000000-0004-0000-0600-000056000000}"/>
    <hyperlink ref="V77" r:id="rId88" xr:uid="{00000000-0004-0000-0600-000057000000}"/>
    <hyperlink ref="V78" r:id="rId89" xr:uid="{00000000-0004-0000-0600-000058000000}"/>
    <hyperlink ref="V79" r:id="rId90" xr:uid="{00000000-0004-0000-0600-000059000000}"/>
    <hyperlink ref="V80" r:id="rId91" xr:uid="{00000000-0004-0000-0600-00005A000000}"/>
    <hyperlink ref="V81" r:id="rId92" xr:uid="{00000000-0004-0000-0600-00005B000000}"/>
    <hyperlink ref="V82" r:id="rId93" xr:uid="{00000000-0004-0000-0600-00005C000000}"/>
    <hyperlink ref="V83" r:id="rId94" xr:uid="{00000000-0004-0000-0600-00005D000000}"/>
    <hyperlink ref="V84" r:id="rId95" xr:uid="{00000000-0004-0000-0600-00005E000000}"/>
    <hyperlink ref="V85" r:id="rId96" xr:uid="{00000000-0004-0000-0600-00005F000000}"/>
    <hyperlink ref="V86" r:id="rId97" xr:uid="{00000000-0004-0000-0600-000060000000}"/>
    <hyperlink ref="V87" r:id="rId98" xr:uid="{00000000-0004-0000-0600-000061000000}"/>
    <hyperlink ref="V88" r:id="rId99" xr:uid="{00000000-0004-0000-0600-000062000000}"/>
    <hyperlink ref="V89" r:id="rId100" xr:uid="{00000000-0004-0000-0600-000063000000}"/>
    <hyperlink ref="V90" r:id="rId101" xr:uid="{00000000-0004-0000-0600-000064000000}"/>
    <hyperlink ref="V91" r:id="rId102" xr:uid="{00000000-0004-0000-0600-000065000000}"/>
    <hyperlink ref="V92" r:id="rId103" xr:uid="{00000000-0004-0000-0600-000066000000}"/>
    <hyperlink ref="V93" r:id="rId104" xr:uid="{00000000-0004-0000-0600-000067000000}"/>
    <hyperlink ref="V94" r:id="rId105" xr:uid="{00000000-0004-0000-0600-000068000000}"/>
    <hyperlink ref="V95" r:id="rId106" xr:uid="{00000000-0004-0000-0600-000069000000}"/>
    <hyperlink ref="V96" r:id="rId107" xr:uid="{00000000-0004-0000-0600-00006A000000}"/>
    <hyperlink ref="V97" r:id="rId108" xr:uid="{00000000-0004-0000-0600-00006B000000}"/>
    <hyperlink ref="V98" r:id="rId109" xr:uid="{00000000-0004-0000-0600-00006C000000}"/>
    <hyperlink ref="V99" r:id="rId110" xr:uid="{00000000-0004-0000-0600-00006D000000}"/>
    <hyperlink ref="V100" r:id="rId111" xr:uid="{00000000-0004-0000-0600-00006E000000}"/>
    <hyperlink ref="V101" r:id="rId112" xr:uid="{00000000-0004-0000-0600-00006F000000}"/>
    <hyperlink ref="V102" r:id="rId113" xr:uid="{00000000-0004-0000-0600-000070000000}"/>
    <hyperlink ref="V103" r:id="rId114" xr:uid="{00000000-0004-0000-0600-000071000000}"/>
    <hyperlink ref="V104" r:id="rId115" xr:uid="{00000000-0004-0000-0600-000072000000}"/>
    <hyperlink ref="V105" r:id="rId116" xr:uid="{00000000-0004-0000-0600-000073000000}"/>
    <hyperlink ref="V106" r:id="rId117" xr:uid="{00000000-0004-0000-0600-000074000000}"/>
    <hyperlink ref="V107" r:id="rId118" xr:uid="{00000000-0004-0000-0600-000075000000}"/>
    <hyperlink ref="V108" r:id="rId119" xr:uid="{00000000-0004-0000-0600-000076000000}"/>
    <hyperlink ref="V109" r:id="rId120" xr:uid="{00000000-0004-0000-0600-000077000000}"/>
    <hyperlink ref="V110" r:id="rId121" xr:uid="{00000000-0004-0000-0600-000078000000}"/>
    <hyperlink ref="V111" r:id="rId122" xr:uid="{00000000-0004-0000-0600-000079000000}"/>
    <hyperlink ref="V112" r:id="rId123" xr:uid="{00000000-0004-0000-0600-00007A000000}"/>
    <hyperlink ref="V113" r:id="rId124" xr:uid="{00000000-0004-0000-0600-00007B000000}"/>
    <hyperlink ref="V114" r:id="rId125" xr:uid="{00000000-0004-0000-0600-00007C000000}"/>
    <hyperlink ref="V115" r:id="rId126" xr:uid="{00000000-0004-0000-0600-00007D000000}"/>
    <hyperlink ref="V116" r:id="rId127" xr:uid="{00000000-0004-0000-0600-00007E000000}"/>
    <hyperlink ref="V117" r:id="rId128" xr:uid="{00000000-0004-0000-0600-00007F000000}"/>
    <hyperlink ref="V118" r:id="rId129" xr:uid="{00000000-0004-0000-0600-000080000000}"/>
    <hyperlink ref="V119" r:id="rId130" xr:uid="{00000000-0004-0000-0600-000081000000}"/>
    <hyperlink ref="V120" r:id="rId131" xr:uid="{00000000-0004-0000-0600-000082000000}"/>
    <hyperlink ref="V121" r:id="rId132" xr:uid="{00000000-0004-0000-0600-000083000000}"/>
    <hyperlink ref="V122" r:id="rId133" xr:uid="{00000000-0004-0000-0600-000084000000}"/>
    <hyperlink ref="V123" r:id="rId134" xr:uid="{00000000-0004-0000-0600-000085000000}"/>
    <hyperlink ref="V124" r:id="rId135" xr:uid="{00000000-0004-0000-0600-000086000000}"/>
    <hyperlink ref="V125" r:id="rId136" xr:uid="{00000000-0004-0000-0600-000087000000}"/>
    <hyperlink ref="V126" r:id="rId137" xr:uid="{00000000-0004-0000-0600-000088000000}"/>
    <hyperlink ref="V127" r:id="rId138" xr:uid="{00000000-0004-0000-0600-000089000000}"/>
    <hyperlink ref="V128" r:id="rId139" xr:uid="{00000000-0004-0000-0600-00008A000000}"/>
    <hyperlink ref="V129" r:id="rId140" xr:uid="{00000000-0004-0000-0600-00008B000000}"/>
    <hyperlink ref="V130" r:id="rId141" xr:uid="{00000000-0004-0000-0600-00008C000000}"/>
    <hyperlink ref="V131" r:id="rId142" xr:uid="{00000000-0004-0000-0600-00008D000000}"/>
    <hyperlink ref="V132" r:id="rId143" xr:uid="{00000000-0004-0000-0600-00008E000000}"/>
    <hyperlink ref="V133" r:id="rId144" xr:uid="{00000000-0004-0000-0600-00008F000000}"/>
    <hyperlink ref="V134" r:id="rId145" xr:uid="{00000000-0004-0000-0600-000090000000}"/>
    <hyperlink ref="V135" r:id="rId146" xr:uid="{00000000-0004-0000-0600-000091000000}"/>
    <hyperlink ref="V136" r:id="rId147" xr:uid="{00000000-0004-0000-0600-000092000000}"/>
    <hyperlink ref="V137" r:id="rId148" xr:uid="{00000000-0004-0000-0600-000093000000}"/>
    <hyperlink ref="V138" r:id="rId149" xr:uid="{00000000-0004-0000-0600-000094000000}"/>
    <hyperlink ref="V139" r:id="rId150" xr:uid="{00000000-0004-0000-0600-000095000000}"/>
    <hyperlink ref="V140" r:id="rId151" xr:uid="{00000000-0004-0000-0600-000096000000}"/>
    <hyperlink ref="V141" r:id="rId152" xr:uid="{00000000-0004-0000-0600-000097000000}"/>
    <hyperlink ref="V142" r:id="rId153" xr:uid="{00000000-0004-0000-0600-000098000000}"/>
    <hyperlink ref="V143" r:id="rId154" xr:uid="{00000000-0004-0000-0600-000099000000}"/>
    <hyperlink ref="V144" r:id="rId155" xr:uid="{00000000-0004-0000-0600-00009A000000}"/>
    <hyperlink ref="V145" r:id="rId156" xr:uid="{00000000-0004-0000-0600-00009B000000}"/>
    <hyperlink ref="V146" r:id="rId157" xr:uid="{00000000-0004-0000-0600-00009C000000}"/>
    <hyperlink ref="V147" r:id="rId158" xr:uid="{00000000-0004-0000-0600-00009D000000}"/>
    <hyperlink ref="V148" r:id="rId159" xr:uid="{00000000-0004-0000-0600-00009E000000}"/>
    <hyperlink ref="V149" r:id="rId160" xr:uid="{00000000-0004-0000-0600-00009F000000}"/>
    <hyperlink ref="V150" r:id="rId161" xr:uid="{00000000-0004-0000-0600-0000A0000000}"/>
    <hyperlink ref="V151" r:id="rId162" xr:uid="{00000000-0004-0000-0600-0000A1000000}"/>
    <hyperlink ref="V152" r:id="rId163" xr:uid="{00000000-0004-0000-0600-0000A2000000}"/>
    <hyperlink ref="V153" r:id="rId164" xr:uid="{00000000-0004-0000-0600-0000A3000000}"/>
    <hyperlink ref="V154" r:id="rId165" xr:uid="{00000000-0004-0000-0600-0000A4000000}"/>
    <hyperlink ref="V155" r:id="rId166" xr:uid="{00000000-0004-0000-0600-0000A5000000}"/>
    <hyperlink ref="V156" r:id="rId167" xr:uid="{00000000-0004-0000-0600-0000A6000000}"/>
    <hyperlink ref="V157" r:id="rId168" xr:uid="{00000000-0004-0000-0600-0000A7000000}"/>
    <hyperlink ref="V158" r:id="rId169" xr:uid="{00000000-0004-0000-0600-0000A8000000}"/>
    <hyperlink ref="V159" r:id="rId170" xr:uid="{00000000-0004-0000-0600-0000A9000000}"/>
    <hyperlink ref="V160" r:id="rId171" xr:uid="{00000000-0004-0000-0600-0000AA000000}"/>
    <hyperlink ref="V161" r:id="rId172" xr:uid="{00000000-0004-0000-0600-0000AB000000}"/>
    <hyperlink ref="V162" r:id="rId173" xr:uid="{00000000-0004-0000-0600-0000AC000000}"/>
    <hyperlink ref="V163" r:id="rId174" xr:uid="{00000000-0004-0000-0600-0000AD000000}"/>
    <hyperlink ref="V164" r:id="rId175" xr:uid="{00000000-0004-0000-0600-0000AE000000}"/>
    <hyperlink ref="V165" r:id="rId176" xr:uid="{00000000-0004-0000-0600-0000AF000000}"/>
    <hyperlink ref="V166" r:id="rId177" xr:uid="{00000000-0004-0000-0600-0000B0000000}"/>
    <hyperlink ref="V167" r:id="rId178" xr:uid="{00000000-0004-0000-0600-0000B1000000}"/>
    <hyperlink ref="V168" r:id="rId179" xr:uid="{00000000-0004-0000-0600-0000B2000000}"/>
    <hyperlink ref="V169" r:id="rId180" xr:uid="{00000000-0004-0000-0600-0000B3000000}"/>
    <hyperlink ref="V170" r:id="rId181" xr:uid="{00000000-0004-0000-0600-0000B4000000}"/>
    <hyperlink ref="V171" r:id="rId182" xr:uid="{00000000-0004-0000-0600-0000B5000000}"/>
    <hyperlink ref="V172" r:id="rId183" xr:uid="{00000000-0004-0000-0600-0000B6000000}"/>
    <hyperlink ref="V173" r:id="rId184" xr:uid="{00000000-0004-0000-0600-0000B7000000}"/>
    <hyperlink ref="V174" r:id="rId185" xr:uid="{00000000-0004-0000-0600-0000B8000000}"/>
    <hyperlink ref="V175" r:id="rId186" xr:uid="{00000000-0004-0000-0600-0000B9000000}"/>
    <hyperlink ref="V176" r:id="rId187" xr:uid="{00000000-0004-0000-0600-0000BA000000}"/>
    <hyperlink ref="V177" r:id="rId188" xr:uid="{00000000-0004-0000-0600-0000BB000000}"/>
    <hyperlink ref="V178" r:id="rId189" xr:uid="{00000000-0004-0000-0600-0000BC000000}"/>
    <hyperlink ref="V179" r:id="rId190" xr:uid="{00000000-0004-0000-0600-0000BD000000}"/>
    <hyperlink ref="V180" r:id="rId191" xr:uid="{00000000-0004-0000-0600-0000BE000000}"/>
    <hyperlink ref="V181" r:id="rId192" xr:uid="{00000000-0004-0000-0600-0000BF000000}"/>
    <hyperlink ref="V182" r:id="rId193" xr:uid="{00000000-0004-0000-0600-0000C0000000}"/>
    <hyperlink ref="V183" r:id="rId194" xr:uid="{00000000-0004-0000-0600-0000C1000000}"/>
    <hyperlink ref="V184" r:id="rId195" xr:uid="{00000000-0004-0000-0600-0000C2000000}"/>
    <hyperlink ref="V185" r:id="rId196" xr:uid="{00000000-0004-0000-0600-0000C3000000}"/>
    <hyperlink ref="V186" r:id="rId197" xr:uid="{00000000-0004-0000-0600-0000C4000000}"/>
    <hyperlink ref="V187" r:id="rId198" xr:uid="{00000000-0004-0000-0600-0000C5000000}"/>
    <hyperlink ref="V188" r:id="rId199" xr:uid="{00000000-0004-0000-0600-0000C6000000}"/>
    <hyperlink ref="V189" r:id="rId200" xr:uid="{00000000-0004-0000-0600-0000C7000000}"/>
    <hyperlink ref="V190" r:id="rId201" xr:uid="{00000000-0004-0000-0600-0000C8000000}"/>
    <hyperlink ref="V191" r:id="rId202" xr:uid="{00000000-0004-0000-0600-0000C9000000}"/>
    <hyperlink ref="V192" r:id="rId203" xr:uid="{00000000-0004-0000-0600-0000CA000000}"/>
    <hyperlink ref="V193" r:id="rId204" xr:uid="{00000000-0004-0000-0600-0000CB000000}"/>
    <hyperlink ref="V194" r:id="rId205" xr:uid="{00000000-0004-0000-0600-0000CC000000}"/>
    <hyperlink ref="V195" r:id="rId206" xr:uid="{00000000-0004-0000-0600-0000CD000000}"/>
    <hyperlink ref="V196" r:id="rId207" xr:uid="{00000000-0004-0000-0600-0000CE000000}"/>
    <hyperlink ref="V197" r:id="rId208" xr:uid="{00000000-0004-0000-0600-0000CF000000}"/>
    <hyperlink ref="V198" r:id="rId209" xr:uid="{00000000-0004-0000-0600-0000D0000000}"/>
    <hyperlink ref="V199" r:id="rId210" xr:uid="{00000000-0004-0000-0600-0000D1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K1000"/>
  <sheetViews>
    <sheetView workbookViewId="0">
      <pane xSplit="4" ySplit="5" topLeftCell="E61" activePane="bottomRight" state="frozen"/>
      <selection pane="topRight" activeCell="E1" sqref="E1"/>
      <selection pane="bottomLeft" activeCell="A6" sqref="A6"/>
      <selection pane="bottomRight" activeCell="E6" sqref="E6"/>
    </sheetView>
  </sheetViews>
  <sheetFormatPr defaultColWidth="11.23046875" defaultRowHeight="15" customHeight="1"/>
  <cols>
    <col min="1" max="1" width="3.23046875" customWidth="1"/>
    <col min="2" max="2" width="22.3046875" customWidth="1"/>
    <col min="3" max="3" width="38.3046875" customWidth="1"/>
    <col min="4" max="4" width="7.23046875" customWidth="1"/>
    <col min="5" max="6" width="8.53515625" customWidth="1"/>
    <col min="7" max="7" width="4.4609375" customWidth="1"/>
    <col min="8" max="8" width="8.53515625" customWidth="1"/>
    <col min="9" max="9" width="8.84375" customWidth="1"/>
    <col min="10" max="10" width="5.3046875" customWidth="1"/>
    <col min="11" max="11" width="10.3046875" customWidth="1"/>
    <col min="12" max="12" width="9.07421875" customWidth="1"/>
    <col min="13" max="13" width="5.3046875" customWidth="1"/>
    <col min="14" max="14" width="8.4609375" customWidth="1"/>
    <col min="15" max="15" width="8.3046875" customWidth="1"/>
    <col min="16" max="16" width="5.4609375" customWidth="1"/>
    <col min="17" max="17" width="9" customWidth="1"/>
    <col min="18" max="18" width="8.23046875" customWidth="1"/>
    <col min="19" max="19" width="5.07421875" customWidth="1"/>
    <col min="20" max="20" width="13.3046875" customWidth="1"/>
    <col min="21" max="21" width="15.53515625" customWidth="1"/>
    <col min="22" max="22" width="5.69140625" customWidth="1"/>
    <col min="23" max="23" width="9" customWidth="1"/>
    <col min="24" max="24" width="8.23046875" customWidth="1"/>
    <col min="25" max="25" width="5.07421875" customWidth="1"/>
    <col min="28" max="28" width="6.53515625" customWidth="1"/>
    <col min="31" max="31" width="6.53515625" customWidth="1"/>
    <col min="34" max="34" width="6.53515625" customWidth="1"/>
    <col min="37" max="37" width="6.53515625" customWidth="1"/>
  </cols>
  <sheetData>
    <row r="1" spans="1:37" ht="14.5">
      <c r="B1" s="275"/>
    </row>
    <row r="2" spans="1:37" ht="14.5">
      <c r="A2" s="175"/>
      <c r="B2" s="275"/>
    </row>
    <row r="3" spans="1:37" ht="14.5">
      <c r="B3" s="275"/>
    </row>
    <row r="4" spans="1:37">
      <c r="B4" s="275"/>
      <c r="D4" s="854"/>
      <c r="E4" s="1212" t="s">
        <v>1797</v>
      </c>
      <c r="F4" s="1176"/>
      <c r="G4" s="1176"/>
      <c r="H4" s="1213" t="s">
        <v>2130</v>
      </c>
      <c r="I4" s="1176"/>
      <c r="J4" s="1176"/>
      <c r="K4" s="1214" t="s">
        <v>0</v>
      </c>
      <c r="L4" s="1176"/>
      <c r="M4" s="1176"/>
      <c r="N4" s="1215" t="s">
        <v>2898</v>
      </c>
      <c r="O4" s="1176"/>
      <c r="P4" s="1176"/>
      <c r="Q4" s="1216" t="s">
        <v>2899</v>
      </c>
      <c r="R4" s="1176"/>
      <c r="S4" s="1176"/>
      <c r="T4" s="1219" t="s">
        <v>2900</v>
      </c>
      <c r="U4" s="1176"/>
      <c r="V4" s="1176"/>
      <c r="W4" s="1217" t="s">
        <v>2901</v>
      </c>
      <c r="X4" s="1176"/>
      <c r="Y4" s="1176"/>
      <c r="Z4" s="1217" t="s">
        <v>2902</v>
      </c>
      <c r="AA4" s="1176"/>
      <c r="AB4" s="1176"/>
      <c r="AC4" s="1217" t="s">
        <v>2903</v>
      </c>
      <c r="AD4" s="1176"/>
      <c r="AE4" s="1176"/>
      <c r="AF4" s="1217" t="s">
        <v>2904</v>
      </c>
      <c r="AG4" s="1176"/>
      <c r="AH4" s="1176"/>
      <c r="AI4" s="1217" t="s">
        <v>2905</v>
      </c>
      <c r="AJ4" s="1176"/>
      <c r="AK4" s="1176"/>
    </row>
    <row r="5" spans="1:37" ht="15.5">
      <c r="A5" s="855" t="s">
        <v>2906</v>
      </c>
      <c r="B5" s="856" t="s">
        <v>10</v>
      </c>
      <c r="C5" s="857" t="str">
        <f ca="1">IFERROR(__xludf.DUMMYFUNCTION("IMPORTRANGE(""https://docs.google.com/spreadsheets/d/1YXbkUPS13wPU8Dscegl2VkhWtKARm3NYP21WfoO0JNs/edit"", ""Rekap Capaian Individu!C5:C120"")"),"NAMA")</f>
        <v>NAMA</v>
      </c>
      <c r="D5" s="857" t="s">
        <v>2907</v>
      </c>
      <c r="E5" s="858" t="s">
        <v>2908</v>
      </c>
      <c r="F5" s="858" t="str">
        <f ca="1">IFERROR(__xludf.DUMMYFUNCTION("IMPORTRANGE(""https://docs.google.com/spreadsheets/d/1YXbkUPS13wPU8Dscegl2VkhWtKARm3NYP21WfoO0JNs/edit"", ""Rekap Capaian Individu!F5:G120"")"),"CAPAIAN")</f>
        <v>CAPAIAN</v>
      </c>
      <c r="G5" s="858" t="str">
        <f ca="1">IFERROR(__xludf.DUMMYFUNCTION("""COMPUTED_VALUE"""),"%")</f>
        <v>%</v>
      </c>
      <c r="H5" s="859" t="s">
        <v>2908</v>
      </c>
      <c r="I5" s="859" t="str">
        <f ca="1">IFERROR(__xludf.DUMMYFUNCTION("IMPORTRANGE(""https://docs.google.com/spreadsheets/d/1YXbkUPS13wPU8Dscegl2VkhWtKARm3NYP21WfoO0JNs/edit"", ""Rekap Capaian Individu!I5:J120"")"),"CAPAIAN")</f>
        <v>CAPAIAN</v>
      </c>
      <c r="J5" s="859" t="str">
        <f ca="1">IFERROR(__xludf.DUMMYFUNCTION("""COMPUTED_VALUE"""),"%")</f>
        <v>%</v>
      </c>
      <c r="K5" s="860" t="s">
        <v>2908</v>
      </c>
      <c r="L5" s="860" t="str">
        <f ca="1">IFERROR(__xludf.DUMMYFUNCTION("IMPORTRANGE(""https://docs.google.com/spreadsheets/d/1YXbkUPS13wPU8Dscegl2VkhWtKARm3NYP21WfoO0JNs/edit"", ""Rekap Capaian Individu!L5:M120"")"),"CAPAIAN")</f>
        <v>CAPAIAN</v>
      </c>
      <c r="M5" s="860" t="str">
        <f ca="1">IFERROR(__xludf.DUMMYFUNCTION("""COMPUTED_VALUE"""),"%")</f>
        <v>%</v>
      </c>
      <c r="N5" s="861" t="s">
        <v>2908</v>
      </c>
      <c r="O5" s="861" t="str">
        <f ca="1">IFERROR(__xludf.DUMMYFUNCTION("IMPORTRANGE(""https://docs.google.com/spreadsheets/d/1YXbkUPS13wPU8Dscegl2VkhWtKARm3NYP21WfoO0JNs/edit"", ""Rekap Capaian Individu!O5:P120"")"),"CAPAIAN")</f>
        <v>CAPAIAN</v>
      </c>
      <c r="P5" s="861" t="str">
        <f ca="1">IFERROR(__xludf.DUMMYFUNCTION("""COMPUTED_VALUE"""),"%")</f>
        <v>%</v>
      </c>
      <c r="Q5" s="862" t="s">
        <v>2908</v>
      </c>
      <c r="R5" s="862" t="str">
        <f ca="1">IFERROR(__xludf.DUMMYFUNCTION("IMPORTRANGE(""https://docs.google.com/spreadsheets/d/1YXbkUPS13wPU8Dscegl2VkhWtKARm3NYP21WfoO0JNs/edit"", ""Rekap Capaian Individu!R5:S120"")"),"CAPAIAN")</f>
        <v>CAPAIAN</v>
      </c>
      <c r="S5" s="862" t="str">
        <f ca="1">IFERROR(__xludf.DUMMYFUNCTION("""COMPUTED_VALUE"""),"%")</f>
        <v>%</v>
      </c>
      <c r="T5" s="863" t="s">
        <v>2908</v>
      </c>
      <c r="U5" s="863" t="str">
        <f ca="1">IFERROR(__xludf.DUMMYFUNCTION("IMPORTRANGE(""https://docs.google.com/spreadsheets/d/1YXbkUPS13wPU8Dscegl2VkhWtKARm3NYP21WfoO0JNs/edit"", ""Rekap Capaian Individu!U5:V120"")"),"CAPAIAN")</f>
        <v>CAPAIAN</v>
      </c>
      <c r="V5" s="863" t="str">
        <f ca="1">IFERROR(__xludf.DUMMYFUNCTION("""COMPUTED_VALUE"""),"%")</f>
        <v>%</v>
      </c>
      <c r="W5" s="864" t="s">
        <v>2908</v>
      </c>
      <c r="X5" s="865" t="str">
        <f ca="1">IFERROR(__xludf.DUMMYFUNCTION("IMPORTRANGE(""https://docs.google.com/spreadsheets/d/1YXbkUPS13wPU8Dscegl2VkhWtKARm3NYP21WfoO0JNs/edit"", ""Rekap Capaian Individu!X5:Y120"")"),"CAPAIAN")</f>
        <v>CAPAIAN</v>
      </c>
      <c r="Y5" s="866" t="str">
        <f ca="1">IFERROR(__xludf.DUMMYFUNCTION("""COMPUTED_VALUE"""),"%")</f>
        <v>%</v>
      </c>
      <c r="Z5" s="867" t="str">
        <f ca="1">IFERROR(__xludf.DUMMYFUNCTION("IMPORTRANGE(""https://docs.google.com/spreadsheets/d/1NVRWh9Q82kqv2wKrTSDtCaEqsS16ROGSicN7AZKpmUA/edit"", ""Rekap Capaian Individu!Z5:Z120"")"),"TARGET")</f>
        <v>TARGET</v>
      </c>
      <c r="AA5" s="865" t="str">
        <f ca="1">IFERROR(__xludf.DUMMYFUNCTION("IMPORTRANGE(""https://docs.google.com/spreadsheets/d/1YXbkUPS13wPU8Dscegl2VkhWtKARm3NYP21WfoO0JNs/edit"", ""Rekap Capaian Individu!AA5:AB120"")"),"CAPAIAN")</f>
        <v>CAPAIAN</v>
      </c>
      <c r="AB5" s="868" t="str">
        <f ca="1">IFERROR(__xludf.DUMMYFUNCTION("""COMPUTED_VALUE"""),"%")</f>
        <v>%</v>
      </c>
      <c r="AC5" s="867" t="str">
        <f ca="1">IFERROR(__xludf.DUMMYFUNCTION("IMPORTRANGE(""https://docs.google.com/spreadsheets/d/1NVRWh9Q82kqv2wKrTSDtCaEqsS16ROGSicN7AZKpmUA/edit"", ""Rekap Capaian Individu!Z5:Z120"")"),"TARGET")</f>
        <v>TARGET</v>
      </c>
      <c r="AD5" s="865" t="str">
        <f ca="1">IFERROR(__xludf.DUMMYFUNCTION("IMPORTRANGE(""https://docs.google.com/spreadsheets/d/1YXbkUPS13wPU8Dscegl2VkhWtKARm3NYP21WfoO0JNs/edit"", ""Rekap Capaian Individu!AD5:AE120"")"),"CAPAIAN")</f>
        <v>CAPAIAN</v>
      </c>
      <c r="AE5" s="868" t="str">
        <f ca="1">IFERROR(__xludf.DUMMYFUNCTION("""COMPUTED_VALUE"""),"%")</f>
        <v>%</v>
      </c>
      <c r="AF5" s="867" t="str">
        <f ca="1">IFERROR(__xludf.DUMMYFUNCTION("IMPORTRANGE(""https://docs.google.com/spreadsheets/d/1NVRWh9Q82kqv2wKrTSDtCaEqsS16ROGSicN7AZKpmUA/edit"", ""Rekap Capaian Individu!Z5:Z120"")"),"TARGET")</f>
        <v>TARGET</v>
      </c>
      <c r="AG5" s="865" t="str">
        <f ca="1">IFERROR(__xludf.DUMMYFUNCTION("IMPORTRANGE(""https://docs.google.com/spreadsheets/d/1YXbkUPS13wPU8Dscegl2VkhWtKARm3NYP21WfoO0JNs/edit"", ""Rekap Capaian Individu!AG5:AH120"")"),"CAPAIAN")</f>
        <v>CAPAIAN</v>
      </c>
      <c r="AH5" s="868" t="str">
        <f ca="1">IFERROR(__xludf.DUMMYFUNCTION("""COMPUTED_VALUE"""),"%")</f>
        <v>%</v>
      </c>
      <c r="AI5" s="867" t="str">
        <f ca="1">IFERROR(__xludf.DUMMYFUNCTION("IMPORTRANGE(""https://docs.google.com/spreadsheets/d/1NVRWh9Q82kqv2wKrTSDtCaEqsS16ROGSicN7AZKpmUA/edit"", ""Rekap Capaian Individu!Z5:Z120"")"),"TARGET")</f>
        <v>TARGET</v>
      </c>
      <c r="AJ5" s="865" t="str">
        <f ca="1">IFERROR(__xludf.DUMMYFUNCTION("IMPORTRANGE(""https://docs.google.com/spreadsheets/d/1YXbkUPS13wPU8Dscegl2VkhWtKARm3NYP21WfoO0JNs/edit"", ""Rekap Capaian Individu!AJ5:AK120"")"),"CAPAIAN")</f>
        <v>CAPAIAN</v>
      </c>
      <c r="AK5" s="868" t="str">
        <f ca="1">IFERROR(__xludf.DUMMYFUNCTION("""COMPUTED_VALUE"""),"%")</f>
        <v>%</v>
      </c>
    </row>
    <row r="6" spans="1:37" ht="30" customHeight="1">
      <c r="A6" s="370">
        <v>1</v>
      </c>
      <c r="B6" s="869" t="s">
        <v>58</v>
      </c>
      <c r="C6" s="455" t="str">
        <f ca="1">IFERROR(__xludf.DUMMYFUNCTION("""COMPUTED_VALUE"""),"Dr. Esa Prakasa, MT")</f>
        <v>Dr. Esa Prakasa, MT</v>
      </c>
      <c r="D6" s="870"/>
      <c r="E6" s="871"/>
      <c r="F6" s="871">
        <f ca="1">IFERROR(__xludf.DUMMYFUNCTION("""COMPUTED_VALUE"""),0)</f>
        <v>0</v>
      </c>
      <c r="G6" s="871"/>
      <c r="H6" s="872"/>
      <c r="I6" s="872">
        <f ca="1">IFERROR(__xludf.DUMMYFUNCTION("""COMPUTED_VALUE"""),3)</f>
        <v>3</v>
      </c>
      <c r="J6" s="873"/>
      <c r="K6" s="874"/>
      <c r="L6" s="874">
        <f ca="1">IFERROR(__xludf.DUMMYFUNCTION("""COMPUTED_VALUE"""),7)</f>
        <v>7</v>
      </c>
      <c r="M6" s="875"/>
      <c r="N6" s="876"/>
      <c r="O6" s="876">
        <f ca="1">IFERROR(__xludf.DUMMYFUNCTION("""COMPUTED_VALUE"""),0)</f>
        <v>0</v>
      </c>
      <c r="P6" s="876"/>
      <c r="Q6" s="877"/>
      <c r="R6" s="877">
        <f ca="1">IFERROR(__xludf.DUMMYFUNCTION("""COMPUTED_VALUE"""),0)</f>
        <v>0</v>
      </c>
      <c r="S6" s="877"/>
      <c r="T6" s="878"/>
      <c r="U6" s="878" t="str">
        <f ca="1">IFERROR(__xludf.DUMMYFUNCTION("""COMPUTED_VALUE"""),"#VALUE!")</f>
        <v>#VALUE!</v>
      </c>
      <c r="V6" s="879"/>
      <c r="W6" s="880"/>
      <c r="X6" s="881">
        <f ca="1">IFERROR(__xludf.DUMMYFUNCTION("""COMPUTED_VALUE"""),72)</f>
        <v>72</v>
      </c>
      <c r="Y6" s="882"/>
      <c r="Z6" s="880"/>
      <c r="AA6" s="883">
        <f ca="1">IFERROR(__xludf.DUMMYFUNCTION("""COMPUTED_VALUE"""),0)</f>
        <v>0</v>
      </c>
      <c r="AB6" s="884"/>
      <c r="AC6" s="880"/>
      <c r="AD6" s="881">
        <f ca="1">IFERROR(__xludf.DUMMYFUNCTION("""COMPUTED_VALUE"""),11)</f>
        <v>11</v>
      </c>
      <c r="AE6" s="884"/>
      <c r="AF6" s="880"/>
      <c r="AG6" s="881">
        <f ca="1">IFERROR(__xludf.DUMMYFUNCTION("""COMPUTED_VALUE"""),2)</f>
        <v>2</v>
      </c>
      <c r="AH6" s="884"/>
      <c r="AI6" s="880"/>
      <c r="AJ6" s="881">
        <f ca="1">IFERROR(__xludf.DUMMYFUNCTION("""COMPUTED_VALUE"""),0)</f>
        <v>0</v>
      </c>
      <c r="AK6" s="884"/>
    </row>
    <row r="7" spans="1:37" ht="30" customHeight="1">
      <c r="A7" s="370">
        <v>2</v>
      </c>
      <c r="B7" s="885" t="s">
        <v>58</v>
      </c>
      <c r="C7" s="455" t="str">
        <f ca="1">IFERROR(__xludf.DUMMYFUNCTION("""COMPUTED_VALUE"""),"Abdurrakhman Prasetyadi, M.P")</f>
        <v>Abdurrakhman Prasetyadi, M.P</v>
      </c>
      <c r="D7" s="870"/>
      <c r="E7" s="871"/>
      <c r="F7" s="871">
        <f ca="1">IFERROR(__xludf.DUMMYFUNCTION("""COMPUTED_VALUE"""),0)</f>
        <v>0</v>
      </c>
      <c r="G7" s="871"/>
      <c r="H7" s="872"/>
      <c r="I7" s="872">
        <f ca="1">IFERROR(__xludf.DUMMYFUNCTION("""COMPUTED_VALUE"""),6)</f>
        <v>6</v>
      </c>
      <c r="J7" s="873"/>
      <c r="K7" s="874"/>
      <c r="L7" s="874">
        <f ca="1">IFERROR(__xludf.DUMMYFUNCTION("""COMPUTED_VALUE"""),4)</f>
        <v>4</v>
      </c>
      <c r="M7" s="886"/>
      <c r="N7" s="876"/>
      <c r="O7" s="876">
        <f ca="1">IFERROR(__xludf.DUMMYFUNCTION("""COMPUTED_VALUE"""),0)</f>
        <v>0</v>
      </c>
      <c r="P7" s="876"/>
      <c r="Q7" s="877"/>
      <c r="R7" s="877">
        <f ca="1">IFERROR(__xludf.DUMMYFUNCTION("""COMPUTED_VALUE"""),0)</f>
        <v>0</v>
      </c>
      <c r="S7" s="877"/>
      <c r="T7" s="878"/>
      <c r="U7" s="878" t="str">
        <f ca="1">IFERROR(__xludf.DUMMYFUNCTION("""COMPUTED_VALUE"""),"#VALUE!")</f>
        <v>#VALUE!</v>
      </c>
      <c r="V7" s="879"/>
      <c r="W7" s="880"/>
      <c r="X7" s="881">
        <f ca="1">IFERROR(__xludf.DUMMYFUNCTION("""COMPUTED_VALUE"""),16)</f>
        <v>16</v>
      </c>
      <c r="Y7" s="882"/>
      <c r="Z7" s="880"/>
      <c r="AA7" s="883">
        <f ca="1">IFERROR(__xludf.DUMMYFUNCTION("""COMPUTED_VALUE"""),0)</f>
        <v>0</v>
      </c>
      <c r="AB7" s="887"/>
      <c r="AC7" s="880"/>
      <c r="AD7" s="881">
        <f ca="1">IFERROR(__xludf.DUMMYFUNCTION("""COMPUTED_VALUE"""),4)</f>
        <v>4</v>
      </c>
      <c r="AE7" s="887"/>
      <c r="AF7" s="880"/>
      <c r="AG7" s="881">
        <f ca="1">IFERROR(__xludf.DUMMYFUNCTION("""COMPUTED_VALUE"""),1)</f>
        <v>1</v>
      </c>
      <c r="AH7" s="887"/>
      <c r="AI7" s="880"/>
      <c r="AJ7" s="881">
        <f ca="1">IFERROR(__xludf.DUMMYFUNCTION("""COMPUTED_VALUE"""),0)</f>
        <v>0</v>
      </c>
      <c r="AK7" s="887"/>
    </row>
    <row r="8" spans="1:37" ht="30" customHeight="1">
      <c r="A8" s="370">
        <v>3</v>
      </c>
      <c r="B8" s="888" t="s">
        <v>201</v>
      </c>
      <c r="C8" s="455" t="str">
        <f ca="1">IFERROR(__xludf.DUMMYFUNCTION("""COMPUTED_VALUE"""),"Agung Santosa, BSEE, M.Kom")</f>
        <v>Agung Santosa, BSEE, M.Kom</v>
      </c>
      <c r="D8" s="870"/>
      <c r="E8" s="871"/>
      <c r="F8" s="871">
        <f ca="1">IFERROR(__xludf.DUMMYFUNCTION("""COMPUTED_VALUE"""),0)</f>
        <v>0</v>
      </c>
      <c r="G8" s="871"/>
      <c r="H8" s="872"/>
      <c r="I8" s="872">
        <f ca="1">IFERROR(__xludf.DUMMYFUNCTION("""COMPUTED_VALUE"""),6)</f>
        <v>6</v>
      </c>
      <c r="J8" s="873"/>
      <c r="K8" s="874"/>
      <c r="L8" s="874">
        <f ca="1">IFERROR(__xludf.DUMMYFUNCTION("""COMPUTED_VALUE"""),3)</f>
        <v>3</v>
      </c>
      <c r="M8" s="886"/>
      <c r="N8" s="876"/>
      <c r="O8" s="876">
        <f ca="1">IFERROR(__xludf.DUMMYFUNCTION("""COMPUTED_VALUE"""),0)</f>
        <v>0</v>
      </c>
      <c r="P8" s="889"/>
      <c r="Q8" s="890"/>
      <c r="R8" s="877">
        <f ca="1">IFERROR(__xludf.DUMMYFUNCTION("""COMPUTED_VALUE"""),0)</f>
        <v>0</v>
      </c>
      <c r="S8" s="890"/>
      <c r="T8" s="878"/>
      <c r="U8" s="878" t="str">
        <f ca="1">IFERROR(__xludf.DUMMYFUNCTION("""COMPUTED_VALUE"""),"#VALUE!")</f>
        <v>#VALUE!</v>
      </c>
      <c r="V8" s="879"/>
      <c r="W8" s="891"/>
      <c r="X8" s="881">
        <f ca="1">IFERROR(__xludf.DUMMYFUNCTION("""COMPUTED_VALUE"""),25)</f>
        <v>25</v>
      </c>
      <c r="Y8" s="887"/>
      <c r="Z8" s="880"/>
      <c r="AA8" s="883">
        <f ca="1">IFERROR(__xludf.DUMMYFUNCTION("""COMPUTED_VALUE"""),0)</f>
        <v>0</v>
      </c>
      <c r="AB8" s="887"/>
      <c r="AC8" s="880"/>
      <c r="AD8" s="881">
        <f ca="1">IFERROR(__xludf.DUMMYFUNCTION("""COMPUTED_VALUE"""),1)</f>
        <v>1</v>
      </c>
      <c r="AE8" s="887"/>
      <c r="AF8" s="880"/>
      <c r="AG8" s="881">
        <f ca="1">IFERROR(__xludf.DUMMYFUNCTION("""COMPUTED_VALUE"""),0)</f>
        <v>0</v>
      </c>
      <c r="AH8" s="887"/>
      <c r="AI8" s="880"/>
      <c r="AJ8" s="881">
        <f ca="1">IFERROR(__xludf.DUMMYFUNCTION("""COMPUTED_VALUE"""),0)</f>
        <v>0</v>
      </c>
      <c r="AK8" s="887"/>
    </row>
    <row r="9" spans="1:37" ht="30" customHeight="1">
      <c r="A9" s="370">
        <v>4</v>
      </c>
      <c r="B9" s="885" t="s">
        <v>58</v>
      </c>
      <c r="C9" s="455" t="str">
        <f ca="1">IFERROR(__xludf.DUMMYFUNCTION("""COMPUTED_VALUE"""),"Dr. Ambar Yoganingrum")</f>
        <v>Dr. Ambar Yoganingrum</v>
      </c>
      <c r="D9" s="870"/>
      <c r="E9" s="871"/>
      <c r="F9" s="871">
        <f ca="1">IFERROR(__xludf.DUMMYFUNCTION("""COMPUTED_VALUE"""),0)</f>
        <v>0</v>
      </c>
      <c r="G9" s="871"/>
      <c r="H9" s="872"/>
      <c r="I9" s="872">
        <f ca="1">IFERROR(__xludf.DUMMYFUNCTION("""COMPUTED_VALUE"""),4)</f>
        <v>4</v>
      </c>
      <c r="J9" s="873"/>
      <c r="K9" s="874"/>
      <c r="L9" s="874">
        <f ca="1">IFERROR(__xludf.DUMMYFUNCTION("""COMPUTED_VALUE"""),5)</f>
        <v>5</v>
      </c>
      <c r="M9" s="886"/>
      <c r="N9" s="876"/>
      <c r="O9" s="876">
        <f ca="1">IFERROR(__xludf.DUMMYFUNCTION("""COMPUTED_VALUE"""),0)</f>
        <v>0</v>
      </c>
      <c r="P9" s="889"/>
      <c r="Q9" s="890"/>
      <c r="R9" s="877">
        <f ca="1">IFERROR(__xludf.DUMMYFUNCTION("""COMPUTED_VALUE"""),0)</f>
        <v>0</v>
      </c>
      <c r="S9" s="890"/>
      <c r="T9" s="878"/>
      <c r="U9" s="878" t="str">
        <f ca="1">IFERROR(__xludf.DUMMYFUNCTION("""COMPUTED_VALUE"""),"#VALUE!")</f>
        <v>#VALUE!</v>
      </c>
      <c r="V9" s="879"/>
      <c r="W9" s="891"/>
      <c r="X9" s="881">
        <f ca="1">IFERROR(__xludf.DUMMYFUNCTION("""COMPUTED_VALUE"""),18)</f>
        <v>18</v>
      </c>
      <c r="Y9" s="887"/>
      <c r="Z9" s="880"/>
      <c r="AA9" s="883">
        <f ca="1">IFERROR(__xludf.DUMMYFUNCTION("""COMPUTED_VALUE"""),0)</f>
        <v>0</v>
      </c>
      <c r="AB9" s="887"/>
      <c r="AC9" s="880"/>
      <c r="AD9" s="881">
        <f ca="1">IFERROR(__xludf.DUMMYFUNCTION("""COMPUTED_VALUE"""),3)</f>
        <v>3</v>
      </c>
      <c r="AE9" s="887"/>
      <c r="AF9" s="880"/>
      <c r="AG9" s="881">
        <f ca="1">IFERROR(__xludf.DUMMYFUNCTION("""COMPUTED_VALUE"""),1)</f>
        <v>1</v>
      </c>
      <c r="AH9" s="887"/>
      <c r="AI9" s="880"/>
      <c r="AJ9" s="881">
        <f ca="1">IFERROR(__xludf.DUMMYFUNCTION("""COMPUTED_VALUE"""),0)</f>
        <v>0</v>
      </c>
      <c r="AK9" s="887"/>
    </row>
    <row r="10" spans="1:37" ht="30" customHeight="1">
      <c r="A10" s="370">
        <v>5</v>
      </c>
      <c r="B10" s="885" t="s">
        <v>58</v>
      </c>
      <c r="C10" s="455" t="str">
        <f ca="1">IFERROR(__xludf.DUMMYFUNCTION("""COMPUTED_VALUE"""),"Prof. Dr. Ana Hadiana, M.Eng.Sc.")</f>
        <v>Prof. Dr. Ana Hadiana, M.Eng.Sc.</v>
      </c>
      <c r="D10" s="870"/>
      <c r="E10" s="871"/>
      <c r="F10" s="871">
        <f ca="1">IFERROR(__xludf.DUMMYFUNCTION("""COMPUTED_VALUE"""),0)</f>
        <v>0</v>
      </c>
      <c r="G10" s="871"/>
      <c r="H10" s="872"/>
      <c r="I10" s="872">
        <f ca="1">IFERROR(__xludf.DUMMYFUNCTION("""COMPUTED_VALUE"""),1)</f>
        <v>1</v>
      </c>
      <c r="J10" s="873"/>
      <c r="K10" s="874"/>
      <c r="L10" s="874">
        <f ca="1">IFERROR(__xludf.DUMMYFUNCTION("""COMPUTED_VALUE"""),2)</f>
        <v>2</v>
      </c>
      <c r="M10" s="875"/>
      <c r="N10" s="876"/>
      <c r="O10" s="876">
        <f ca="1">IFERROR(__xludf.DUMMYFUNCTION("""COMPUTED_VALUE"""),0)</f>
        <v>0</v>
      </c>
      <c r="P10" s="889"/>
      <c r="Q10" s="890"/>
      <c r="R10" s="877">
        <f ca="1">IFERROR(__xludf.DUMMYFUNCTION("""COMPUTED_VALUE"""),0)</f>
        <v>0</v>
      </c>
      <c r="S10" s="890"/>
      <c r="T10" s="878"/>
      <c r="U10" s="878" t="str">
        <f ca="1">IFERROR(__xludf.DUMMYFUNCTION("""COMPUTED_VALUE"""),"#VALUE!")</f>
        <v>#VALUE!</v>
      </c>
      <c r="V10" s="879"/>
      <c r="W10" s="891"/>
      <c r="X10" s="881">
        <f ca="1">IFERROR(__xludf.DUMMYFUNCTION("""COMPUTED_VALUE"""),7)</f>
        <v>7</v>
      </c>
      <c r="Y10" s="887"/>
      <c r="Z10" s="880"/>
      <c r="AA10" s="883">
        <f ca="1">IFERROR(__xludf.DUMMYFUNCTION("""COMPUTED_VALUE"""),0)</f>
        <v>0</v>
      </c>
      <c r="AB10" s="884"/>
      <c r="AC10" s="880"/>
      <c r="AD10" s="881">
        <f ca="1">IFERROR(__xludf.DUMMYFUNCTION("""COMPUTED_VALUE"""),3)</f>
        <v>3</v>
      </c>
      <c r="AE10" s="884"/>
      <c r="AF10" s="880"/>
      <c r="AG10" s="881">
        <f ca="1">IFERROR(__xludf.DUMMYFUNCTION("""COMPUTED_VALUE"""),1)</f>
        <v>1</v>
      </c>
      <c r="AH10" s="884"/>
      <c r="AI10" s="880"/>
      <c r="AJ10" s="881">
        <f ca="1">IFERROR(__xludf.DUMMYFUNCTION("""COMPUTED_VALUE"""),0)</f>
        <v>0</v>
      </c>
      <c r="AK10" s="884"/>
    </row>
    <row r="11" spans="1:37" ht="30" customHeight="1">
      <c r="A11" s="370">
        <v>6</v>
      </c>
      <c r="B11" s="888" t="s">
        <v>201</v>
      </c>
      <c r="C11" s="455" t="str">
        <f ca="1">IFERROR(__xludf.DUMMYFUNCTION("""COMPUTED_VALUE"""),"Ir. Andi Djalal Latief, M.S.")</f>
        <v>Ir. Andi Djalal Latief, M.S.</v>
      </c>
      <c r="D11" s="870"/>
      <c r="E11" s="871"/>
      <c r="F11" s="871">
        <f ca="1">IFERROR(__xludf.DUMMYFUNCTION("""COMPUTED_VALUE"""),0)</f>
        <v>0</v>
      </c>
      <c r="G11" s="871"/>
      <c r="H11" s="872"/>
      <c r="I11" s="872">
        <f ca="1">IFERROR(__xludf.DUMMYFUNCTION("""COMPUTED_VALUE"""),1)</f>
        <v>1</v>
      </c>
      <c r="J11" s="873"/>
      <c r="K11" s="874"/>
      <c r="L11" s="874">
        <f ca="1">IFERROR(__xludf.DUMMYFUNCTION("""COMPUTED_VALUE"""),2)</f>
        <v>2</v>
      </c>
      <c r="M11" s="875"/>
      <c r="N11" s="876"/>
      <c r="O11" s="876">
        <f ca="1">IFERROR(__xludf.DUMMYFUNCTION("""COMPUTED_VALUE"""),0)</f>
        <v>0</v>
      </c>
      <c r="P11" s="889"/>
      <c r="Q11" s="890"/>
      <c r="R11" s="877">
        <f ca="1">IFERROR(__xludf.DUMMYFUNCTION("""COMPUTED_VALUE"""),0)</f>
        <v>0</v>
      </c>
      <c r="S11" s="890"/>
      <c r="T11" s="878"/>
      <c r="U11" s="878" t="str">
        <f ca="1">IFERROR(__xludf.DUMMYFUNCTION("""COMPUTED_VALUE"""),"#VALUE!")</f>
        <v>#VALUE!</v>
      </c>
      <c r="V11" s="879"/>
      <c r="W11" s="891"/>
      <c r="X11" s="881">
        <f ca="1">IFERROR(__xludf.DUMMYFUNCTION("""COMPUTED_VALUE"""),13)</f>
        <v>13</v>
      </c>
      <c r="Y11" s="887"/>
      <c r="Z11" s="880"/>
      <c r="AA11" s="883">
        <f ca="1">IFERROR(__xludf.DUMMYFUNCTION("""COMPUTED_VALUE"""),0)</f>
        <v>0</v>
      </c>
      <c r="AB11" s="884"/>
      <c r="AC11" s="880"/>
      <c r="AD11" s="881">
        <f ca="1">IFERROR(__xludf.DUMMYFUNCTION("""COMPUTED_VALUE"""),1)</f>
        <v>1</v>
      </c>
      <c r="AE11" s="884"/>
      <c r="AF11" s="880"/>
      <c r="AG11" s="881">
        <f ca="1">IFERROR(__xludf.DUMMYFUNCTION("""COMPUTED_VALUE"""),0)</f>
        <v>0</v>
      </c>
      <c r="AH11" s="884"/>
      <c r="AI11" s="880"/>
      <c r="AJ11" s="881">
        <f ca="1">IFERROR(__xludf.DUMMYFUNCTION("""COMPUTED_VALUE"""),0)</f>
        <v>0</v>
      </c>
      <c r="AK11" s="884"/>
    </row>
    <row r="12" spans="1:37" ht="30" customHeight="1">
      <c r="A12" s="370">
        <v>7</v>
      </c>
      <c r="B12" s="885" t="s">
        <v>67</v>
      </c>
      <c r="C12" s="455" t="str">
        <f ca="1">IFERROR(__xludf.DUMMYFUNCTION("""COMPUTED_VALUE"""),"Dra. Andrari Grahitandaru, M.Sc.")</f>
        <v>Dra. Andrari Grahitandaru, M.Sc.</v>
      </c>
      <c r="D12" s="870"/>
      <c r="E12" s="871"/>
      <c r="F12" s="871">
        <f ca="1">IFERROR(__xludf.DUMMYFUNCTION("""COMPUTED_VALUE"""),0)</f>
        <v>0</v>
      </c>
      <c r="G12" s="871"/>
      <c r="H12" s="872"/>
      <c r="I12" s="872">
        <f ca="1">IFERROR(__xludf.DUMMYFUNCTION("""COMPUTED_VALUE"""),0)</f>
        <v>0</v>
      </c>
      <c r="J12" s="873"/>
      <c r="K12" s="874"/>
      <c r="L12" s="874">
        <f ca="1">IFERROR(__xludf.DUMMYFUNCTION("""COMPUTED_VALUE"""),1)</f>
        <v>1</v>
      </c>
      <c r="M12" s="886"/>
      <c r="N12" s="876"/>
      <c r="O12" s="876">
        <f ca="1">IFERROR(__xludf.DUMMYFUNCTION("""COMPUTED_VALUE"""),0)</f>
        <v>0</v>
      </c>
      <c r="P12" s="892"/>
      <c r="Q12" s="893"/>
      <c r="R12" s="877">
        <f ca="1">IFERROR(__xludf.DUMMYFUNCTION("""COMPUTED_VALUE"""),0)</f>
        <v>0</v>
      </c>
      <c r="S12" s="893"/>
      <c r="T12" s="878"/>
      <c r="U12" s="878" t="str">
        <f ca="1">IFERROR(__xludf.DUMMYFUNCTION("""COMPUTED_VALUE"""),"#VALUE!")</f>
        <v>#VALUE!</v>
      </c>
      <c r="V12" s="879"/>
      <c r="W12" s="894"/>
      <c r="X12" s="881">
        <f ca="1">IFERROR(__xludf.DUMMYFUNCTION("""COMPUTED_VALUE"""),0)</f>
        <v>0</v>
      </c>
      <c r="Y12" s="884"/>
      <c r="Z12" s="880"/>
      <c r="AA12" s="883">
        <f ca="1">IFERROR(__xludf.DUMMYFUNCTION("""COMPUTED_VALUE"""),0)</f>
        <v>0</v>
      </c>
      <c r="AB12" s="887"/>
      <c r="AC12" s="880"/>
      <c r="AD12" s="881">
        <f ca="1">IFERROR(__xludf.DUMMYFUNCTION("""COMPUTED_VALUE"""),4)</f>
        <v>4</v>
      </c>
      <c r="AE12" s="887"/>
      <c r="AF12" s="880"/>
      <c r="AG12" s="881">
        <f ca="1">IFERROR(__xludf.DUMMYFUNCTION("""COMPUTED_VALUE"""),0)</f>
        <v>0</v>
      </c>
      <c r="AH12" s="887"/>
      <c r="AI12" s="880"/>
      <c r="AJ12" s="881">
        <f ca="1">IFERROR(__xludf.DUMMYFUNCTION("""COMPUTED_VALUE"""),0)</f>
        <v>0</v>
      </c>
      <c r="AK12" s="887"/>
    </row>
    <row r="13" spans="1:37" ht="30" customHeight="1">
      <c r="A13" s="370">
        <v>8</v>
      </c>
      <c r="B13" s="885" t="s">
        <v>32</v>
      </c>
      <c r="C13" s="455" t="str">
        <f ca="1">IFERROR(__xludf.DUMMYFUNCTION("""COMPUTED_VALUE"""),"Andre Sihombing, S.Kom., M.Sc.")</f>
        <v>Andre Sihombing, S.Kom., M.Sc.</v>
      </c>
      <c r="D13" s="870"/>
      <c r="E13" s="871"/>
      <c r="F13" s="871">
        <f ca="1">IFERROR(__xludf.DUMMYFUNCTION("""COMPUTED_VALUE"""),0)</f>
        <v>0</v>
      </c>
      <c r="G13" s="871"/>
      <c r="H13" s="872"/>
      <c r="I13" s="872">
        <f ca="1">IFERROR(__xludf.DUMMYFUNCTION("""COMPUTED_VALUE"""),0)</f>
        <v>0</v>
      </c>
      <c r="J13" s="873"/>
      <c r="K13" s="874"/>
      <c r="L13" s="874">
        <f ca="1">IFERROR(__xludf.DUMMYFUNCTION("""COMPUTED_VALUE"""),1)</f>
        <v>1</v>
      </c>
      <c r="M13" s="886"/>
      <c r="N13" s="876"/>
      <c r="O13" s="876">
        <f ca="1">IFERROR(__xludf.DUMMYFUNCTION("""COMPUTED_VALUE"""),1)</f>
        <v>1</v>
      </c>
      <c r="P13" s="889"/>
      <c r="Q13" s="890"/>
      <c r="R13" s="877">
        <f ca="1">IFERROR(__xludf.DUMMYFUNCTION("""COMPUTED_VALUE"""),0)</f>
        <v>0</v>
      </c>
      <c r="S13" s="890"/>
      <c r="T13" s="878"/>
      <c r="U13" s="878" t="str">
        <f ca="1">IFERROR(__xludf.DUMMYFUNCTION("""COMPUTED_VALUE"""),"#VALUE!")</f>
        <v>#VALUE!</v>
      </c>
      <c r="V13" s="879"/>
      <c r="W13" s="891"/>
      <c r="X13" s="881">
        <f ca="1">IFERROR(__xludf.DUMMYFUNCTION("""COMPUTED_VALUE"""),9)</f>
        <v>9</v>
      </c>
      <c r="Y13" s="887"/>
      <c r="Z13" s="880"/>
      <c r="AA13" s="883">
        <f ca="1">IFERROR(__xludf.DUMMYFUNCTION("""COMPUTED_VALUE"""),1)</f>
        <v>1</v>
      </c>
      <c r="AB13" s="887"/>
      <c r="AC13" s="880"/>
      <c r="AD13" s="881">
        <f ca="1">IFERROR(__xludf.DUMMYFUNCTION("""COMPUTED_VALUE"""),2)</f>
        <v>2</v>
      </c>
      <c r="AE13" s="887"/>
      <c r="AF13" s="880"/>
      <c r="AG13" s="881">
        <f ca="1">IFERROR(__xludf.DUMMYFUNCTION("""COMPUTED_VALUE"""),0)</f>
        <v>0</v>
      </c>
      <c r="AH13" s="887"/>
      <c r="AI13" s="880"/>
      <c r="AJ13" s="881">
        <f ca="1">IFERROR(__xludf.DUMMYFUNCTION("""COMPUTED_VALUE"""),0)</f>
        <v>0</v>
      </c>
      <c r="AK13" s="887"/>
    </row>
    <row r="14" spans="1:37" ht="30" customHeight="1">
      <c r="A14" s="370">
        <v>9</v>
      </c>
      <c r="B14" s="885" t="s">
        <v>32</v>
      </c>
      <c r="C14" s="455" t="str">
        <f ca="1">IFERROR(__xludf.DUMMYFUNCTION("""COMPUTED_VALUE"""),"Andria Arisal, M. Eng.")</f>
        <v>Andria Arisal, M. Eng.</v>
      </c>
      <c r="D14" s="870"/>
      <c r="E14" s="871"/>
      <c r="F14" s="871">
        <f ca="1">IFERROR(__xludf.DUMMYFUNCTION("""COMPUTED_VALUE"""),2)</f>
        <v>2</v>
      </c>
      <c r="G14" s="871"/>
      <c r="H14" s="872"/>
      <c r="I14" s="872">
        <f ca="1">IFERROR(__xludf.DUMMYFUNCTION("""COMPUTED_VALUE"""),2)</f>
        <v>2</v>
      </c>
      <c r="J14" s="873"/>
      <c r="K14" s="874"/>
      <c r="L14" s="874">
        <f ca="1">IFERROR(__xludf.DUMMYFUNCTION("""COMPUTED_VALUE"""),2)</f>
        <v>2</v>
      </c>
      <c r="M14" s="875"/>
      <c r="N14" s="876"/>
      <c r="O14" s="876">
        <f ca="1">IFERROR(__xludf.DUMMYFUNCTION("""COMPUTED_VALUE"""),0)</f>
        <v>0</v>
      </c>
      <c r="P14" s="889"/>
      <c r="Q14" s="890"/>
      <c r="R14" s="877">
        <f ca="1">IFERROR(__xludf.DUMMYFUNCTION("""COMPUTED_VALUE"""),1)</f>
        <v>1</v>
      </c>
      <c r="S14" s="890"/>
      <c r="T14" s="878"/>
      <c r="U14" s="878" t="str">
        <f ca="1">IFERROR(__xludf.DUMMYFUNCTION("""COMPUTED_VALUE"""),"#VALUE!")</f>
        <v>#VALUE!</v>
      </c>
      <c r="V14" s="879"/>
      <c r="W14" s="891"/>
      <c r="X14" s="881">
        <f ca="1">IFERROR(__xludf.DUMMYFUNCTION("""COMPUTED_VALUE"""),40)</f>
        <v>40</v>
      </c>
      <c r="Y14" s="887"/>
      <c r="Z14" s="880"/>
      <c r="AA14" s="883">
        <f ca="1">IFERROR(__xludf.DUMMYFUNCTION("""COMPUTED_VALUE"""),1)</f>
        <v>1</v>
      </c>
      <c r="AB14" s="884"/>
      <c r="AC14" s="880"/>
      <c r="AD14" s="881">
        <f ca="1">IFERROR(__xludf.DUMMYFUNCTION("""COMPUTED_VALUE"""),1)</f>
        <v>1</v>
      </c>
      <c r="AE14" s="884"/>
      <c r="AF14" s="880"/>
      <c r="AG14" s="881">
        <f ca="1">IFERROR(__xludf.DUMMYFUNCTION("""COMPUTED_VALUE"""),0)</f>
        <v>0</v>
      </c>
      <c r="AH14" s="884"/>
      <c r="AI14" s="880"/>
      <c r="AJ14" s="881">
        <f ca="1">IFERROR(__xludf.DUMMYFUNCTION("""COMPUTED_VALUE"""),1)</f>
        <v>1</v>
      </c>
      <c r="AK14" s="884"/>
    </row>
    <row r="15" spans="1:37" ht="30" customHeight="1">
      <c r="A15" s="370">
        <v>10</v>
      </c>
      <c r="B15" s="885" t="s">
        <v>32</v>
      </c>
      <c r="C15" s="455" t="str">
        <f ca="1">IFERROR(__xludf.DUMMYFUNCTION("""COMPUTED_VALUE"""),"Andri Fachrur Rozie, M. Eng.")</f>
        <v>Andri Fachrur Rozie, M. Eng.</v>
      </c>
      <c r="D15" s="870"/>
      <c r="E15" s="871"/>
      <c r="F15" s="871">
        <f ca="1">IFERROR(__xludf.DUMMYFUNCTION("""COMPUTED_VALUE"""),2)</f>
        <v>2</v>
      </c>
      <c r="G15" s="871"/>
      <c r="H15" s="872"/>
      <c r="I15" s="872">
        <f ca="1">IFERROR(__xludf.DUMMYFUNCTION("""COMPUTED_VALUE"""),2)</f>
        <v>2</v>
      </c>
      <c r="J15" s="873"/>
      <c r="K15" s="874"/>
      <c r="L15" s="874">
        <f ca="1">IFERROR(__xludf.DUMMYFUNCTION("""COMPUTED_VALUE"""),4)</f>
        <v>4</v>
      </c>
      <c r="M15" s="875"/>
      <c r="N15" s="876"/>
      <c r="O15" s="876">
        <f ca="1">IFERROR(__xludf.DUMMYFUNCTION("""COMPUTED_VALUE"""),0)</f>
        <v>0</v>
      </c>
      <c r="P15" s="889"/>
      <c r="Q15" s="890"/>
      <c r="R15" s="877">
        <f ca="1">IFERROR(__xludf.DUMMYFUNCTION("""COMPUTED_VALUE"""),0)</f>
        <v>0</v>
      </c>
      <c r="S15" s="890"/>
      <c r="T15" s="878"/>
      <c r="U15" s="878" t="str">
        <f ca="1">IFERROR(__xludf.DUMMYFUNCTION("""COMPUTED_VALUE"""),"#VALUE!")</f>
        <v>#VALUE!</v>
      </c>
      <c r="V15" s="879"/>
      <c r="W15" s="891"/>
      <c r="X15" s="881">
        <f ca="1">IFERROR(__xludf.DUMMYFUNCTION("""COMPUTED_VALUE"""),14)</f>
        <v>14</v>
      </c>
      <c r="Y15" s="887"/>
      <c r="Z15" s="880"/>
      <c r="AA15" s="883">
        <f ca="1">IFERROR(__xludf.DUMMYFUNCTION("""COMPUTED_VALUE"""),0)</f>
        <v>0</v>
      </c>
      <c r="AB15" s="884"/>
      <c r="AC15" s="880"/>
      <c r="AD15" s="881">
        <f ca="1">IFERROR(__xludf.DUMMYFUNCTION("""COMPUTED_VALUE"""),1)</f>
        <v>1</v>
      </c>
      <c r="AE15" s="884"/>
      <c r="AF15" s="880"/>
      <c r="AG15" s="881">
        <f ca="1">IFERROR(__xludf.DUMMYFUNCTION("""COMPUTED_VALUE"""),0)</f>
        <v>0</v>
      </c>
      <c r="AH15" s="884"/>
      <c r="AI15" s="880"/>
      <c r="AJ15" s="881">
        <f ca="1">IFERROR(__xludf.DUMMYFUNCTION("""COMPUTED_VALUE"""),0)</f>
        <v>0</v>
      </c>
      <c r="AK15" s="884"/>
    </row>
    <row r="16" spans="1:37" ht="30" customHeight="1">
      <c r="A16" s="370">
        <v>11</v>
      </c>
      <c r="B16" s="885" t="s">
        <v>32</v>
      </c>
      <c r="C16" s="455" t="str">
        <f ca="1">IFERROR(__xludf.DUMMYFUNCTION("""COMPUTED_VALUE"""),"Dr. DIPL. ING (FH) Anne Parlina, M.P.")</f>
        <v>Dr. DIPL. ING (FH) Anne Parlina, M.P.</v>
      </c>
      <c r="D16" s="870"/>
      <c r="E16" s="871"/>
      <c r="F16" s="871">
        <f ca="1">IFERROR(__xludf.DUMMYFUNCTION("""COMPUTED_VALUE"""),0)</f>
        <v>0</v>
      </c>
      <c r="G16" s="871"/>
      <c r="H16" s="872"/>
      <c r="I16" s="872">
        <f ca="1">IFERROR(__xludf.DUMMYFUNCTION("""COMPUTED_VALUE"""),0)</f>
        <v>0</v>
      </c>
      <c r="J16" s="873"/>
      <c r="K16" s="874"/>
      <c r="L16" s="874">
        <f ca="1">IFERROR(__xludf.DUMMYFUNCTION("""COMPUTED_VALUE"""),1)</f>
        <v>1</v>
      </c>
      <c r="M16" s="875"/>
      <c r="N16" s="876"/>
      <c r="O16" s="876">
        <f ca="1">IFERROR(__xludf.DUMMYFUNCTION("""COMPUTED_VALUE"""),0)</f>
        <v>0</v>
      </c>
      <c r="P16" s="892"/>
      <c r="Q16" s="893"/>
      <c r="R16" s="877">
        <f ca="1">IFERROR(__xludf.DUMMYFUNCTION("""COMPUTED_VALUE"""),0)</f>
        <v>0</v>
      </c>
      <c r="S16" s="893"/>
      <c r="T16" s="878"/>
      <c r="U16" s="878" t="str">
        <f ca="1">IFERROR(__xludf.DUMMYFUNCTION("""COMPUTED_VALUE"""),"#VALUE!")</f>
        <v>#VALUE!</v>
      </c>
      <c r="V16" s="879"/>
      <c r="W16" s="894"/>
      <c r="X16" s="881">
        <f ca="1">IFERROR(__xludf.DUMMYFUNCTION("""COMPUTED_VALUE"""),21)</f>
        <v>21</v>
      </c>
      <c r="Y16" s="884"/>
      <c r="Z16" s="880"/>
      <c r="AA16" s="883">
        <f ca="1">IFERROR(__xludf.DUMMYFUNCTION("""COMPUTED_VALUE"""),2)</f>
        <v>2</v>
      </c>
      <c r="AB16" s="884"/>
      <c r="AC16" s="880"/>
      <c r="AD16" s="881">
        <f ca="1">IFERROR(__xludf.DUMMYFUNCTION("""COMPUTED_VALUE"""),1)</f>
        <v>1</v>
      </c>
      <c r="AE16" s="884"/>
      <c r="AF16" s="880"/>
      <c r="AG16" s="881">
        <f ca="1">IFERROR(__xludf.DUMMYFUNCTION("""COMPUTED_VALUE"""),0)</f>
        <v>0</v>
      </c>
      <c r="AH16" s="884"/>
      <c r="AI16" s="880"/>
      <c r="AJ16" s="881">
        <f ca="1">IFERROR(__xludf.DUMMYFUNCTION("""COMPUTED_VALUE"""),0)</f>
        <v>0</v>
      </c>
      <c r="AK16" s="884"/>
    </row>
    <row r="17" spans="1:37" ht="30" customHeight="1">
      <c r="A17" s="370">
        <v>12</v>
      </c>
      <c r="B17" s="885" t="s">
        <v>58</v>
      </c>
      <c r="C17" s="455" t="str">
        <f ca="1">IFERROR(__xludf.DUMMYFUNCTION("""COMPUTED_VALUE"""),"Arafat Febriandirza, Ph.D")</f>
        <v>Arafat Febriandirza, Ph.D</v>
      </c>
      <c r="D17" s="870"/>
      <c r="E17" s="871"/>
      <c r="F17" s="871">
        <f ca="1">IFERROR(__xludf.DUMMYFUNCTION("""COMPUTED_VALUE"""),0)</f>
        <v>0</v>
      </c>
      <c r="G17" s="871"/>
      <c r="H17" s="872"/>
      <c r="I17" s="872">
        <f ca="1">IFERROR(__xludf.DUMMYFUNCTION("""COMPUTED_VALUE"""),0)</f>
        <v>0</v>
      </c>
      <c r="J17" s="873"/>
      <c r="K17" s="874"/>
      <c r="L17" s="874">
        <f ca="1">IFERROR(__xludf.DUMMYFUNCTION("""COMPUTED_VALUE"""),3)</f>
        <v>3</v>
      </c>
      <c r="M17" s="886"/>
      <c r="N17" s="876"/>
      <c r="O17" s="876">
        <f ca="1">IFERROR(__xludf.DUMMYFUNCTION("""COMPUTED_VALUE"""),0)</f>
        <v>0</v>
      </c>
      <c r="P17" s="892"/>
      <c r="Q17" s="893"/>
      <c r="R17" s="877">
        <f ca="1">IFERROR(__xludf.DUMMYFUNCTION("""COMPUTED_VALUE"""),0)</f>
        <v>0</v>
      </c>
      <c r="S17" s="893"/>
      <c r="T17" s="878"/>
      <c r="U17" s="878" t="str">
        <f ca="1">IFERROR(__xludf.DUMMYFUNCTION("""COMPUTED_VALUE"""),"#VALUE!")</f>
        <v>#VALUE!</v>
      </c>
      <c r="V17" s="879"/>
      <c r="W17" s="894"/>
      <c r="X17" s="881">
        <f ca="1">IFERROR(__xludf.DUMMYFUNCTION("""COMPUTED_VALUE"""),6)</f>
        <v>6</v>
      </c>
      <c r="Y17" s="884"/>
      <c r="Z17" s="880"/>
      <c r="AA17" s="883">
        <f ca="1">IFERROR(__xludf.DUMMYFUNCTION("""COMPUTED_VALUE"""),2)</f>
        <v>2</v>
      </c>
      <c r="AB17" s="887"/>
      <c r="AC17" s="880"/>
      <c r="AD17" s="881">
        <f ca="1">IFERROR(__xludf.DUMMYFUNCTION("""COMPUTED_VALUE"""),3)</f>
        <v>3</v>
      </c>
      <c r="AE17" s="887"/>
      <c r="AF17" s="880"/>
      <c r="AG17" s="881">
        <f ca="1">IFERROR(__xludf.DUMMYFUNCTION("""COMPUTED_VALUE"""),2)</f>
        <v>2</v>
      </c>
      <c r="AH17" s="887"/>
      <c r="AI17" s="880"/>
      <c r="AJ17" s="881">
        <f ca="1">IFERROR(__xludf.DUMMYFUNCTION("""COMPUTED_VALUE"""),1)</f>
        <v>1</v>
      </c>
      <c r="AK17" s="887"/>
    </row>
    <row r="18" spans="1:37" ht="30" customHeight="1">
      <c r="A18" s="370">
        <v>13</v>
      </c>
      <c r="B18" s="885" t="s">
        <v>58</v>
      </c>
      <c r="C18" s="455" t="str">
        <f ca="1">IFERROR(__xludf.DUMMYFUNCTION("""COMPUTED_VALUE"""),"Aria Bisri, S.Kom. M.T.")</f>
        <v>Aria Bisri, S.Kom. M.T.</v>
      </c>
      <c r="D18" s="870"/>
      <c r="E18" s="871"/>
      <c r="F18" s="871">
        <f ca="1">IFERROR(__xludf.DUMMYFUNCTION("""COMPUTED_VALUE"""),0)</f>
        <v>0</v>
      </c>
      <c r="G18" s="871"/>
      <c r="H18" s="872"/>
      <c r="I18" s="872">
        <f ca="1">IFERROR(__xludf.DUMMYFUNCTION("""COMPUTED_VALUE"""),4)</f>
        <v>4</v>
      </c>
      <c r="J18" s="873"/>
      <c r="K18" s="874"/>
      <c r="L18" s="874">
        <f ca="1">IFERROR(__xludf.DUMMYFUNCTION("""COMPUTED_VALUE"""),2)</f>
        <v>2</v>
      </c>
      <c r="M18" s="875"/>
      <c r="N18" s="876"/>
      <c r="O18" s="876">
        <f ca="1">IFERROR(__xludf.DUMMYFUNCTION("""COMPUTED_VALUE"""),0)</f>
        <v>0</v>
      </c>
      <c r="P18" s="889"/>
      <c r="Q18" s="890"/>
      <c r="R18" s="877">
        <f ca="1">IFERROR(__xludf.DUMMYFUNCTION("""COMPUTED_VALUE"""),0)</f>
        <v>0</v>
      </c>
      <c r="S18" s="890"/>
      <c r="T18" s="878"/>
      <c r="U18" s="878" t="str">
        <f ca="1">IFERROR(__xludf.DUMMYFUNCTION("""COMPUTED_VALUE"""),"#VALUE!")</f>
        <v>#VALUE!</v>
      </c>
      <c r="V18" s="879"/>
      <c r="W18" s="891"/>
      <c r="X18" s="881">
        <f ca="1">IFERROR(__xludf.DUMMYFUNCTION("""COMPUTED_VALUE"""),12)</f>
        <v>12</v>
      </c>
      <c r="Y18" s="887"/>
      <c r="Z18" s="880"/>
      <c r="AA18" s="883">
        <f ca="1">IFERROR(__xludf.DUMMYFUNCTION("""COMPUTED_VALUE"""),0)</f>
        <v>0</v>
      </c>
      <c r="AB18" s="884"/>
      <c r="AC18" s="880"/>
      <c r="AD18" s="881">
        <f ca="1">IFERROR(__xludf.DUMMYFUNCTION("""COMPUTED_VALUE"""),5)</f>
        <v>5</v>
      </c>
      <c r="AE18" s="884"/>
      <c r="AF18" s="880"/>
      <c r="AG18" s="881">
        <f ca="1">IFERROR(__xludf.DUMMYFUNCTION("""COMPUTED_VALUE"""),1)</f>
        <v>1</v>
      </c>
      <c r="AH18" s="884"/>
      <c r="AI18" s="880"/>
      <c r="AJ18" s="881">
        <f ca="1">IFERROR(__xludf.DUMMYFUNCTION("""COMPUTED_VALUE"""),0)</f>
        <v>0</v>
      </c>
      <c r="AK18" s="884"/>
    </row>
    <row r="19" spans="1:37" ht="30" customHeight="1">
      <c r="A19" s="370">
        <v>14</v>
      </c>
      <c r="B19" s="885" t="s">
        <v>49</v>
      </c>
      <c r="C19" s="455" t="str">
        <f ca="1">IFERROR(__xludf.DUMMYFUNCTION("""COMPUTED_VALUE"""),"Ariani Indrawati, M.TI")</f>
        <v>Ariani Indrawati, M.TI</v>
      </c>
      <c r="D19" s="870"/>
      <c r="E19" s="871"/>
      <c r="F19" s="871">
        <f ca="1">IFERROR(__xludf.DUMMYFUNCTION("""COMPUTED_VALUE"""),0)</f>
        <v>0</v>
      </c>
      <c r="G19" s="871"/>
      <c r="H19" s="872"/>
      <c r="I19" s="872">
        <f ca="1">IFERROR(__xludf.DUMMYFUNCTION("""COMPUTED_VALUE"""),0)</f>
        <v>0</v>
      </c>
      <c r="J19" s="873"/>
      <c r="K19" s="874"/>
      <c r="L19" s="874">
        <f ca="1">IFERROR(__xludf.DUMMYFUNCTION("""COMPUTED_VALUE"""),0)</f>
        <v>0</v>
      </c>
      <c r="M19" s="886"/>
      <c r="N19" s="876"/>
      <c r="O19" s="876">
        <f ca="1">IFERROR(__xludf.DUMMYFUNCTION("""COMPUTED_VALUE"""),1)</f>
        <v>1</v>
      </c>
      <c r="P19" s="889"/>
      <c r="Q19" s="890"/>
      <c r="R19" s="877">
        <f ca="1">IFERROR(__xludf.DUMMYFUNCTION("""COMPUTED_VALUE"""),0)</f>
        <v>0</v>
      </c>
      <c r="S19" s="890"/>
      <c r="T19" s="878"/>
      <c r="U19" s="878" t="str">
        <f ca="1">IFERROR(__xludf.DUMMYFUNCTION("""COMPUTED_VALUE"""),"#VALUE!")</f>
        <v>#VALUE!</v>
      </c>
      <c r="V19" s="879"/>
      <c r="W19" s="891"/>
      <c r="X19" s="881">
        <f ca="1">IFERROR(__xludf.DUMMYFUNCTION("""COMPUTED_VALUE"""),20)</f>
        <v>20</v>
      </c>
      <c r="Y19" s="887"/>
      <c r="Z19" s="895"/>
      <c r="AA19" s="883">
        <f ca="1">IFERROR(__xludf.DUMMYFUNCTION("""COMPUTED_VALUE"""),0)</f>
        <v>0</v>
      </c>
      <c r="AB19" s="896"/>
      <c r="AC19" s="895"/>
      <c r="AD19" s="881">
        <f ca="1">IFERROR(__xludf.DUMMYFUNCTION("""COMPUTED_VALUE"""),0)</f>
        <v>0</v>
      </c>
      <c r="AE19" s="896"/>
      <c r="AF19" s="895"/>
      <c r="AG19" s="881">
        <f ca="1">IFERROR(__xludf.DUMMYFUNCTION("""COMPUTED_VALUE"""),0)</f>
        <v>0</v>
      </c>
      <c r="AH19" s="896"/>
      <c r="AI19" s="895"/>
      <c r="AJ19" s="881">
        <f ca="1">IFERROR(__xludf.DUMMYFUNCTION("""COMPUTED_VALUE"""),0)</f>
        <v>0</v>
      </c>
      <c r="AK19" s="896"/>
    </row>
    <row r="20" spans="1:37" ht="30" customHeight="1">
      <c r="A20" s="370">
        <v>15</v>
      </c>
      <c r="B20" s="885" t="s">
        <v>49</v>
      </c>
      <c r="C20" s="455" t="str">
        <f ca="1">IFERROR(__xludf.DUMMYFUNCTION("""COMPUTED_VALUE"""),"Dr. Arya Adhyaksa Waskita, M.Si")</f>
        <v>Dr. Arya Adhyaksa Waskita, M.Si</v>
      </c>
      <c r="D20" s="870"/>
      <c r="E20" s="871"/>
      <c r="F20" s="871">
        <f ca="1">IFERROR(__xludf.DUMMYFUNCTION("""COMPUTED_VALUE"""),0)</f>
        <v>0</v>
      </c>
      <c r="G20" s="871"/>
      <c r="H20" s="872"/>
      <c r="I20" s="872">
        <f ca="1">IFERROR(__xludf.DUMMYFUNCTION("""COMPUTED_VALUE"""),2)</f>
        <v>2</v>
      </c>
      <c r="J20" s="873"/>
      <c r="K20" s="874"/>
      <c r="L20" s="874">
        <f ca="1">IFERROR(__xludf.DUMMYFUNCTION("""COMPUTED_VALUE"""),2)</f>
        <v>2</v>
      </c>
      <c r="M20" s="886"/>
      <c r="N20" s="876"/>
      <c r="O20" s="876">
        <f ca="1">IFERROR(__xludf.DUMMYFUNCTION("""COMPUTED_VALUE"""),0)</f>
        <v>0</v>
      </c>
      <c r="P20" s="889"/>
      <c r="Q20" s="890"/>
      <c r="R20" s="877">
        <f ca="1">IFERROR(__xludf.DUMMYFUNCTION("""COMPUTED_VALUE"""),0)</f>
        <v>0</v>
      </c>
      <c r="S20" s="890"/>
      <c r="T20" s="878"/>
      <c r="U20" s="878" t="str">
        <f ca="1">IFERROR(__xludf.DUMMYFUNCTION("""COMPUTED_VALUE"""),"#VALUE!")</f>
        <v>#VALUE!</v>
      </c>
      <c r="V20" s="879"/>
      <c r="W20" s="891"/>
      <c r="X20" s="881">
        <f ca="1">IFERROR(__xludf.DUMMYFUNCTION("""COMPUTED_VALUE"""),10)</f>
        <v>10</v>
      </c>
      <c r="Y20" s="887"/>
      <c r="Z20" s="895"/>
      <c r="AA20" s="883">
        <f ca="1">IFERROR(__xludf.DUMMYFUNCTION("""COMPUTED_VALUE"""),0)</f>
        <v>0</v>
      </c>
      <c r="AB20" s="896"/>
      <c r="AC20" s="895"/>
      <c r="AD20" s="881">
        <f ca="1">IFERROR(__xludf.DUMMYFUNCTION("""COMPUTED_VALUE"""),0)</f>
        <v>0</v>
      </c>
      <c r="AE20" s="896"/>
      <c r="AF20" s="895"/>
      <c r="AG20" s="881">
        <f ca="1">IFERROR(__xludf.DUMMYFUNCTION("""COMPUTED_VALUE"""),0)</f>
        <v>0</v>
      </c>
      <c r="AH20" s="896"/>
      <c r="AI20" s="895"/>
      <c r="AJ20" s="881">
        <f ca="1">IFERROR(__xludf.DUMMYFUNCTION("""COMPUTED_VALUE"""),0)</f>
        <v>0</v>
      </c>
      <c r="AK20" s="896"/>
    </row>
    <row r="21" spans="1:37" ht="30" customHeight="1">
      <c r="A21" s="370">
        <v>16</v>
      </c>
      <c r="B21" s="888" t="s">
        <v>201</v>
      </c>
      <c r="C21" s="455" t="str">
        <f ca="1">IFERROR(__xludf.DUMMYFUNCTION("""COMPUTED_VALUE"""),"Dr. Dipl.(FH) Ing Asril, M.Sc")</f>
        <v>Dr. Dipl.(FH) Ing Asril, M.Sc</v>
      </c>
      <c r="D21" s="870"/>
      <c r="E21" s="871"/>
      <c r="F21" s="871">
        <f ca="1">IFERROR(__xludf.DUMMYFUNCTION("""COMPUTED_VALUE"""),0)</f>
        <v>0</v>
      </c>
      <c r="G21" s="871"/>
      <c r="H21" s="872"/>
      <c r="I21" s="872">
        <f ca="1">IFERROR(__xludf.DUMMYFUNCTION("""COMPUTED_VALUE"""),3)</f>
        <v>3</v>
      </c>
      <c r="J21" s="873"/>
      <c r="K21" s="874"/>
      <c r="L21" s="874">
        <f ca="1">IFERROR(__xludf.DUMMYFUNCTION("""COMPUTED_VALUE"""),4)</f>
        <v>4</v>
      </c>
      <c r="M21" s="875"/>
      <c r="N21" s="876"/>
      <c r="O21" s="876">
        <f ca="1">IFERROR(__xludf.DUMMYFUNCTION("""COMPUTED_VALUE"""),0)</f>
        <v>0</v>
      </c>
      <c r="P21" s="889"/>
      <c r="Q21" s="890"/>
      <c r="R21" s="877">
        <f ca="1">IFERROR(__xludf.DUMMYFUNCTION("""COMPUTED_VALUE"""),0)</f>
        <v>0</v>
      </c>
      <c r="S21" s="890"/>
      <c r="T21" s="878"/>
      <c r="U21" s="878" t="str">
        <f ca="1">IFERROR(__xludf.DUMMYFUNCTION("""COMPUTED_VALUE"""),"#VALUE!")</f>
        <v>#VALUE!</v>
      </c>
      <c r="V21" s="879"/>
      <c r="W21" s="891"/>
      <c r="X21" s="881">
        <f ca="1">IFERROR(__xludf.DUMMYFUNCTION("""COMPUTED_VALUE"""),12)</f>
        <v>12</v>
      </c>
      <c r="Y21" s="887"/>
      <c r="Z21" s="880"/>
      <c r="AA21" s="883">
        <f ca="1">IFERROR(__xludf.DUMMYFUNCTION("""COMPUTED_VALUE"""),0)</f>
        <v>0</v>
      </c>
      <c r="AB21" s="884"/>
      <c r="AC21" s="880"/>
      <c r="AD21" s="881">
        <f ca="1">IFERROR(__xludf.DUMMYFUNCTION("""COMPUTED_VALUE"""),1)</f>
        <v>1</v>
      </c>
      <c r="AE21" s="884"/>
      <c r="AF21" s="880"/>
      <c r="AG21" s="881">
        <f ca="1">IFERROR(__xludf.DUMMYFUNCTION("""COMPUTED_VALUE"""),0)</f>
        <v>0</v>
      </c>
      <c r="AH21" s="884"/>
      <c r="AI21" s="880"/>
      <c r="AJ21" s="881">
        <f ca="1">IFERROR(__xludf.DUMMYFUNCTION("""COMPUTED_VALUE"""),0)</f>
        <v>0</v>
      </c>
      <c r="AK21" s="884"/>
    </row>
    <row r="22" spans="1:37" ht="30" customHeight="1">
      <c r="A22" s="370">
        <v>17</v>
      </c>
      <c r="B22" s="885" t="s">
        <v>67</v>
      </c>
      <c r="C22" s="455" t="str">
        <f ca="1">IFERROR(__xludf.DUMMYFUNCTION("""COMPUTED_VALUE"""),"Dr. Eng. Budi Nugroho")</f>
        <v>Dr. Eng. Budi Nugroho</v>
      </c>
      <c r="D22" s="870"/>
      <c r="E22" s="871"/>
      <c r="F22" s="871">
        <f ca="1">IFERROR(__xludf.DUMMYFUNCTION("""COMPUTED_VALUE"""),0)</f>
        <v>0</v>
      </c>
      <c r="G22" s="871"/>
      <c r="H22" s="872"/>
      <c r="I22" s="872">
        <f ca="1">IFERROR(__xludf.DUMMYFUNCTION("""COMPUTED_VALUE"""),0)</f>
        <v>0</v>
      </c>
      <c r="J22" s="873"/>
      <c r="K22" s="874"/>
      <c r="L22" s="874">
        <f ca="1">IFERROR(__xludf.DUMMYFUNCTION("""COMPUTED_VALUE"""),2)</f>
        <v>2</v>
      </c>
      <c r="M22" s="886"/>
      <c r="N22" s="876"/>
      <c r="O22" s="876">
        <f ca="1">IFERROR(__xludf.DUMMYFUNCTION("""COMPUTED_VALUE"""),0)</f>
        <v>0</v>
      </c>
      <c r="P22" s="889"/>
      <c r="Q22" s="890"/>
      <c r="R22" s="877">
        <f ca="1">IFERROR(__xludf.DUMMYFUNCTION("""COMPUTED_VALUE"""),0)</f>
        <v>0</v>
      </c>
      <c r="S22" s="890"/>
      <c r="T22" s="878"/>
      <c r="U22" s="878" t="str">
        <f ca="1">IFERROR(__xludf.DUMMYFUNCTION("""COMPUTED_VALUE"""),"#VALUE!")</f>
        <v>#VALUE!</v>
      </c>
      <c r="V22" s="879"/>
      <c r="W22" s="891"/>
      <c r="X22" s="881">
        <f ca="1">IFERROR(__xludf.DUMMYFUNCTION("""COMPUTED_VALUE"""),13)</f>
        <v>13</v>
      </c>
      <c r="Y22" s="887"/>
      <c r="Z22" s="880"/>
      <c r="AA22" s="883">
        <f ca="1">IFERROR(__xludf.DUMMYFUNCTION("""COMPUTED_VALUE"""),0)</f>
        <v>0</v>
      </c>
      <c r="AB22" s="887"/>
      <c r="AC22" s="880"/>
      <c r="AD22" s="881">
        <f ca="1">IFERROR(__xludf.DUMMYFUNCTION("""COMPUTED_VALUE"""),2)</f>
        <v>2</v>
      </c>
      <c r="AE22" s="887"/>
      <c r="AF22" s="880"/>
      <c r="AG22" s="881">
        <f ca="1">IFERROR(__xludf.DUMMYFUNCTION("""COMPUTED_VALUE"""),0)</f>
        <v>0</v>
      </c>
      <c r="AH22" s="887"/>
      <c r="AI22" s="880"/>
      <c r="AJ22" s="881">
        <f ca="1">IFERROR(__xludf.DUMMYFUNCTION("""COMPUTED_VALUE"""),0)</f>
        <v>0</v>
      </c>
      <c r="AK22" s="887"/>
    </row>
    <row r="23" spans="1:37" ht="30" customHeight="1">
      <c r="A23" s="370">
        <v>18</v>
      </c>
      <c r="B23" s="885" t="s">
        <v>58</v>
      </c>
      <c r="C23" s="455" t="str">
        <f ca="1">IFERROR(__xludf.DUMMYFUNCTION("""COMPUTED_VALUE"""),"Christine Cecylia Munthe, S.Kom.")</f>
        <v>Christine Cecylia Munthe, S.Kom.</v>
      </c>
      <c r="D23" s="870"/>
      <c r="E23" s="871"/>
      <c r="F23" s="871">
        <f ca="1">IFERROR(__xludf.DUMMYFUNCTION("""COMPUTED_VALUE"""),0)</f>
        <v>0</v>
      </c>
      <c r="G23" s="871"/>
      <c r="H23" s="872"/>
      <c r="I23" s="872">
        <f ca="1">IFERROR(__xludf.DUMMYFUNCTION("""COMPUTED_VALUE"""),0)</f>
        <v>0</v>
      </c>
      <c r="J23" s="873"/>
      <c r="K23" s="874"/>
      <c r="L23" s="874">
        <f ca="1">IFERROR(__xludf.DUMMYFUNCTION("""COMPUTED_VALUE"""),3)</f>
        <v>3</v>
      </c>
      <c r="M23" s="875"/>
      <c r="N23" s="876"/>
      <c r="O23" s="876">
        <f ca="1">IFERROR(__xludf.DUMMYFUNCTION("""COMPUTED_VALUE"""),0)</f>
        <v>0</v>
      </c>
      <c r="P23" s="889"/>
      <c r="Q23" s="890"/>
      <c r="R23" s="877">
        <f ca="1">IFERROR(__xludf.DUMMYFUNCTION("""COMPUTED_VALUE"""),0)</f>
        <v>0</v>
      </c>
      <c r="S23" s="890"/>
      <c r="T23" s="878"/>
      <c r="U23" s="878" t="str">
        <f ca="1">IFERROR(__xludf.DUMMYFUNCTION("""COMPUTED_VALUE"""),"#VALUE!")</f>
        <v>#VALUE!</v>
      </c>
      <c r="V23" s="879"/>
      <c r="W23" s="891"/>
      <c r="X23" s="881">
        <f ca="1">IFERROR(__xludf.DUMMYFUNCTION("""COMPUTED_VALUE"""),0)</f>
        <v>0</v>
      </c>
      <c r="Y23" s="887"/>
      <c r="Z23" s="880"/>
      <c r="AA23" s="883">
        <f ca="1">IFERROR(__xludf.DUMMYFUNCTION("""COMPUTED_VALUE"""),0)</f>
        <v>0</v>
      </c>
      <c r="AB23" s="884"/>
      <c r="AC23" s="880"/>
      <c r="AD23" s="881">
        <f ca="1">IFERROR(__xludf.DUMMYFUNCTION("""COMPUTED_VALUE"""),0)</f>
        <v>0</v>
      </c>
      <c r="AE23" s="884"/>
      <c r="AF23" s="880"/>
      <c r="AG23" s="881">
        <f ca="1">IFERROR(__xludf.DUMMYFUNCTION("""COMPUTED_VALUE"""),1)</f>
        <v>1</v>
      </c>
      <c r="AH23" s="884"/>
      <c r="AI23" s="880"/>
      <c r="AJ23" s="881">
        <f ca="1">IFERROR(__xludf.DUMMYFUNCTION("""COMPUTED_VALUE"""),0)</f>
        <v>0</v>
      </c>
      <c r="AK23" s="884"/>
    </row>
    <row r="24" spans="1:37" ht="30" customHeight="1">
      <c r="A24" s="370">
        <v>19</v>
      </c>
      <c r="B24" s="885" t="s">
        <v>32</v>
      </c>
      <c r="C24" s="455" t="str">
        <f ca="1">IFERROR(__xludf.DUMMYFUNCTION("""COMPUTED_VALUE"""),"Devi Munandar, S.Kom., M.Mat.")</f>
        <v>Devi Munandar, S.Kom., M.Mat.</v>
      </c>
      <c r="D24" s="870"/>
      <c r="E24" s="871"/>
      <c r="F24" s="871">
        <f ca="1">IFERROR(__xludf.DUMMYFUNCTION("""COMPUTED_VALUE"""),0)</f>
        <v>0</v>
      </c>
      <c r="G24" s="871"/>
      <c r="H24" s="872"/>
      <c r="I24" s="872">
        <f ca="1">IFERROR(__xludf.DUMMYFUNCTION("""COMPUTED_VALUE"""),2)</f>
        <v>2</v>
      </c>
      <c r="J24" s="873"/>
      <c r="K24" s="874"/>
      <c r="L24" s="874">
        <f ca="1">IFERROR(__xludf.DUMMYFUNCTION("""COMPUTED_VALUE"""),3)</f>
        <v>3</v>
      </c>
      <c r="M24" s="886"/>
      <c r="N24" s="876"/>
      <c r="O24" s="876">
        <f ca="1">IFERROR(__xludf.DUMMYFUNCTION("""COMPUTED_VALUE"""),0)</f>
        <v>0</v>
      </c>
      <c r="P24" s="889"/>
      <c r="Q24" s="890"/>
      <c r="R24" s="877">
        <f ca="1">IFERROR(__xludf.DUMMYFUNCTION("""COMPUTED_VALUE"""),0)</f>
        <v>0</v>
      </c>
      <c r="S24" s="890"/>
      <c r="T24" s="878"/>
      <c r="U24" s="878" t="str">
        <f ca="1">IFERROR(__xludf.DUMMYFUNCTION("""COMPUTED_VALUE"""),"#VALUE!")</f>
        <v>#VALUE!</v>
      </c>
      <c r="V24" s="879"/>
      <c r="W24" s="891"/>
      <c r="X24" s="881">
        <f ca="1">IFERROR(__xludf.DUMMYFUNCTION("""COMPUTED_VALUE"""),17)</f>
        <v>17</v>
      </c>
      <c r="Y24" s="887"/>
      <c r="Z24" s="880"/>
      <c r="AA24" s="883">
        <f ca="1">IFERROR(__xludf.DUMMYFUNCTION("""COMPUTED_VALUE"""),0)</f>
        <v>0</v>
      </c>
      <c r="AB24" s="887"/>
      <c r="AC24" s="880"/>
      <c r="AD24" s="881">
        <f ca="1">IFERROR(__xludf.DUMMYFUNCTION("""COMPUTED_VALUE"""),1)</f>
        <v>1</v>
      </c>
      <c r="AE24" s="887"/>
      <c r="AF24" s="880"/>
      <c r="AG24" s="881">
        <f ca="1">IFERROR(__xludf.DUMMYFUNCTION("""COMPUTED_VALUE"""),1)</f>
        <v>1</v>
      </c>
      <c r="AH24" s="887"/>
      <c r="AI24" s="880"/>
      <c r="AJ24" s="881">
        <f ca="1">IFERROR(__xludf.DUMMYFUNCTION("""COMPUTED_VALUE"""),0)</f>
        <v>0</v>
      </c>
      <c r="AK24" s="887"/>
    </row>
    <row r="25" spans="1:37" ht="30" customHeight="1">
      <c r="A25" s="370">
        <v>20</v>
      </c>
      <c r="B25" s="885" t="s">
        <v>32</v>
      </c>
      <c r="C25" s="455" t="str">
        <f ca="1">IFERROR(__xludf.DUMMYFUNCTION("""COMPUTED_VALUE"""),"Ir. Dianadewi Riswantini, M. Sc., M.B.A.")</f>
        <v>Ir. Dianadewi Riswantini, M. Sc., M.B.A.</v>
      </c>
      <c r="D25" s="870"/>
      <c r="E25" s="871"/>
      <c r="F25" s="871">
        <f ca="1">IFERROR(__xludf.DUMMYFUNCTION("""COMPUTED_VALUE"""),1)</f>
        <v>1</v>
      </c>
      <c r="G25" s="871"/>
      <c r="H25" s="872"/>
      <c r="I25" s="872">
        <f ca="1">IFERROR(__xludf.DUMMYFUNCTION("""COMPUTED_VALUE"""),3)</f>
        <v>3</v>
      </c>
      <c r="J25" s="873"/>
      <c r="K25" s="874"/>
      <c r="L25" s="874">
        <f ca="1">IFERROR(__xludf.DUMMYFUNCTION("""COMPUTED_VALUE"""),3)</f>
        <v>3</v>
      </c>
      <c r="M25" s="875"/>
      <c r="N25" s="876"/>
      <c r="O25" s="876">
        <f ca="1">IFERROR(__xludf.DUMMYFUNCTION("""COMPUTED_VALUE"""),0)</f>
        <v>0</v>
      </c>
      <c r="P25" s="889"/>
      <c r="Q25" s="890"/>
      <c r="R25" s="877">
        <f ca="1">IFERROR(__xludf.DUMMYFUNCTION("""COMPUTED_VALUE"""),0)</f>
        <v>0</v>
      </c>
      <c r="S25" s="890"/>
      <c r="T25" s="878"/>
      <c r="U25" s="878" t="str">
        <f ca="1">IFERROR(__xludf.DUMMYFUNCTION("""COMPUTED_VALUE"""),"#VALUE!")</f>
        <v>#VALUE!</v>
      </c>
      <c r="V25" s="879"/>
      <c r="W25" s="891"/>
      <c r="X25" s="881">
        <f ca="1">IFERROR(__xludf.DUMMYFUNCTION("""COMPUTED_VALUE"""),13)</f>
        <v>13</v>
      </c>
      <c r="Y25" s="887"/>
      <c r="Z25" s="880"/>
      <c r="AA25" s="883">
        <f ca="1">IFERROR(__xludf.DUMMYFUNCTION("""COMPUTED_VALUE"""),0)</f>
        <v>0</v>
      </c>
      <c r="AB25" s="884"/>
      <c r="AC25" s="880"/>
      <c r="AD25" s="881">
        <f ca="1">IFERROR(__xludf.DUMMYFUNCTION("""COMPUTED_VALUE"""),0)</f>
        <v>0</v>
      </c>
      <c r="AE25" s="884"/>
      <c r="AF25" s="880"/>
      <c r="AG25" s="881">
        <f ca="1">IFERROR(__xludf.DUMMYFUNCTION("""COMPUTED_VALUE"""),0)</f>
        <v>0</v>
      </c>
      <c r="AH25" s="884"/>
      <c r="AI25" s="880"/>
      <c r="AJ25" s="881">
        <f ca="1">IFERROR(__xludf.DUMMYFUNCTION("""COMPUTED_VALUE"""),0)</f>
        <v>0</v>
      </c>
      <c r="AK25" s="884"/>
    </row>
    <row r="26" spans="1:37" ht="30" customHeight="1">
      <c r="A26" s="370">
        <v>21</v>
      </c>
      <c r="B26" s="888" t="s">
        <v>201</v>
      </c>
      <c r="C26" s="455" t="str">
        <f ca="1">IFERROR(__xludf.DUMMYFUNCTION("""COMPUTED_VALUE"""),"Dian Isnaeni Nurul Afra, S.Kom., M.T.I.")</f>
        <v>Dian Isnaeni Nurul Afra, S.Kom., M.T.I.</v>
      </c>
      <c r="D26" s="870"/>
      <c r="E26" s="871"/>
      <c r="F26" s="871">
        <f ca="1">IFERROR(__xludf.DUMMYFUNCTION("""COMPUTED_VALUE"""),0)</f>
        <v>0</v>
      </c>
      <c r="G26" s="871"/>
      <c r="H26" s="872"/>
      <c r="I26" s="872">
        <f ca="1">IFERROR(__xludf.DUMMYFUNCTION("""COMPUTED_VALUE"""),0)</f>
        <v>0</v>
      </c>
      <c r="J26" s="873"/>
      <c r="K26" s="874"/>
      <c r="L26" s="874">
        <f ca="1">IFERROR(__xludf.DUMMYFUNCTION("""COMPUTED_VALUE"""),1)</f>
        <v>1</v>
      </c>
      <c r="M26" s="886"/>
      <c r="N26" s="876"/>
      <c r="O26" s="876">
        <f ca="1">IFERROR(__xludf.DUMMYFUNCTION("""COMPUTED_VALUE"""),0)</f>
        <v>0</v>
      </c>
      <c r="P26" s="889"/>
      <c r="Q26" s="890"/>
      <c r="R26" s="877">
        <f ca="1">IFERROR(__xludf.DUMMYFUNCTION("""COMPUTED_VALUE"""),0)</f>
        <v>0</v>
      </c>
      <c r="S26" s="890"/>
      <c r="T26" s="878"/>
      <c r="U26" s="878" t="str">
        <f ca="1">IFERROR(__xludf.DUMMYFUNCTION("""COMPUTED_VALUE"""),"#VALUE!")</f>
        <v>#VALUE!</v>
      </c>
      <c r="V26" s="879"/>
      <c r="W26" s="891"/>
      <c r="X26" s="881">
        <f ca="1">IFERROR(__xludf.DUMMYFUNCTION("""COMPUTED_VALUE"""),10)</f>
        <v>10</v>
      </c>
      <c r="Y26" s="887"/>
      <c r="Z26" s="880"/>
      <c r="AA26" s="883">
        <f ca="1">IFERROR(__xludf.DUMMYFUNCTION("""COMPUTED_VALUE"""),0)</f>
        <v>0</v>
      </c>
      <c r="AB26" s="887"/>
      <c r="AC26" s="880"/>
      <c r="AD26" s="881">
        <f ca="1">IFERROR(__xludf.DUMMYFUNCTION("""COMPUTED_VALUE"""),0)</f>
        <v>0</v>
      </c>
      <c r="AE26" s="887"/>
      <c r="AF26" s="880"/>
      <c r="AG26" s="881">
        <f ca="1">IFERROR(__xludf.DUMMYFUNCTION("""COMPUTED_VALUE"""),0)</f>
        <v>0</v>
      </c>
      <c r="AH26" s="887"/>
      <c r="AI26" s="880"/>
      <c r="AJ26" s="881">
        <f ca="1">IFERROR(__xludf.DUMMYFUNCTION("""COMPUTED_VALUE"""),0)</f>
        <v>0</v>
      </c>
      <c r="AK26" s="887"/>
    </row>
    <row r="27" spans="1:37" ht="30" customHeight="1">
      <c r="A27" s="370">
        <v>22</v>
      </c>
      <c r="B27" s="885" t="s">
        <v>32</v>
      </c>
      <c r="C27" s="455" t="str">
        <f ca="1">IFERROR(__xludf.DUMMYFUNCTION("""COMPUTED_VALUE"""),"Ekasari Nugraheni, M.T.")</f>
        <v>Ekasari Nugraheni, M.T.</v>
      </c>
      <c r="D27" s="870"/>
      <c r="E27" s="871"/>
      <c r="F27" s="871">
        <f ca="1">IFERROR(__xludf.DUMMYFUNCTION("""COMPUTED_VALUE"""),1)</f>
        <v>1</v>
      </c>
      <c r="G27" s="871"/>
      <c r="H27" s="872"/>
      <c r="I27" s="872">
        <f ca="1">IFERROR(__xludf.DUMMYFUNCTION("""COMPUTED_VALUE"""),2)</f>
        <v>2</v>
      </c>
      <c r="J27" s="873"/>
      <c r="K27" s="874"/>
      <c r="L27" s="874">
        <f ca="1">IFERROR(__xludf.DUMMYFUNCTION("""COMPUTED_VALUE"""),2)</f>
        <v>2</v>
      </c>
      <c r="M27" s="886"/>
      <c r="N27" s="876"/>
      <c r="O27" s="876">
        <f ca="1">IFERROR(__xludf.DUMMYFUNCTION("""COMPUTED_VALUE"""),0)</f>
        <v>0</v>
      </c>
      <c r="P27" s="889"/>
      <c r="Q27" s="890"/>
      <c r="R27" s="877">
        <f ca="1">IFERROR(__xludf.DUMMYFUNCTION("""COMPUTED_VALUE"""),0)</f>
        <v>0</v>
      </c>
      <c r="S27" s="890"/>
      <c r="T27" s="878"/>
      <c r="U27" s="878" t="str">
        <f ca="1">IFERROR(__xludf.DUMMYFUNCTION("""COMPUTED_VALUE"""),"#VALUE!")</f>
        <v>#VALUE!</v>
      </c>
      <c r="V27" s="879"/>
      <c r="W27" s="891"/>
      <c r="X27" s="881">
        <f ca="1">IFERROR(__xludf.DUMMYFUNCTION("""COMPUTED_VALUE"""),16)</f>
        <v>16</v>
      </c>
      <c r="Y27" s="887"/>
      <c r="Z27" s="880"/>
      <c r="AA27" s="883">
        <f ca="1">IFERROR(__xludf.DUMMYFUNCTION("""COMPUTED_VALUE"""),0)</f>
        <v>0</v>
      </c>
      <c r="AB27" s="887"/>
      <c r="AC27" s="880"/>
      <c r="AD27" s="881">
        <f ca="1">IFERROR(__xludf.DUMMYFUNCTION("""COMPUTED_VALUE"""),0)</f>
        <v>0</v>
      </c>
      <c r="AE27" s="887"/>
      <c r="AF27" s="880"/>
      <c r="AG27" s="881">
        <f ca="1">IFERROR(__xludf.DUMMYFUNCTION("""COMPUTED_VALUE"""),0)</f>
        <v>0</v>
      </c>
      <c r="AH27" s="887"/>
      <c r="AI27" s="880"/>
      <c r="AJ27" s="881">
        <f ca="1">IFERROR(__xludf.DUMMYFUNCTION("""COMPUTED_VALUE"""),0)</f>
        <v>0</v>
      </c>
      <c r="AK27" s="887"/>
    </row>
    <row r="28" spans="1:37" ht="30" customHeight="1">
      <c r="A28" s="370">
        <v>23</v>
      </c>
      <c r="B28" s="888" t="s">
        <v>201</v>
      </c>
      <c r="C28" s="455" t="str">
        <f ca="1">IFERROR(__xludf.DUMMYFUNCTION("""COMPUTED_VALUE"""),"Elvira Nurfadhilah, S.Komp., M. Kom")</f>
        <v>Elvira Nurfadhilah, S.Komp., M. Kom</v>
      </c>
      <c r="D28" s="870"/>
      <c r="E28" s="871"/>
      <c r="F28" s="871">
        <f ca="1">IFERROR(__xludf.DUMMYFUNCTION("""COMPUTED_VALUE"""),0)</f>
        <v>0</v>
      </c>
      <c r="G28" s="871"/>
      <c r="H28" s="872"/>
      <c r="I28" s="872">
        <f ca="1">IFERROR(__xludf.DUMMYFUNCTION("""COMPUTED_VALUE"""),3)</f>
        <v>3</v>
      </c>
      <c r="J28" s="873"/>
      <c r="K28" s="874"/>
      <c r="L28" s="874">
        <f ca="1">IFERROR(__xludf.DUMMYFUNCTION("""COMPUTED_VALUE"""),2)</f>
        <v>2</v>
      </c>
      <c r="M28" s="886"/>
      <c r="N28" s="876"/>
      <c r="O28" s="876">
        <f ca="1">IFERROR(__xludf.DUMMYFUNCTION("""COMPUTED_VALUE"""),0)</f>
        <v>0</v>
      </c>
      <c r="P28" s="889"/>
      <c r="Q28" s="890"/>
      <c r="R28" s="877">
        <f ca="1">IFERROR(__xludf.DUMMYFUNCTION("""COMPUTED_VALUE"""),0)</f>
        <v>0</v>
      </c>
      <c r="S28" s="890"/>
      <c r="T28" s="878"/>
      <c r="U28" s="878" t="str">
        <f ca="1">IFERROR(__xludf.DUMMYFUNCTION("""COMPUTED_VALUE"""),"#VALUE!")</f>
        <v>#VALUE!</v>
      </c>
      <c r="V28" s="879"/>
      <c r="W28" s="891"/>
      <c r="X28" s="881">
        <f ca="1">IFERROR(__xludf.DUMMYFUNCTION("""COMPUTED_VALUE"""),13)</f>
        <v>13</v>
      </c>
      <c r="Y28" s="887"/>
      <c r="Z28" s="880"/>
      <c r="AA28" s="883">
        <f ca="1">IFERROR(__xludf.DUMMYFUNCTION("""COMPUTED_VALUE"""),0)</f>
        <v>0</v>
      </c>
      <c r="AB28" s="887"/>
      <c r="AC28" s="880"/>
      <c r="AD28" s="881">
        <f ca="1">IFERROR(__xludf.DUMMYFUNCTION("""COMPUTED_VALUE"""),0)</f>
        <v>0</v>
      </c>
      <c r="AE28" s="887"/>
      <c r="AF28" s="880"/>
      <c r="AG28" s="881">
        <f ca="1">IFERROR(__xludf.DUMMYFUNCTION("""COMPUTED_VALUE"""),0)</f>
        <v>0</v>
      </c>
      <c r="AH28" s="887"/>
      <c r="AI28" s="880"/>
      <c r="AJ28" s="881">
        <f ca="1">IFERROR(__xludf.DUMMYFUNCTION("""COMPUTED_VALUE"""),0)</f>
        <v>0</v>
      </c>
      <c r="AK28" s="887"/>
    </row>
    <row r="29" spans="1:37" ht="30" customHeight="1">
      <c r="A29" s="370">
        <v>24</v>
      </c>
      <c r="B29" s="885" t="s">
        <v>49</v>
      </c>
      <c r="C29" s="455" t="str">
        <f ca="1">IFERROR(__xludf.DUMMYFUNCTION("""COMPUTED_VALUE"""),"Dr. Foni Agus Setiawan, M.Kom.")</f>
        <v>Dr. Foni Agus Setiawan, M.Kom.</v>
      </c>
      <c r="D29" s="870"/>
      <c r="E29" s="871"/>
      <c r="F29" s="871">
        <f ca="1">IFERROR(__xludf.DUMMYFUNCTION("""COMPUTED_VALUE"""),1)</f>
        <v>1</v>
      </c>
      <c r="G29" s="871"/>
      <c r="H29" s="872"/>
      <c r="I29" s="872">
        <f ca="1">IFERROR(__xludf.DUMMYFUNCTION("""COMPUTED_VALUE"""),3)</f>
        <v>3</v>
      </c>
      <c r="J29" s="873"/>
      <c r="K29" s="874"/>
      <c r="L29" s="874">
        <f ca="1">IFERROR(__xludf.DUMMYFUNCTION("""COMPUTED_VALUE"""),3)</f>
        <v>3</v>
      </c>
      <c r="M29" s="886"/>
      <c r="N29" s="876"/>
      <c r="O29" s="876">
        <f ca="1">IFERROR(__xludf.DUMMYFUNCTION("""COMPUTED_VALUE"""),0)</f>
        <v>0</v>
      </c>
      <c r="P29" s="889"/>
      <c r="Q29" s="890"/>
      <c r="R29" s="877">
        <f ca="1">IFERROR(__xludf.DUMMYFUNCTION("""COMPUTED_VALUE"""),0)</f>
        <v>0</v>
      </c>
      <c r="S29" s="890"/>
      <c r="T29" s="878"/>
      <c r="U29" s="878" t="str">
        <f ca="1">IFERROR(__xludf.DUMMYFUNCTION("""COMPUTED_VALUE"""),"#VALUE!")</f>
        <v>#VALUE!</v>
      </c>
      <c r="V29" s="879"/>
      <c r="W29" s="891"/>
      <c r="X29" s="881">
        <f ca="1">IFERROR(__xludf.DUMMYFUNCTION("""COMPUTED_VALUE"""),27)</f>
        <v>27</v>
      </c>
      <c r="Y29" s="887"/>
      <c r="Z29" s="880"/>
      <c r="AA29" s="883">
        <f ca="1">IFERROR(__xludf.DUMMYFUNCTION("""COMPUTED_VALUE"""),0)</f>
        <v>0</v>
      </c>
      <c r="AB29" s="887"/>
      <c r="AC29" s="880"/>
      <c r="AD29" s="881">
        <f ca="1">IFERROR(__xludf.DUMMYFUNCTION("""COMPUTED_VALUE"""),2)</f>
        <v>2</v>
      </c>
      <c r="AE29" s="887"/>
      <c r="AF29" s="880"/>
      <c r="AG29" s="881">
        <f ca="1">IFERROR(__xludf.DUMMYFUNCTION("""COMPUTED_VALUE"""),1)</f>
        <v>1</v>
      </c>
      <c r="AH29" s="887"/>
      <c r="AI29" s="880"/>
      <c r="AJ29" s="881">
        <f ca="1">IFERROR(__xludf.DUMMYFUNCTION("""COMPUTED_VALUE"""),0)</f>
        <v>0</v>
      </c>
      <c r="AK29" s="887"/>
    </row>
    <row r="30" spans="1:37" ht="30" customHeight="1">
      <c r="A30" s="370">
        <v>25</v>
      </c>
      <c r="B30" s="888" t="s">
        <v>201</v>
      </c>
      <c r="C30" s="455" t="str">
        <f ca="1">IFERROR(__xludf.DUMMYFUNCTION("""COMPUTED_VALUE"""),"Ir. Gunarso")</f>
        <v>Ir. Gunarso</v>
      </c>
      <c r="D30" s="870"/>
      <c r="E30" s="871"/>
      <c r="F30" s="871">
        <f ca="1">IFERROR(__xludf.DUMMYFUNCTION("""COMPUTED_VALUE"""),0)</f>
        <v>0</v>
      </c>
      <c r="G30" s="871"/>
      <c r="H30" s="872"/>
      <c r="I30" s="872">
        <f ca="1">IFERROR(__xludf.DUMMYFUNCTION("""COMPUTED_VALUE"""),2)</f>
        <v>2</v>
      </c>
      <c r="J30" s="873"/>
      <c r="K30" s="874"/>
      <c r="L30" s="874">
        <f ca="1">IFERROR(__xludf.DUMMYFUNCTION("""COMPUTED_VALUE"""),1)</f>
        <v>1</v>
      </c>
      <c r="M30" s="886"/>
      <c r="N30" s="876"/>
      <c r="O30" s="876">
        <f ca="1">IFERROR(__xludf.DUMMYFUNCTION("""COMPUTED_VALUE"""),0)</f>
        <v>0</v>
      </c>
      <c r="P30" s="889"/>
      <c r="Q30" s="890"/>
      <c r="R30" s="877">
        <f ca="1">IFERROR(__xludf.DUMMYFUNCTION("""COMPUTED_VALUE"""),0)</f>
        <v>0</v>
      </c>
      <c r="S30" s="890"/>
      <c r="T30" s="878"/>
      <c r="U30" s="878" t="str">
        <f ca="1">IFERROR(__xludf.DUMMYFUNCTION("""COMPUTED_VALUE"""),"#VALUE!")</f>
        <v>#VALUE!</v>
      </c>
      <c r="V30" s="879"/>
      <c r="W30" s="891"/>
      <c r="X30" s="881">
        <f ca="1">IFERROR(__xludf.DUMMYFUNCTION("""COMPUTED_VALUE"""),14)</f>
        <v>14</v>
      </c>
      <c r="Y30" s="887"/>
      <c r="Z30" s="880"/>
      <c r="AA30" s="883">
        <f ca="1">IFERROR(__xludf.DUMMYFUNCTION("""COMPUTED_VALUE"""),0)</f>
        <v>0</v>
      </c>
      <c r="AB30" s="887"/>
      <c r="AC30" s="880"/>
      <c r="AD30" s="881">
        <f ca="1">IFERROR(__xludf.DUMMYFUNCTION("""COMPUTED_VALUE"""),2)</f>
        <v>2</v>
      </c>
      <c r="AE30" s="887"/>
      <c r="AF30" s="880"/>
      <c r="AG30" s="881">
        <f ca="1">IFERROR(__xludf.DUMMYFUNCTION("""COMPUTED_VALUE"""),0)</f>
        <v>0</v>
      </c>
      <c r="AH30" s="887"/>
      <c r="AI30" s="880"/>
      <c r="AJ30" s="881">
        <f ca="1">IFERROR(__xludf.DUMMYFUNCTION("""COMPUTED_VALUE"""),0)</f>
        <v>0</v>
      </c>
      <c r="AK30" s="887"/>
    </row>
    <row r="31" spans="1:37" ht="30" customHeight="1">
      <c r="A31" s="370">
        <v>26</v>
      </c>
      <c r="B31" s="897" t="s">
        <v>49</v>
      </c>
      <c r="C31" s="455" t="str">
        <f ca="1">IFERROR(__xludf.DUMMYFUNCTION("""COMPUTED_VALUE"""),"Hayuning Titi Karsanti S. Kom., M.Eng")</f>
        <v>Hayuning Titi Karsanti S. Kom., M.Eng</v>
      </c>
      <c r="D31" s="870"/>
      <c r="E31" s="871"/>
      <c r="F31" s="871">
        <f ca="1">IFERROR(__xludf.DUMMYFUNCTION("""COMPUTED_VALUE"""),0)</f>
        <v>0</v>
      </c>
      <c r="G31" s="871"/>
      <c r="H31" s="872"/>
      <c r="I31" s="872">
        <f ca="1">IFERROR(__xludf.DUMMYFUNCTION("""COMPUTED_VALUE"""),0)</f>
        <v>0</v>
      </c>
      <c r="J31" s="873"/>
      <c r="K31" s="874"/>
      <c r="L31" s="874">
        <f ca="1">IFERROR(__xludf.DUMMYFUNCTION("""COMPUTED_VALUE"""),2)</f>
        <v>2</v>
      </c>
      <c r="M31" s="886"/>
      <c r="N31" s="876"/>
      <c r="O31" s="876">
        <f ca="1">IFERROR(__xludf.DUMMYFUNCTION("""COMPUTED_VALUE"""),1)</f>
        <v>1</v>
      </c>
      <c r="P31" s="889"/>
      <c r="Q31" s="890"/>
      <c r="R31" s="877">
        <f ca="1">IFERROR(__xludf.DUMMYFUNCTION("""COMPUTED_VALUE"""),0)</f>
        <v>0</v>
      </c>
      <c r="S31" s="890"/>
      <c r="T31" s="878"/>
      <c r="U31" s="878" t="str">
        <f ca="1">IFERROR(__xludf.DUMMYFUNCTION("""COMPUTED_VALUE"""),"#VALUE!")</f>
        <v>#VALUE!</v>
      </c>
      <c r="V31" s="879"/>
      <c r="W31" s="891"/>
      <c r="X31" s="881">
        <f ca="1">IFERROR(__xludf.DUMMYFUNCTION("""COMPUTED_VALUE"""),1)</f>
        <v>1</v>
      </c>
      <c r="Y31" s="887"/>
      <c r="Z31" s="880"/>
      <c r="AA31" s="883">
        <f ca="1">IFERROR(__xludf.DUMMYFUNCTION("""COMPUTED_VALUE"""),0)</f>
        <v>0</v>
      </c>
      <c r="AB31" s="887"/>
      <c r="AC31" s="880"/>
      <c r="AD31" s="881">
        <f ca="1">IFERROR(__xludf.DUMMYFUNCTION("""COMPUTED_VALUE"""),1)</f>
        <v>1</v>
      </c>
      <c r="AE31" s="887"/>
      <c r="AF31" s="880"/>
      <c r="AG31" s="881">
        <f ca="1">IFERROR(__xludf.DUMMYFUNCTION("""COMPUTED_VALUE"""),0)</f>
        <v>0</v>
      </c>
      <c r="AH31" s="887"/>
      <c r="AI31" s="880"/>
      <c r="AJ31" s="881">
        <f ca="1">IFERROR(__xludf.DUMMYFUNCTION("""COMPUTED_VALUE"""),0)</f>
        <v>0</v>
      </c>
      <c r="AK31" s="887"/>
    </row>
    <row r="32" spans="1:37" ht="30" customHeight="1">
      <c r="A32" s="370">
        <v>27</v>
      </c>
      <c r="B32" s="885" t="s">
        <v>67</v>
      </c>
      <c r="C32" s="455" t="str">
        <f ca="1">IFERROR(__xludf.DUMMYFUNCTION("""COMPUTED_VALUE"""),"Hengki Muradi, M.Si.")</f>
        <v>Hengki Muradi, M.Si.</v>
      </c>
      <c r="D32" s="870"/>
      <c r="E32" s="871"/>
      <c r="F32" s="871">
        <f ca="1">IFERROR(__xludf.DUMMYFUNCTION("""COMPUTED_VALUE"""),0)</f>
        <v>0</v>
      </c>
      <c r="G32" s="871"/>
      <c r="H32" s="872"/>
      <c r="I32" s="872">
        <f ca="1">IFERROR(__xludf.DUMMYFUNCTION("""COMPUTED_VALUE"""),2)</f>
        <v>2</v>
      </c>
      <c r="J32" s="873"/>
      <c r="K32" s="874"/>
      <c r="L32" s="874">
        <f ca="1">IFERROR(__xludf.DUMMYFUNCTION("""COMPUTED_VALUE"""),1)</f>
        <v>1</v>
      </c>
      <c r="M32" s="886"/>
      <c r="N32" s="876"/>
      <c r="O32" s="876">
        <f ca="1">IFERROR(__xludf.DUMMYFUNCTION("""COMPUTED_VALUE"""),0)</f>
        <v>0</v>
      </c>
      <c r="P32" s="889"/>
      <c r="Q32" s="890"/>
      <c r="R32" s="877">
        <f ca="1">IFERROR(__xludf.DUMMYFUNCTION("""COMPUTED_VALUE"""),0)</f>
        <v>0</v>
      </c>
      <c r="S32" s="890"/>
      <c r="T32" s="878"/>
      <c r="U32" s="878" t="str">
        <f ca="1">IFERROR(__xludf.DUMMYFUNCTION("""COMPUTED_VALUE"""),"#VALUE!")</f>
        <v>#VALUE!</v>
      </c>
      <c r="V32" s="879"/>
      <c r="W32" s="891"/>
      <c r="X32" s="881">
        <f ca="1">IFERROR(__xludf.DUMMYFUNCTION("""COMPUTED_VALUE"""),5)</f>
        <v>5</v>
      </c>
      <c r="Y32" s="887"/>
      <c r="Z32" s="880"/>
      <c r="AA32" s="883">
        <f ca="1">IFERROR(__xludf.DUMMYFUNCTION("""COMPUTED_VALUE"""),0)</f>
        <v>0</v>
      </c>
      <c r="AB32" s="887"/>
      <c r="AC32" s="880"/>
      <c r="AD32" s="881">
        <f ca="1">IFERROR(__xludf.DUMMYFUNCTION("""COMPUTED_VALUE"""),0)</f>
        <v>0</v>
      </c>
      <c r="AE32" s="887"/>
      <c r="AF32" s="880"/>
      <c r="AG32" s="881">
        <f ca="1">IFERROR(__xludf.DUMMYFUNCTION("""COMPUTED_VALUE"""),1)</f>
        <v>1</v>
      </c>
      <c r="AH32" s="887"/>
      <c r="AI32" s="880"/>
      <c r="AJ32" s="881">
        <f ca="1">IFERROR(__xludf.DUMMYFUNCTION("""COMPUTED_VALUE"""),0)</f>
        <v>0</v>
      </c>
      <c r="AK32" s="887"/>
    </row>
    <row r="33" spans="1:37" ht="30" customHeight="1">
      <c r="A33" s="370">
        <v>28</v>
      </c>
      <c r="B33" s="888" t="s">
        <v>201</v>
      </c>
      <c r="C33" s="455" t="str">
        <f ca="1">IFERROR(__xludf.DUMMYFUNCTION("""COMPUTED_VALUE"""),"Iftitahu Ni'mah, S.Kom., M.I.T.")</f>
        <v>Iftitahu Ni'mah, S.Kom., M.I.T.</v>
      </c>
      <c r="D33" s="870"/>
      <c r="E33" s="871"/>
      <c r="F33" s="871">
        <f ca="1">IFERROR(__xludf.DUMMYFUNCTION("""COMPUTED_VALUE"""),0)</f>
        <v>0</v>
      </c>
      <c r="G33" s="871"/>
      <c r="H33" s="872"/>
      <c r="I33" s="872">
        <f ca="1">IFERROR(__xludf.DUMMYFUNCTION("""COMPUTED_VALUE"""),2)</f>
        <v>2</v>
      </c>
      <c r="J33" s="873"/>
      <c r="K33" s="874"/>
      <c r="L33" s="874">
        <f ca="1">IFERROR(__xludf.DUMMYFUNCTION("""COMPUTED_VALUE"""),1)</f>
        <v>1</v>
      </c>
      <c r="M33" s="886"/>
      <c r="N33" s="876"/>
      <c r="O33" s="876">
        <f ca="1">IFERROR(__xludf.DUMMYFUNCTION("""COMPUTED_VALUE"""),0)</f>
        <v>0</v>
      </c>
      <c r="P33" s="889"/>
      <c r="Q33" s="890"/>
      <c r="R33" s="877">
        <f ca="1">IFERROR(__xludf.DUMMYFUNCTION("""COMPUTED_VALUE"""),0)</f>
        <v>0</v>
      </c>
      <c r="S33" s="890"/>
      <c r="T33" s="878"/>
      <c r="U33" s="878" t="str">
        <f ca="1">IFERROR(__xludf.DUMMYFUNCTION("""COMPUTED_VALUE"""),"#VALUE!")</f>
        <v>#VALUE!</v>
      </c>
      <c r="V33" s="879"/>
      <c r="W33" s="891"/>
      <c r="X33" s="881">
        <f ca="1">IFERROR(__xludf.DUMMYFUNCTION("""COMPUTED_VALUE"""),9)</f>
        <v>9</v>
      </c>
      <c r="Y33" s="887"/>
      <c r="Z33" s="880"/>
      <c r="AA33" s="883">
        <f ca="1">IFERROR(__xludf.DUMMYFUNCTION("""COMPUTED_VALUE"""),0)</f>
        <v>0</v>
      </c>
      <c r="AB33" s="887"/>
      <c r="AC33" s="880"/>
      <c r="AD33" s="881">
        <f ca="1">IFERROR(__xludf.DUMMYFUNCTION("""COMPUTED_VALUE"""),0)</f>
        <v>0</v>
      </c>
      <c r="AE33" s="887"/>
      <c r="AF33" s="880"/>
      <c r="AG33" s="881">
        <f ca="1">IFERROR(__xludf.DUMMYFUNCTION("""COMPUTED_VALUE"""),0)</f>
        <v>0</v>
      </c>
      <c r="AH33" s="887"/>
      <c r="AI33" s="880"/>
      <c r="AJ33" s="881">
        <f ca="1">IFERROR(__xludf.DUMMYFUNCTION("""COMPUTED_VALUE"""),1)</f>
        <v>1</v>
      </c>
      <c r="AK33" s="887"/>
    </row>
    <row r="34" spans="1:37" ht="30" customHeight="1">
      <c r="A34" s="370">
        <v>29</v>
      </c>
      <c r="B34" s="885" t="s">
        <v>32</v>
      </c>
      <c r="C34" s="455" t="str">
        <f ca="1">IFERROR(__xludf.DUMMYFUNCTION("""COMPUTED_VALUE"""),"Irfan Asfy Fakhry Anto S.Kom., M.T")</f>
        <v>Irfan Asfy Fakhry Anto S.Kom., M.T</v>
      </c>
      <c r="D34" s="870"/>
      <c r="E34" s="871"/>
      <c r="F34" s="871">
        <f ca="1">IFERROR(__xludf.DUMMYFUNCTION("""COMPUTED_VALUE"""),0)</f>
        <v>0</v>
      </c>
      <c r="G34" s="871"/>
      <c r="H34" s="872"/>
      <c r="I34" s="872">
        <f ca="1">IFERROR(__xludf.DUMMYFUNCTION("""COMPUTED_VALUE"""),1)</f>
        <v>1</v>
      </c>
      <c r="J34" s="873"/>
      <c r="K34" s="874"/>
      <c r="L34" s="874">
        <f ca="1">IFERROR(__xludf.DUMMYFUNCTION("""COMPUTED_VALUE"""),1)</f>
        <v>1</v>
      </c>
      <c r="M34" s="886"/>
      <c r="N34" s="876"/>
      <c r="O34" s="876">
        <f ca="1">IFERROR(__xludf.DUMMYFUNCTION("""COMPUTED_VALUE"""),0)</f>
        <v>0</v>
      </c>
      <c r="P34" s="889"/>
      <c r="Q34" s="890"/>
      <c r="R34" s="877">
        <f ca="1">IFERROR(__xludf.DUMMYFUNCTION("""COMPUTED_VALUE"""),0)</f>
        <v>0</v>
      </c>
      <c r="S34" s="890"/>
      <c r="T34" s="878"/>
      <c r="U34" s="878" t="str">
        <f ca="1">IFERROR(__xludf.DUMMYFUNCTION("""COMPUTED_VALUE"""),"#VALUE!")</f>
        <v>#VALUE!</v>
      </c>
      <c r="V34" s="879"/>
      <c r="W34" s="891"/>
      <c r="X34" s="881">
        <f ca="1">IFERROR(__xludf.DUMMYFUNCTION("""COMPUTED_VALUE"""),9)</f>
        <v>9</v>
      </c>
      <c r="Y34" s="887"/>
      <c r="Z34" s="880"/>
      <c r="AA34" s="883">
        <f ca="1">IFERROR(__xludf.DUMMYFUNCTION("""COMPUTED_VALUE"""),0)</f>
        <v>0</v>
      </c>
      <c r="AB34" s="887"/>
      <c r="AC34" s="880"/>
      <c r="AD34" s="881">
        <f ca="1">IFERROR(__xludf.DUMMYFUNCTION("""COMPUTED_VALUE"""),0)</f>
        <v>0</v>
      </c>
      <c r="AE34" s="887"/>
      <c r="AF34" s="880"/>
      <c r="AG34" s="881">
        <f ca="1">IFERROR(__xludf.DUMMYFUNCTION("""COMPUTED_VALUE"""),1)</f>
        <v>1</v>
      </c>
      <c r="AH34" s="887"/>
      <c r="AI34" s="880"/>
      <c r="AJ34" s="881">
        <f ca="1">IFERROR(__xludf.DUMMYFUNCTION("""COMPUTED_VALUE"""),0)</f>
        <v>0</v>
      </c>
      <c r="AK34" s="887"/>
    </row>
    <row r="35" spans="1:37" ht="30" customHeight="1">
      <c r="A35" s="370">
        <v>30</v>
      </c>
      <c r="B35" s="888" t="s">
        <v>201</v>
      </c>
      <c r="C35" s="455" t="str">
        <f ca="1">IFERROR(__xludf.DUMMYFUNCTION("""COMPUTED_VALUE"""),"Dr. Kokoy Siti Komariah S.Kom., M.T., M.Eng.")</f>
        <v>Dr. Kokoy Siti Komariah S.Kom., M.T., M.Eng.</v>
      </c>
      <c r="D35" s="870"/>
      <c r="E35" s="871"/>
      <c r="F35" s="871">
        <f ca="1">IFERROR(__xludf.DUMMYFUNCTION("""COMPUTED_VALUE"""),0)</f>
        <v>0</v>
      </c>
      <c r="G35" s="871"/>
      <c r="H35" s="872"/>
      <c r="I35" s="872">
        <f ca="1">IFERROR(__xludf.DUMMYFUNCTION("""COMPUTED_VALUE"""),1)</f>
        <v>1</v>
      </c>
      <c r="J35" s="873"/>
      <c r="K35" s="874"/>
      <c r="L35" s="874">
        <f ca="1">IFERROR(__xludf.DUMMYFUNCTION("""COMPUTED_VALUE"""),1)</f>
        <v>1</v>
      </c>
      <c r="M35" s="886"/>
      <c r="N35" s="876"/>
      <c r="O35" s="876">
        <f ca="1">IFERROR(__xludf.DUMMYFUNCTION("""COMPUTED_VALUE"""),0)</f>
        <v>0</v>
      </c>
      <c r="P35" s="889"/>
      <c r="Q35" s="890"/>
      <c r="R35" s="877">
        <f ca="1">IFERROR(__xludf.DUMMYFUNCTION("""COMPUTED_VALUE"""),1)</f>
        <v>1</v>
      </c>
      <c r="S35" s="890"/>
      <c r="T35" s="878"/>
      <c r="U35" s="878" t="str">
        <f ca="1">IFERROR(__xludf.DUMMYFUNCTION("""COMPUTED_VALUE"""),"#VALUE!")</f>
        <v>#VALUE!</v>
      </c>
      <c r="V35" s="879"/>
      <c r="W35" s="891"/>
      <c r="X35" s="881">
        <f ca="1">IFERROR(__xludf.DUMMYFUNCTION("""COMPUTED_VALUE"""),16)</f>
        <v>16</v>
      </c>
      <c r="Y35" s="887"/>
      <c r="Z35" s="880"/>
      <c r="AA35" s="883">
        <f ca="1">IFERROR(__xludf.DUMMYFUNCTION("""COMPUTED_VALUE"""),0)</f>
        <v>0</v>
      </c>
      <c r="AB35" s="887"/>
      <c r="AC35" s="880"/>
      <c r="AD35" s="881">
        <f ca="1">IFERROR(__xludf.DUMMYFUNCTION("""COMPUTED_VALUE"""),2)</f>
        <v>2</v>
      </c>
      <c r="AE35" s="887"/>
      <c r="AF35" s="880"/>
      <c r="AG35" s="881">
        <f ca="1">IFERROR(__xludf.DUMMYFUNCTION("""COMPUTED_VALUE"""),0)</f>
        <v>0</v>
      </c>
      <c r="AH35" s="887"/>
      <c r="AI35" s="880"/>
      <c r="AJ35" s="881">
        <f ca="1">IFERROR(__xludf.DUMMYFUNCTION("""COMPUTED_VALUE"""),0)</f>
        <v>0</v>
      </c>
      <c r="AK35" s="887"/>
    </row>
    <row r="36" spans="1:37" ht="30" customHeight="1">
      <c r="A36" s="370">
        <v>31</v>
      </c>
      <c r="B36" s="885" t="s">
        <v>49</v>
      </c>
      <c r="C36" s="455" t="str">
        <f ca="1">IFERROR(__xludf.DUMMYFUNCTION("""COMPUTED_VALUE"""),"Lindung Parningotan Manik, PDEng.")</f>
        <v>Lindung Parningotan Manik, PDEng.</v>
      </c>
      <c r="D36" s="870"/>
      <c r="E36" s="871"/>
      <c r="F36" s="871">
        <f ca="1">IFERROR(__xludf.DUMMYFUNCTION("""COMPUTED_VALUE"""),0)</f>
        <v>0</v>
      </c>
      <c r="G36" s="871"/>
      <c r="H36" s="872"/>
      <c r="I36" s="872">
        <f ca="1">IFERROR(__xludf.DUMMYFUNCTION("""COMPUTED_VALUE"""),1)</f>
        <v>1</v>
      </c>
      <c r="J36" s="873"/>
      <c r="K36" s="874"/>
      <c r="L36" s="874">
        <f ca="1">IFERROR(__xludf.DUMMYFUNCTION("""COMPUTED_VALUE"""),1)</f>
        <v>1</v>
      </c>
      <c r="M36" s="886"/>
      <c r="N36" s="876"/>
      <c r="O36" s="876">
        <f ca="1">IFERROR(__xludf.DUMMYFUNCTION("""COMPUTED_VALUE"""),0)</f>
        <v>0</v>
      </c>
      <c r="P36" s="889"/>
      <c r="Q36" s="890"/>
      <c r="R36" s="877">
        <f ca="1">IFERROR(__xludf.DUMMYFUNCTION("""COMPUTED_VALUE"""),0)</f>
        <v>0</v>
      </c>
      <c r="S36" s="890"/>
      <c r="T36" s="878"/>
      <c r="U36" s="878" t="str">
        <f ca="1">IFERROR(__xludf.DUMMYFUNCTION("""COMPUTED_VALUE"""),"#VALUE!")</f>
        <v>#VALUE!</v>
      </c>
      <c r="V36" s="879"/>
      <c r="W36" s="891"/>
      <c r="X36" s="881">
        <f ca="1">IFERROR(__xludf.DUMMYFUNCTION("""COMPUTED_VALUE"""),26)</f>
        <v>26</v>
      </c>
      <c r="Y36" s="887"/>
      <c r="Z36" s="880"/>
      <c r="AA36" s="883">
        <f ca="1">IFERROR(__xludf.DUMMYFUNCTION("""COMPUTED_VALUE"""),0)</f>
        <v>0</v>
      </c>
      <c r="AB36" s="887"/>
      <c r="AC36" s="880"/>
      <c r="AD36" s="881">
        <f ca="1">IFERROR(__xludf.DUMMYFUNCTION("""COMPUTED_VALUE"""),0)</f>
        <v>0</v>
      </c>
      <c r="AE36" s="887"/>
      <c r="AF36" s="880"/>
      <c r="AG36" s="881">
        <f ca="1">IFERROR(__xludf.DUMMYFUNCTION("""COMPUTED_VALUE"""),0)</f>
        <v>0</v>
      </c>
      <c r="AH36" s="887"/>
      <c r="AI36" s="880"/>
      <c r="AJ36" s="881">
        <f ca="1">IFERROR(__xludf.DUMMYFUNCTION("""COMPUTED_VALUE"""),1)</f>
        <v>1</v>
      </c>
      <c r="AK36" s="887"/>
    </row>
    <row r="37" spans="1:37" ht="30" customHeight="1">
      <c r="A37" s="370">
        <v>32</v>
      </c>
      <c r="B37" s="888" t="s">
        <v>201</v>
      </c>
      <c r="C37" s="455" t="str">
        <f ca="1">IFERROR(__xludf.DUMMYFUNCTION("""COMPUTED_VALUE"""),"M. Teduh Uliniansyah, B.Eng., M.Sc., Ph.D.")</f>
        <v>M. Teduh Uliniansyah, B.Eng., M.Sc., Ph.D.</v>
      </c>
      <c r="D37" s="870"/>
      <c r="E37" s="871"/>
      <c r="F37" s="871">
        <f ca="1">IFERROR(__xludf.DUMMYFUNCTION("""COMPUTED_VALUE"""),0)</f>
        <v>0</v>
      </c>
      <c r="G37" s="871"/>
      <c r="H37" s="872"/>
      <c r="I37" s="872">
        <f ca="1">IFERROR(__xludf.DUMMYFUNCTION("""COMPUTED_VALUE"""),6)</f>
        <v>6</v>
      </c>
      <c r="J37" s="873"/>
      <c r="K37" s="874"/>
      <c r="L37" s="874">
        <f ca="1">IFERROR(__xludf.DUMMYFUNCTION("""COMPUTED_VALUE"""),2)</f>
        <v>2</v>
      </c>
      <c r="M37" s="886"/>
      <c r="N37" s="876"/>
      <c r="O37" s="876">
        <f ca="1">IFERROR(__xludf.DUMMYFUNCTION("""COMPUTED_VALUE"""),0)</f>
        <v>0</v>
      </c>
      <c r="P37" s="889"/>
      <c r="Q37" s="890"/>
      <c r="R37" s="877">
        <f ca="1">IFERROR(__xludf.DUMMYFUNCTION("""COMPUTED_VALUE"""),0)</f>
        <v>0</v>
      </c>
      <c r="S37" s="890"/>
      <c r="T37" s="878"/>
      <c r="U37" s="878" t="str">
        <f ca="1">IFERROR(__xludf.DUMMYFUNCTION("""COMPUTED_VALUE"""),"#VALUE!")</f>
        <v>#VALUE!</v>
      </c>
      <c r="V37" s="879"/>
      <c r="W37" s="891"/>
      <c r="X37" s="881">
        <f ca="1">IFERROR(__xludf.DUMMYFUNCTION("""COMPUTED_VALUE"""),16)</f>
        <v>16</v>
      </c>
      <c r="Y37" s="887"/>
      <c r="Z37" s="880"/>
      <c r="AA37" s="883">
        <f ca="1">IFERROR(__xludf.DUMMYFUNCTION("""COMPUTED_VALUE"""),0)</f>
        <v>0</v>
      </c>
      <c r="AB37" s="887"/>
      <c r="AC37" s="880"/>
      <c r="AD37" s="881">
        <f ca="1">IFERROR(__xludf.DUMMYFUNCTION("""COMPUTED_VALUE"""),2)</f>
        <v>2</v>
      </c>
      <c r="AE37" s="887"/>
      <c r="AF37" s="880"/>
      <c r="AG37" s="881">
        <f ca="1">IFERROR(__xludf.DUMMYFUNCTION("""COMPUTED_VALUE"""),2)</f>
        <v>2</v>
      </c>
      <c r="AH37" s="887"/>
      <c r="AI37" s="880"/>
      <c r="AJ37" s="881">
        <f ca="1">IFERROR(__xludf.DUMMYFUNCTION("""COMPUTED_VALUE"""),0)</f>
        <v>0</v>
      </c>
      <c r="AK37" s="887"/>
    </row>
    <row r="38" spans="1:37" ht="30" customHeight="1">
      <c r="A38" s="370">
        <v>33</v>
      </c>
      <c r="B38" s="885" t="s">
        <v>58</v>
      </c>
      <c r="C38" s="455" t="str">
        <f ca="1">IFERROR(__xludf.DUMMYFUNCTION("""COMPUTED_VALUE"""),"M. Yudhi Rezaldi, Ph.D")</f>
        <v>M. Yudhi Rezaldi, Ph.D</v>
      </c>
      <c r="D38" s="870"/>
      <c r="E38" s="871"/>
      <c r="F38" s="871">
        <f ca="1">IFERROR(__xludf.DUMMYFUNCTION("""COMPUTED_VALUE"""),0)</f>
        <v>0</v>
      </c>
      <c r="G38" s="871"/>
      <c r="H38" s="872"/>
      <c r="I38" s="872">
        <f ca="1">IFERROR(__xludf.DUMMYFUNCTION("""COMPUTED_VALUE"""),4)</f>
        <v>4</v>
      </c>
      <c r="J38" s="873"/>
      <c r="K38" s="874"/>
      <c r="L38" s="874">
        <f ca="1">IFERROR(__xludf.DUMMYFUNCTION("""COMPUTED_VALUE"""),4)</f>
        <v>4</v>
      </c>
      <c r="M38" s="886"/>
      <c r="N38" s="876"/>
      <c r="O38" s="876">
        <f ca="1">IFERROR(__xludf.DUMMYFUNCTION("""COMPUTED_VALUE"""),0)</f>
        <v>0</v>
      </c>
      <c r="P38" s="889"/>
      <c r="Q38" s="890"/>
      <c r="R38" s="877">
        <f ca="1">IFERROR(__xludf.DUMMYFUNCTION("""COMPUTED_VALUE"""),1)</f>
        <v>1</v>
      </c>
      <c r="S38" s="890"/>
      <c r="T38" s="878"/>
      <c r="U38" s="878" t="str">
        <f ca="1">IFERROR(__xludf.DUMMYFUNCTION("""COMPUTED_VALUE"""),"#VALUE!")</f>
        <v>#VALUE!</v>
      </c>
      <c r="V38" s="879"/>
      <c r="W38" s="891"/>
      <c r="X38" s="881">
        <f ca="1">IFERROR(__xludf.DUMMYFUNCTION("""COMPUTED_VALUE"""),20)</f>
        <v>20</v>
      </c>
      <c r="Y38" s="887"/>
      <c r="Z38" s="880"/>
      <c r="AA38" s="883">
        <f ca="1">IFERROR(__xludf.DUMMYFUNCTION("""COMPUTED_VALUE"""),1)</f>
        <v>1</v>
      </c>
      <c r="AB38" s="887"/>
      <c r="AC38" s="880"/>
      <c r="AD38" s="881">
        <f ca="1">IFERROR(__xludf.DUMMYFUNCTION("""COMPUTED_VALUE"""),5)</f>
        <v>5</v>
      </c>
      <c r="AE38" s="887"/>
      <c r="AF38" s="880"/>
      <c r="AG38" s="881">
        <f ca="1">IFERROR(__xludf.DUMMYFUNCTION("""COMPUTED_VALUE"""),2)</f>
        <v>2</v>
      </c>
      <c r="AH38" s="887"/>
      <c r="AI38" s="880"/>
      <c r="AJ38" s="881">
        <f ca="1">IFERROR(__xludf.DUMMYFUNCTION("""COMPUTED_VALUE"""),0)</f>
        <v>0</v>
      </c>
      <c r="AK38" s="887"/>
    </row>
    <row r="39" spans="1:37" ht="30" customHeight="1">
      <c r="A39" s="370">
        <v>34</v>
      </c>
      <c r="B39" s="885" t="s">
        <v>67</v>
      </c>
      <c r="C39" s="455" t="str">
        <f ca="1">IFERROR(__xludf.DUMMYFUNCTION("""COMPUTED_VALUE"""),"Nimas Ayu Untariyati, S.Kom, M.T.I")</f>
        <v>Nimas Ayu Untariyati, S.Kom, M.T.I</v>
      </c>
      <c r="D39" s="870"/>
      <c r="E39" s="871"/>
      <c r="F39" s="871">
        <f ca="1">IFERROR(__xludf.DUMMYFUNCTION("""COMPUTED_VALUE"""),0)</f>
        <v>0</v>
      </c>
      <c r="G39" s="871"/>
      <c r="H39" s="872"/>
      <c r="I39" s="872">
        <f ca="1">IFERROR(__xludf.DUMMYFUNCTION("""COMPUTED_VALUE"""),0)</f>
        <v>0</v>
      </c>
      <c r="J39" s="873"/>
      <c r="K39" s="874"/>
      <c r="L39" s="874">
        <f ca="1">IFERROR(__xludf.DUMMYFUNCTION("""COMPUTED_VALUE"""),0)</f>
        <v>0</v>
      </c>
      <c r="M39" s="886"/>
      <c r="N39" s="876"/>
      <c r="O39" s="876">
        <f ca="1">IFERROR(__xludf.DUMMYFUNCTION("""COMPUTED_VALUE"""),0)</f>
        <v>0</v>
      </c>
      <c r="P39" s="889"/>
      <c r="Q39" s="890"/>
      <c r="R39" s="877">
        <f ca="1">IFERROR(__xludf.DUMMYFUNCTION("""COMPUTED_VALUE"""),0)</f>
        <v>0</v>
      </c>
      <c r="S39" s="890"/>
      <c r="T39" s="878"/>
      <c r="U39" s="878" t="str">
        <f ca="1">IFERROR(__xludf.DUMMYFUNCTION("""COMPUTED_VALUE"""),"#VALUE!")</f>
        <v>#VALUE!</v>
      </c>
      <c r="V39" s="879"/>
      <c r="W39" s="891"/>
      <c r="X39" s="881">
        <f ca="1">IFERROR(__xludf.DUMMYFUNCTION("""COMPUTED_VALUE"""),5)</f>
        <v>5</v>
      </c>
      <c r="Y39" s="887"/>
      <c r="Z39" s="880"/>
      <c r="AA39" s="883">
        <f ca="1">IFERROR(__xludf.DUMMYFUNCTION("""COMPUTED_VALUE"""),0)</f>
        <v>0</v>
      </c>
      <c r="AB39" s="887"/>
      <c r="AC39" s="880"/>
      <c r="AD39" s="881">
        <f ca="1">IFERROR(__xludf.DUMMYFUNCTION("""COMPUTED_VALUE"""),1)</f>
        <v>1</v>
      </c>
      <c r="AE39" s="887"/>
      <c r="AF39" s="880"/>
      <c r="AG39" s="881">
        <f ca="1">IFERROR(__xludf.DUMMYFUNCTION("""COMPUTED_VALUE"""),0)</f>
        <v>0</v>
      </c>
      <c r="AH39" s="887"/>
      <c r="AI39" s="880"/>
      <c r="AJ39" s="881">
        <f ca="1">IFERROR(__xludf.DUMMYFUNCTION("""COMPUTED_VALUE"""),0)</f>
        <v>0</v>
      </c>
      <c r="AK39" s="887"/>
    </row>
    <row r="40" spans="1:37" ht="30" customHeight="1">
      <c r="A40" s="370">
        <v>35</v>
      </c>
      <c r="B40" s="888" t="s">
        <v>201</v>
      </c>
      <c r="C40" s="455" t="str">
        <f ca="1">IFERROR(__xludf.DUMMYFUNCTION("""COMPUTED_VALUE"""),"Nuraisa Novia Hidayati, S.Kom., M.Kom.")</f>
        <v>Nuraisa Novia Hidayati, S.Kom., M.Kom.</v>
      </c>
      <c r="D40" s="870"/>
      <c r="E40" s="871"/>
      <c r="F40" s="871">
        <f ca="1">IFERROR(__xludf.DUMMYFUNCTION("""COMPUTED_VALUE"""),0)</f>
        <v>0</v>
      </c>
      <c r="G40" s="871"/>
      <c r="H40" s="872"/>
      <c r="I40" s="872">
        <f ca="1">IFERROR(__xludf.DUMMYFUNCTION("""COMPUTED_VALUE"""),1)</f>
        <v>1</v>
      </c>
      <c r="J40" s="873"/>
      <c r="K40" s="874"/>
      <c r="L40" s="874">
        <f ca="1">IFERROR(__xludf.DUMMYFUNCTION("""COMPUTED_VALUE"""),2)</f>
        <v>2</v>
      </c>
      <c r="M40" s="886"/>
      <c r="N40" s="876"/>
      <c r="O40" s="876">
        <f ca="1">IFERROR(__xludf.DUMMYFUNCTION("""COMPUTED_VALUE"""),0)</f>
        <v>0</v>
      </c>
      <c r="P40" s="889"/>
      <c r="Q40" s="890"/>
      <c r="R40" s="877">
        <f ca="1">IFERROR(__xludf.DUMMYFUNCTION("""COMPUTED_VALUE"""),0)</f>
        <v>0</v>
      </c>
      <c r="S40" s="890"/>
      <c r="T40" s="878"/>
      <c r="U40" s="878" t="str">
        <f ca="1">IFERROR(__xludf.DUMMYFUNCTION("""COMPUTED_VALUE"""),"#VALUE!")</f>
        <v>#VALUE!</v>
      </c>
      <c r="V40" s="879"/>
      <c r="W40" s="891"/>
      <c r="X40" s="881">
        <f ca="1">IFERROR(__xludf.DUMMYFUNCTION("""COMPUTED_VALUE"""),15)</f>
        <v>15</v>
      </c>
      <c r="Y40" s="887"/>
      <c r="Z40" s="880"/>
      <c r="AA40" s="883">
        <f ca="1">IFERROR(__xludf.DUMMYFUNCTION("""COMPUTED_VALUE"""),0)</f>
        <v>0</v>
      </c>
      <c r="AB40" s="887"/>
      <c r="AC40" s="880"/>
      <c r="AD40" s="881">
        <f ca="1">IFERROR(__xludf.DUMMYFUNCTION("""COMPUTED_VALUE"""),1)</f>
        <v>1</v>
      </c>
      <c r="AE40" s="887"/>
      <c r="AF40" s="880"/>
      <c r="AG40" s="881">
        <f ca="1">IFERROR(__xludf.DUMMYFUNCTION("""COMPUTED_VALUE"""),0)</f>
        <v>0</v>
      </c>
      <c r="AH40" s="887"/>
      <c r="AI40" s="880"/>
      <c r="AJ40" s="881">
        <f ca="1">IFERROR(__xludf.DUMMYFUNCTION("""COMPUTED_VALUE"""),0)</f>
        <v>0</v>
      </c>
      <c r="AK40" s="887"/>
    </row>
    <row r="41" spans="1:37" ht="30" customHeight="1">
      <c r="A41" s="370">
        <v>36</v>
      </c>
      <c r="B41" s="888" t="s">
        <v>201</v>
      </c>
      <c r="C41" s="455" t="str">
        <f ca="1">IFERROR(__xludf.DUMMYFUNCTION("""COMPUTED_VALUE"""),"Prabu Kresna Putra, S.T., M.T.I.")</f>
        <v>Prabu Kresna Putra, S.T., M.T.I.</v>
      </c>
      <c r="D41" s="870"/>
      <c r="E41" s="871"/>
      <c r="F41" s="871">
        <f ca="1">IFERROR(__xludf.DUMMYFUNCTION("""COMPUTED_VALUE"""),0)</f>
        <v>0</v>
      </c>
      <c r="G41" s="871"/>
      <c r="H41" s="872"/>
      <c r="I41" s="872">
        <f ca="1">IFERROR(__xludf.DUMMYFUNCTION("""COMPUTED_VALUE"""),2)</f>
        <v>2</v>
      </c>
      <c r="J41" s="873"/>
      <c r="K41" s="874"/>
      <c r="L41" s="874">
        <f ca="1">IFERROR(__xludf.DUMMYFUNCTION("""COMPUTED_VALUE"""),4)</f>
        <v>4</v>
      </c>
      <c r="M41" s="886"/>
      <c r="N41" s="876"/>
      <c r="O41" s="876">
        <f ca="1">IFERROR(__xludf.DUMMYFUNCTION("""COMPUTED_VALUE"""),0)</f>
        <v>0</v>
      </c>
      <c r="P41" s="889"/>
      <c r="Q41" s="890"/>
      <c r="R41" s="877">
        <f ca="1">IFERROR(__xludf.DUMMYFUNCTION("""COMPUTED_VALUE"""),0)</f>
        <v>0</v>
      </c>
      <c r="S41" s="890"/>
      <c r="T41" s="878"/>
      <c r="U41" s="878" t="str">
        <f ca="1">IFERROR(__xludf.DUMMYFUNCTION("""COMPUTED_VALUE"""),"#VALUE!")</f>
        <v>#VALUE!</v>
      </c>
      <c r="V41" s="879"/>
      <c r="W41" s="891"/>
      <c r="X41" s="881">
        <f ca="1">IFERROR(__xludf.DUMMYFUNCTION("""COMPUTED_VALUE"""),41)</f>
        <v>41</v>
      </c>
      <c r="Y41" s="887"/>
      <c r="Z41" s="880"/>
      <c r="AA41" s="883">
        <f ca="1">IFERROR(__xludf.DUMMYFUNCTION("""COMPUTED_VALUE"""),0)</f>
        <v>0</v>
      </c>
      <c r="AB41" s="887"/>
      <c r="AC41" s="880"/>
      <c r="AD41" s="881">
        <f ca="1">IFERROR(__xludf.DUMMYFUNCTION("""COMPUTED_VALUE"""),0)</f>
        <v>0</v>
      </c>
      <c r="AE41" s="887"/>
      <c r="AF41" s="880"/>
      <c r="AG41" s="881">
        <f ca="1">IFERROR(__xludf.DUMMYFUNCTION("""COMPUTED_VALUE"""),0)</f>
        <v>0</v>
      </c>
      <c r="AH41" s="887"/>
      <c r="AI41" s="880"/>
      <c r="AJ41" s="881">
        <f ca="1">IFERROR(__xludf.DUMMYFUNCTION("""COMPUTED_VALUE"""),0)</f>
        <v>0</v>
      </c>
      <c r="AK41" s="887"/>
    </row>
    <row r="42" spans="1:37" ht="30" customHeight="1">
      <c r="A42" s="370">
        <v>37</v>
      </c>
      <c r="B42" s="885" t="s">
        <v>32</v>
      </c>
      <c r="C42" s="455" t="str">
        <f ca="1">IFERROR(__xludf.DUMMYFUNCTION("""COMPUTED_VALUE"""),"Dr. Purnomo Husnul Khotimah, M.T")</f>
        <v>Dr. Purnomo Husnul Khotimah, M.T</v>
      </c>
      <c r="D42" s="870"/>
      <c r="E42" s="871"/>
      <c r="F42" s="871">
        <f ca="1">IFERROR(__xludf.DUMMYFUNCTION("""COMPUTED_VALUE"""),2)</f>
        <v>2</v>
      </c>
      <c r="G42" s="871"/>
      <c r="H42" s="872"/>
      <c r="I42" s="872">
        <f ca="1">IFERROR(__xludf.DUMMYFUNCTION("""COMPUTED_VALUE"""),3)</f>
        <v>3</v>
      </c>
      <c r="J42" s="873"/>
      <c r="K42" s="874"/>
      <c r="L42" s="874">
        <f ca="1">IFERROR(__xludf.DUMMYFUNCTION("""COMPUTED_VALUE"""),4)</f>
        <v>4</v>
      </c>
      <c r="M42" s="886"/>
      <c r="N42" s="876"/>
      <c r="O42" s="876">
        <f ca="1">IFERROR(__xludf.DUMMYFUNCTION("""COMPUTED_VALUE"""),0)</f>
        <v>0</v>
      </c>
      <c r="P42" s="889"/>
      <c r="Q42" s="890"/>
      <c r="R42" s="877">
        <f ca="1">IFERROR(__xludf.DUMMYFUNCTION("""COMPUTED_VALUE"""),0)</f>
        <v>0</v>
      </c>
      <c r="S42" s="890"/>
      <c r="T42" s="878"/>
      <c r="U42" s="878" t="str">
        <f ca="1">IFERROR(__xludf.DUMMYFUNCTION("""COMPUTED_VALUE"""),"#VALUE!")</f>
        <v>#VALUE!</v>
      </c>
      <c r="V42" s="879"/>
      <c r="W42" s="891"/>
      <c r="X42" s="881">
        <f ca="1">IFERROR(__xludf.DUMMYFUNCTION("""COMPUTED_VALUE"""),13)</f>
        <v>13</v>
      </c>
      <c r="Y42" s="887"/>
      <c r="Z42" s="880"/>
      <c r="AA42" s="883">
        <f ca="1">IFERROR(__xludf.DUMMYFUNCTION("""COMPUTED_VALUE"""),1)</f>
        <v>1</v>
      </c>
      <c r="AB42" s="887"/>
      <c r="AC42" s="880"/>
      <c r="AD42" s="881">
        <f ca="1">IFERROR(__xludf.DUMMYFUNCTION("""COMPUTED_VALUE"""),3)</f>
        <v>3</v>
      </c>
      <c r="AE42" s="887"/>
      <c r="AF42" s="880"/>
      <c r="AG42" s="881">
        <f ca="1">IFERROR(__xludf.DUMMYFUNCTION("""COMPUTED_VALUE"""),0)</f>
        <v>0</v>
      </c>
      <c r="AH42" s="887"/>
      <c r="AI42" s="880"/>
      <c r="AJ42" s="881">
        <f ca="1">IFERROR(__xludf.DUMMYFUNCTION("""COMPUTED_VALUE"""),0)</f>
        <v>0</v>
      </c>
      <c r="AK42" s="887"/>
    </row>
    <row r="43" spans="1:37" ht="30" customHeight="1">
      <c r="A43" s="370">
        <v>38</v>
      </c>
      <c r="B43" s="888" t="s">
        <v>201</v>
      </c>
      <c r="C43" s="455" t="str">
        <f ca="1">IFERROR(__xludf.DUMMYFUNCTION("""COMPUTED_VALUE"""),"Radhiyatul Fajri, S.Kom, M.Pd.T, M.Kom.")</f>
        <v>Radhiyatul Fajri, S.Kom, M.Pd.T, M.Kom.</v>
      </c>
      <c r="D43" s="870"/>
      <c r="E43" s="871"/>
      <c r="F43" s="871">
        <f ca="1">IFERROR(__xludf.DUMMYFUNCTION("""COMPUTED_VALUE"""),0)</f>
        <v>0</v>
      </c>
      <c r="G43" s="871"/>
      <c r="H43" s="872"/>
      <c r="I43" s="872">
        <f ca="1">IFERROR(__xludf.DUMMYFUNCTION("""COMPUTED_VALUE"""),3)</f>
        <v>3</v>
      </c>
      <c r="J43" s="873"/>
      <c r="K43" s="874"/>
      <c r="L43" s="874">
        <f ca="1">IFERROR(__xludf.DUMMYFUNCTION("""COMPUTED_VALUE"""),2)</f>
        <v>2</v>
      </c>
      <c r="M43" s="886"/>
      <c r="N43" s="876"/>
      <c r="O43" s="876">
        <f ca="1">IFERROR(__xludf.DUMMYFUNCTION("""COMPUTED_VALUE"""),0)</f>
        <v>0</v>
      </c>
      <c r="P43" s="889"/>
      <c r="Q43" s="890"/>
      <c r="R43" s="877">
        <f ca="1">IFERROR(__xludf.DUMMYFUNCTION("""COMPUTED_VALUE"""),0)</f>
        <v>0</v>
      </c>
      <c r="S43" s="890"/>
      <c r="T43" s="878"/>
      <c r="U43" s="878" t="str">
        <f ca="1">IFERROR(__xludf.DUMMYFUNCTION("""COMPUTED_VALUE"""),"#VALUE!")</f>
        <v>#VALUE!</v>
      </c>
      <c r="V43" s="879"/>
      <c r="W43" s="891"/>
      <c r="X43" s="881">
        <f ca="1">IFERROR(__xludf.DUMMYFUNCTION("""COMPUTED_VALUE"""),8)</f>
        <v>8</v>
      </c>
      <c r="Y43" s="887"/>
      <c r="Z43" s="880"/>
      <c r="AA43" s="883">
        <f ca="1">IFERROR(__xludf.DUMMYFUNCTION("""COMPUTED_VALUE"""),0)</f>
        <v>0</v>
      </c>
      <c r="AB43" s="887"/>
      <c r="AC43" s="880"/>
      <c r="AD43" s="881">
        <f ca="1">IFERROR(__xludf.DUMMYFUNCTION("""COMPUTED_VALUE"""),0)</f>
        <v>0</v>
      </c>
      <c r="AE43" s="887"/>
      <c r="AF43" s="880"/>
      <c r="AG43" s="881">
        <f ca="1">IFERROR(__xludf.DUMMYFUNCTION("""COMPUTED_VALUE"""),0)</f>
        <v>0</v>
      </c>
      <c r="AH43" s="887"/>
      <c r="AI43" s="880"/>
      <c r="AJ43" s="881">
        <f ca="1">IFERROR(__xludf.DUMMYFUNCTION("""COMPUTED_VALUE"""),0)</f>
        <v>0</v>
      </c>
      <c r="AK43" s="887"/>
    </row>
    <row r="44" spans="1:37" ht="30" customHeight="1">
      <c r="A44" s="370">
        <v>39</v>
      </c>
      <c r="B44" s="885" t="s">
        <v>67</v>
      </c>
      <c r="C44" s="455" t="str">
        <f ca="1">IFERROR(__xludf.DUMMYFUNCTION("""COMPUTED_VALUE"""),"Rezzy Eko Caraka ,S.Si.,M.Sc(RES).,PhD.")</f>
        <v>Rezzy Eko Caraka ,S.Si.,M.Sc(RES).,PhD.</v>
      </c>
      <c r="D44" s="870"/>
      <c r="E44" s="871"/>
      <c r="F44" s="871">
        <f ca="1">IFERROR(__xludf.DUMMYFUNCTION("""COMPUTED_VALUE"""),0)</f>
        <v>0</v>
      </c>
      <c r="G44" s="871"/>
      <c r="H44" s="872"/>
      <c r="I44" s="872">
        <f ca="1">IFERROR(__xludf.DUMMYFUNCTION("""COMPUTED_VALUE"""),0)</f>
        <v>0</v>
      </c>
      <c r="J44" s="873"/>
      <c r="K44" s="874"/>
      <c r="L44" s="874">
        <f ca="1">IFERROR(__xludf.DUMMYFUNCTION("""COMPUTED_VALUE"""),10)</f>
        <v>10</v>
      </c>
      <c r="M44" s="886"/>
      <c r="N44" s="876"/>
      <c r="O44" s="876">
        <f ca="1">IFERROR(__xludf.DUMMYFUNCTION("""COMPUTED_VALUE"""),0)</f>
        <v>0</v>
      </c>
      <c r="P44" s="889"/>
      <c r="Q44" s="890"/>
      <c r="R44" s="877">
        <f ca="1">IFERROR(__xludf.DUMMYFUNCTION("""COMPUTED_VALUE"""),1)</f>
        <v>1</v>
      </c>
      <c r="S44" s="890"/>
      <c r="T44" s="878"/>
      <c r="U44" s="878" t="str">
        <f ca="1">IFERROR(__xludf.DUMMYFUNCTION("""COMPUTED_VALUE"""),"#VALUE!")</f>
        <v>#VALUE!</v>
      </c>
      <c r="V44" s="879"/>
      <c r="W44" s="891"/>
      <c r="X44" s="881">
        <f ca="1">IFERROR(__xludf.DUMMYFUNCTION("""COMPUTED_VALUE"""),413)</f>
        <v>413</v>
      </c>
      <c r="Y44" s="887"/>
      <c r="Z44" s="880"/>
      <c r="AA44" s="883">
        <f ca="1">IFERROR(__xludf.DUMMYFUNCTION("""COMPUTED_VALUE"""),0)</f>
        <v>0</v>
      </c>
      <c r="AB44" s="887"/>
      <c r="AC44" s="880"/>
      <c r="AD44" s="881">
        <f ca="1">IFERROR(__xludf.DUMMYFUNCTION("""COMPUTED_VALUE"""),1)</f>
        <v>1</v>
      </c>
      <c r="AE44" s="887"/>
      <c r="AF44" s="880"/>
      <c r="AG44" s="881">
        <f ca="1">IFERROR(__xludf.DUMMYFUNCTION("""COMPUTED_VALUE"""),0)</f>
        <v>0</v>
      </c>
      <c r="AH44" s="887"/>
      <c r="AI44" s="880"/>
      <c r="AJ44" s="881">
        <f ca="1">IFERROR(__xludf.DUMMYFUNCTION("""COMPUTED_VALUE"""),0)</f>
        <v>0</v>
      </c>
      <c r="AK44" s="887"/>
    </row>
    <row r="45" spans="1:37" ht="30" customHeight="1">
      <c r="A45" s="370">
        <v>40</v>
      </c>
      <c r="B45" s="885" t="s">
        <v>58</v>
      </c>
      <c r="C45" s="455" t="str">
        <f ca="1">IFERROR(__xludf.DUMMYFUNCTION("""COMPUTED_VALUE"""),"Ridwan Suhud, S.Kom., M.T.")</f>
        <v>Ridwan Suhud, S.Kom., M.T.</v>
      </c>
      <c r="D45" s="870"/>
      <c r="E45" s="871"/>
      <c r="F45" s="871">
        <f ca="1">IFERROR(__xludf.DUMMYFUNCTION("""COMPUTED_VALUE"""),0)</f>
        <v>0</v>
      </c>
      <c r="G45" s="871"/>
      <c r="H45" s="872"/>
      <c r="I45" s="872">
        <f ca="1">IFERROR(__xludf.DUMMYFUNCTION("""COMPUTED_VALUE"""),3)</f>
        <v>3</v>
      </c>
      <c r="J45" s="873"/>
      <c r="K45" s="874"/>
      <c r="L45" s="874">
        <f ca="1">IFERROR(__xludf.DUMMYFUNCTION("""COMPUTED_VALUE"""),2)</f>
        <v>2</v>
      </c>
      <c r="M45" s="886"/>
      <c r="N45" s="876"/>
      <c r="O45" s="876">
        <f ca="1">IFERROR(__xludf.DUMMYFUNCTION("""COMPUTED_VALUE"""),0)</f>
        <v>0</v>
      </c>
      <c r="P45" s="889"/>
      <c r="Q45" s="890"/>
      <c r="R45" s="877">
        <f ca="1">IFERROR(__xludf.DUMMYFUNCTION("""COMPUTED_VALUE"""),0)</f>
        <v>0</v>
      </c>
      <c r="S45" s="890"/>
      <c r="T45" s="878"/>
      <c r="U45" s="878" t="str">
        <f ca="1">IFERROR(__xludf.DUMMYFUNCTION("""COMPUTED_VALUE"""),"#VALUE!")</f>
        <v>#VALUE!</v>
      </c>
      <c r="V45" s="879"/>
      <c r="W45" s="891"/>
      <c r="X45" s="881">
        <f ca="1">IFERROR(__xludf.DUMMYFUNCTION("""COMPUTED_VALUE"""),2)</f>
        <v>2</v>
      </c>
      <c r="Y45" s="887"/>
      <c r="Z45" s="880"/>
      <c r="AA45" s="883">
        <f ca="1">IFERROR(__xludf.DUMMYFUNCTION("""COMPUTED_VALUE"""),0)</f>
        <v>0</v>
      </c>
      <c r="AB45" s="887"/>
      <c r="AC45" s="880"/>
      <c r="AD45" s="881">
        <f ca="1">IFERROR(__xludf.DUMMYFUNCTION("""COMPUTED_VALUE"""),4)</f>
        <v>4</v>
      </c>
      <c r="AE45" s="887"/>
      <c r="AF45" s="880"/>
      <c r="AG45" s="881">
        <f ca="1">IFERROR(__xludf.DUMMYFUNCTION("""COMPUTED_VALUE"""),1)</f>
        <v>1</v>
      </c>
      <c r="AH45" s="887"/>
      <c r="AI45" s="880"/>
      <c r="AJ45" s="881">
        <f ca="1">IFERROR(__xludf.DUMMYFUNCTION("""COMPUTED_VALUE"""),0)</f>
        <v>0</v>
      </c>
      <c r="AK45" s="887"/>
    </row>
    <row r="46" spans="1:37" ht="30" customHeight="1">
      <c r="A46" s="370">
        <v>41</v>
      </c>
      <c r="B46" s="888" t="s">
        <v>201</v>
      </c>
      <c r="C46" s="455" t="str">
        <f ca="1">IFERROR(__xludf.DUMMYFUNCTION("""COMPUTED_VALUE"""),"Dr. Rini Wijayanti, S.Kom., M.Kom.")</f>
        <v>Dr. Rini Wijayanti, S.Kom., M.Kom.</v>
      </c>
      <c r="D46" s="870"/>
      <c r="E46" s="871"/>
      <c r="F46" s="871">
        <f ca="1">IFERROR(__xludf.DUMMYFUNCTION("""COMPUTED_VALUE"""),0)</f>
        <v>0</v>
      </c>
      <c r="G46" s="871"/>
      <c r="H46" s="872"/>
      <c r="I46" s="872">
        <f ca="1">IFERROR(__xludf.DUMMYFUNCTION("""COMPUTED_VALUE"""),2)</f>
        <v>2</v>
      </c>
      <c r="J46" s="873"/>
      <c r="K46" s="874"/>
      <c r="L46" s="874">
        <f ca="1">IFERROR(__xludf.DUMMYFUNCTION("""COMPUTED_VALUE"""),1)</f>
        <v>1</v>
      </c>
      <c r="M46" s="886"/>
      <c r="N46" s="876"/>
      <c r="O46" s="876">
        <f ca="1">IFERROR(__xludf.DUMMYFUNCTION("""COMPUTED_VALUE"""),0)</f>
        <v>0</v>
      </c>
      <c r="P46" s="889"/>
      <c r="Q46" s="890"/>
      <c r="R46" s="877">
        <f ca="1">IFERROR(__xludf.DUMMYFUNCTION("""COMPUTED_VALUE"""),0)</f>
        <v>0</v>
      </c>
      <c r="S46" s="890"/>
      <c r="T46" s="878"/>
      <c r="U46" s="878" t="str">
        <f ca="1">IFERROR(__xludf.DUMMYFUNCTION("""COMPUTED_VALUE"""),"#VALUE!")</f>
        <v>#VALUE!</v>
      </c>
      <c r="V46" s="879"/>
      <c r="W46" s="891"/>
      <c r="X46" s="881">
        <f ca="1">IFERROR(__xludf.DUMMYFUNCTION("""COMPUTED_VALUE"""),15)</f>
        <v>15</v>
      </c>
      <c r="Y46" s="887"/>
      <c r="Z46" s="880"/>
      <c r="AA46" s="883">
        <f ca="1">IFERROR(__xludf.DUMMYFUNCTION("""COMPUTED_VALUE"""),0)</f>
        <v>0</v>
      </c>
      <c r="AB46" s="887"/>
      <c r="AC46" s="880"/>
      <c r="AD46" s="881">
        <f ca="1">IFERROR(__xludf.DUMMYFUNCTION("""COMPUTED_VALUE"""),1)</f>
        <v>1</v>
      </c>
      <c r="AE46" s="887"/>
      <c r="AF46" s="880"/>
      <c r="AG46" s="881">
        <f ca="1">IFERROR(__xludf.DUMMYFUNCTION("""COMPUTED_VALUE"""),1)</f>
        <v>1</v>
      </c>
      <c r="AH46" s="887"/>
      <c r="AI46" s="880"/>
      <c r="AJ46" s="881">
        <f ca="1">IFERROR(__xludf.DUMMYFUNCTION("""COMPUTED_VALUE"""),0)</f>
        <v>0</v>
      </c>
      <c r="AK46" s="887"/>
    </row>
    <row r="47" spans="1:37" ht="30" customHeight="1">
      <c r="A47" s="370">
        <v>42</v>
      </c>
      <c r="B47" s="885" t="s">
        <v>58</v>
      </c>
      <c r="C47" s="455" t="str">
        <f ca="1">IFERROR(__xludf.DUMMYFUNCTION("""COMPUTED_VALUE"""),"Rio Nurtantyana, S.Pd., M.Pd., M.Sc., Ph.D.")</f>
        <v>Rio Nurtantyana, S.Pd., M.Pd., M.Sc., Ph.D.</v>
      </c>
      <c r="D47" s="870"/>
      <c r="E47" s="871"/>
      <c r="F47" s="871">
        <f ca="1">IFERROR(__xludf.DUMMYFUNCTION("""COMPUTED_VALUE"""),0)</f>
        <v>0</v>
      </c>
      <c r="G47" s="871"/>
      <c r="H47" s="872"/>
      <c r="I47" s="872">
        <f ca="1">IFERROR(__xludf.DUMMYFUNCTION("""COMPUTED_VALUE"""),3)</f>
        <v>3</v>
      </c>
      <c r="J47" s="873"/>
      <c r="K47" s="874"/>
      <c r="L47" s="874">
        <f ca="1">IFERROR(__xludf.DUMMYFUNCTION("""COMPUTED_VALUE"""),6)</f>
        <v>6</v>
      </c>
      <c r="M47" s="886"/>
      <c r="N47" s="876"/>
      <c r="O47" s="876">
        <f ca="1">IFERROR(__xludf.DUMMYFUNCTION("""COMPUTED_VALUE"""),0)</f>
        <v>0</v>
      </c>
      <c r="P47" s="889"/>
      <c r="Q47" s="890"/>
      <c r="R47" s="877">
        <f ca="1">IFERROR(__xludf.DUMMYFUNCTION("""COMPUTED_VALUE"""),1)</f>
        <v>1</v>
      </c>
      <c r="S47" s="890"/>
      <c r="T47" s="878"/>
      <c r="U47" s="878" t="str">
        <f ca="1">IFERROR(__xludf.DUMMYFUNCTION("""COMPUTED_VALUE"""),"#VALUE!")</f>
        <v>#VALUE!</v>
      </c>
      <c r="V47" s="879"/>
      <c r="W47" s="891"/>
      <c r="X47" s="881">
        <f ca="1">IFERROR(__xludf.DUMMYFUNCTION("""COMPUTED_VALUE"""),67)</f>
        <v>67</v>
      </c>
      <c r="Y47" s="887"/>
      <c r="Z47" s="880"/>
      <c r="AA47" s="883">
        <f ca="1">IFERROR(__xludf.DUMMYFUNCTION("""COMPUTED_VALUE"""),1)</f>
        <v>1</v>
      </c>
      <c r="AB47" s="887"/>
      <c r="AC47" s="880"/>
      <c r="AD47" s="881">
        <f ca="1">IFERROR(__xludf.DUMMYFUNCTION("""COMPUTED_VALUE"""),5)</f>
        <v>5</v>
      </c>
      <c r="AE47" s="887"/>
      <c r="AF47" s="880"/>
      <c r="AG47" s="881">
        <f ca="1">IFERROR(__xludf.DUMMYFUNCTION("""COMPUTED_VALUE"""),1)</f>
        <v>1</v>
      </c>
      <c r="AH47" s="887"/>
      <c r="AI47" s="880"/>
      <c r="AJ47" s="881">
        <f ca="1">IFERROR(__xludf.DUMMYFUNCTION("""COMPUTED_VALUE"""),0)</f>
        <v>0</v>
      </c>
      <c r="AK47" s="887"/>
    </row>
    <row r="48" spans="1:37" ht="30" customHeight="1">
      <c r="A48" s="370">
        <v>43</v>
      </c>
      <c r="B48" s="885" t="s">
        <v>58</v>
      </c>
      <c r="C48" s="455" t="str">
        <f ca="1">IFERROR(__xludf.DUMMYFUNCTION("""COMPUTED_VALUE"""),"Rumadi, S.T., M.T.")</f>
        <v>Rumadi, S.T., M.T.</v>
      </c>
      <c r="D48" s="870"/>
      <c r="E48" s="871"/>
      <c r="F48" s="871">
        <f ca="1">IFERROR(__xludf.DUMMYFUNCTION("""COMPUTED_VALUE"""),0)</f>
        <v>0</v>
      </c>
      <c r="G48" s="871"/>
      <c r="H48" s="872"/>
      <c r="I48" s="872">
        <f ca="1">IFERROR(__xludf.DUMMYFUNCTION("""COMPUTED_VALUE"""),3)</f>
        <v>3</v>
      </c>
      <c r="J48" s="873"/>
      <c r="K48" s="874"/>
      <c r="L48" s="874">
        <f ca="1">IFERROR(__xludf.DUMMYFUNCTION("""COMPUTED_VALUE"""),1)</f>
        <v>1</v>
      </c>
      <c r="M48" s="886"/>
      <c r="N48" s="876"/>
      <c r="O48" s="876">
        <f ca="1">IFERROR(__xludf.DUMMYFUNCTION("""COMPUTED_VALUE"""),0)</f>
        <v>0</v>
      </c>
      <c r="P48" s="889"/>
      <c r="Q48" s="890"/>
      <c r="R48" s="877">
        <f ca="1">IFERROR(__xludf.DUMMYFUNCTION("""COMPUTED_VALUE"""),0)</f>
        <v>0</v>
      </c>
      <c r="S48" s="890"/>
      <c r="T48" s="878"/>
      <c r="U48" s="878" t="str">
        <f ca="1">IFERROR(__xludf.DUMMYFUNCTION("""COMPUTED_VALUE"""),"#VALUE!")</f>
        <v>#VALUE!</v>
      </c>
      <c r="V48" s="879"/>
      <c r="W48" s="891"/>
      <c r="X48" s="881">
        <f ca="1">IFERROR(__xludf.DUMMYFUNCTION("""COMPUTED_VALUE"""),2)</f>
        <v>2</v>
      </c>
      <c r="Y48" s="887"/>
      <c r="Z48" s="880"/>
      <c r="AA48" s="883">
        <f ca="1">IFERROR(__xludf.DUMMYFUNCTION("""COMPUTED_VALUE"""),0)</f>
        <v>0</v>
      </c>
      <c r="AB48" s="887"/>
      <c r="AC48" s="880"/>
      <c r="AD48" s="881">
        <f ca="1">IFERROR(__xludf.DUMMYFUNCTION("""COMPUTED_VALUE"""),0)</f>
        <v>0</v>
      </c>
      <c r="AE48" s="887"/>
      <c r="AF48" s="880"/>
      <c r="AG48" s="881">
        <f ca="1">IFERROR(__xludf.DUMMYFUNCTION("""COMPUTED_VALUE"""),2)</f>
        <v>2</v>
      </c>
      <c r="AH48" s="887"/>
      <c r="AI48" s="880"/>
      <c r="AJ48" s="881">
        <f ca="1">IFERROR(__xludf.DUMMYFUNCTION("""COMPUTED_VALUE"""),0)</f>
        <v>0</v>
      </c>
      <c r="AK48" s="887"/>
    </row>
    <row r="49" spans="1:37" ht="30" customHeight="1">
      <c r="A49" s="370">
        <v>44</v>
      </c>
      <c r="B49" s="885" t="s">
        <v>49</v>
      </c>
      <c r="C49" s="455" t="str">
        <f ca="1">IFERROR(__xludf.DUMMYFUNCTION("""COMPUTED_VALUE"""),"Satrio Adi Priyambada, S.Kom., M.Kom., Ph.D.")</f>
        <v>Satrio Adi Priyambada, S.Kom., M.Kom., Ph.D.</v>
      </c>
      <c r="D49" s="870"/>
      <c r="E49" s="871"/>
      <c r="F49" s="871">
        <f ca="1">IFERROR(__xludf.DUMMYFUNCTION("""COMPUTED_VALUE"""),0)</f>
        <v>0</v>
      </c>
      <c r="G49" s="871"/>
      <c r="H49" s="872"/>
      <c r="I49" s="872">
        <f ca="1">IFERROR(__xludf.DUMMYFUNCTION("""COMPUTED_VALUE"""),2)</f>
        <v>2</v>
      </c>
      <c r="J49" s="873"/>
      <c r="K49" s="874"/>
      <c r="L49" s="874">
        <f ca="1">IFERROR(__xludf.DUMMYFUNCTION("""COMPUTED_VALUE"""),1)</f>
        <v>1</v>
      </c>
      <c r="M49" s="886"/>
      <c r="N49" s="876"/>
      <c r="O49" s="876">
        <f ca="1">IFERROR(__xludf.DUMMYFUNCTION("""COMPUTED_VALUE"""),0)</f>
        <v>0</v>
      </c>
      <c r="P49" s="889"/>
      <c r="Q49" s="890"/>
      <c r="R49" s="877">
        <f ca="1">IFERROR(__xludf.DUMMYFUNCTION("""COMPUTED_VALUE"""),0)</f>
        <v>0</v>
      </c>
      <c r="S49" s="890"/>
      <c r="T49" s="878"/>
      <c r="U49" s="878" t="str">
        <f ca="1">IFERROR(__xludf.DUMMYFUNCTION("""COMPUTED_VALUE"""),"#VALUE!")</f>
        <v>#VALUE!</v>
      </c>
      <c r="V49" s="879"/>
      <c r="W49" s="891"/>
      <c r="X49" s="881">
        <f ca="1">IFERROR(__xludf.DUMMYFUNCTION("""COMPUTED_VALUE"""),11)</f>
        <v>11</v>
      </c>
      <c r="Y49" s="887"/>
      <c r="Z49" s="880"/>
      <c r="AA49" s="883">
        <f ca="1">IFERROR(__xludf.DUMMYFUNCTION("""COMPUTED_VALUE"""),0)</f>
        <v>0</v>
      </c>
      <c r="AB49" s="887"/>
      <c r="AC49" s="880"/>
      <c r="AD49" s="881">
        <f ca="1">IFERROR(__xludf.DUMMYFUNCTION("""COMPUTED_VALUE"""),1)</f>
        <v>1</v>
      </c>
      <c r="AE49" s="887"/>
      <c r="AF49" s="880"/>
      <c r="AG49" s="881">
        <f ca="1">IFERROR(__xludf.DUMMYFUNCTION("""COMPUTED_VALUE"""),0)</f>
        <v>0</v>
      </c>
      <c r="AH49" s="887"/>
      <c r="AI49" s="880"/>
      <c r="AJ49" s="881">
        <f ca="1">IFERROR(__xludf.DUMMYFUNCTION("""COMPUTED_VALUE"""),0)</f>
        <v>0</v>
      </c>
      <c r="AK49" s="887"/>
    </row>
    <row r="50" spans="1:37" ht="30" customHeight="1">
      <c r="A50" s="370">
        <v>45</v>
      </c>
      <c r="B50" s="888" t="s">
        <v>201</v>
      </c>
      <c r="C50" s="455" t="str">
        <f ca="1">IFERROR(__xludf.DUMMYFUNCTION("""COMPUTED_VALUE"""),"Siska Pebiana S.Kom., M.Kom.")</f>
        <v>Siska Pebiana S.Kom., M.Kom.</v>
      </c>
      <c r="D50" s="870"/>
      <c r="E50" s="871"/>
      <c r="F50" s="871">
        <f ca="1">IFERROR(__xludf.DUMMYFUNCTION("""COMPUTED_VALUE"""),0)</f>
        <v>0</v>
      </c>
      <c r="G50" s="871"/>
      <c r="H50" s="872"/>
      <c r="I50" s="872">
        <f ca="1">IFERROR(__xludf.DUMMYFUNCTION("""COMPUTED_VALUE"""),5)</f>
        <v>5</v>
      </c>
      <c r="J50" s="873"/>
      <c r="K50" s="874"/>
      <c r="L50" s="874">
        <f ca="1">IFERROR(__xludf.DUMMYFUNCTION("""COMPUTED_VALUE"""),2)</f>
        <v>2</v>
      </c>
      <c r="M50" s="886"/>
      <c r="N50" s="876"/>
      <c r="O50" s="876">
        <f ca="1">IFERROR(__xludf.DUMMYFUNCTION("""COMPUTED_VALUE"""),0)</f>
        <v>0</v>
      </c>
      <c r="P50" s="889"/>
      <c r="Q50" s="890"/>
      <c r="R50" s="877">
        <f ca="1">IFERROR(__xludf.DUMMYFUNCTION("""COMPUTED_VALUE"""),0)</f>
        <v>0</v>
      </c>
      <c r="S50" s="890"/>
      <c r="T50" s="878"/>
      <c r="U50" s="878" t="str">
        <f ca="1">IFERROR(__xludf.DUMMYFUNCTION("""COMPUTED_VALUE"""),"#VALUE!")</f>
        <v>#VALUE!</v>
      </c>
      <c r="V50" s="879"/>
      <c r="W50" s="891"/>
      <c r="X50" s="881">
        <f ca="1">IFERROR(__xludf.DUMMYFUNCTION("""COMPUTED_VALUE"""),9)</f>
        <v>9</v>
      </c>
      <c r="Y50" s="887"/>
      <c r="Z50" s="880"/>
      <c r="AA50" s="883">
        <f ca="1">IFERROR(__xludf.DUMMYFUNCTION("""COMPUTED_VALUE"""),0)</f>
        <v>0</v>
      </c>
      <c r="AB50" s="887"/>
      <c r="AC50" s="880"/>
      <c r="AD50" s="881">
        <f ca="1">IFERROR(__xludf.DUMMYFUNCTION("""COMPUTED_VALUE"""),0)</f>
        <v>0</v>
      </c>
      <c r="AE50" s="887"/>
      <c r="AF50" s="880"/>
      <c r="AG50" s="881">
        <f ca="1">IFERROR(__xludf.DUMMYFUNCTION("""COMPUTED_VALUE"""),0)</f>
        <v>0</v>
      </c>
      <c r="AH50" s="887"/>
      <c r="AI50" s="880"/>
      <c r="AJ50" s="881">
        <f ca="1">IFERROR(__xludf.DUMMYFUNCTION("""COMPUTED_VALUE"""),1)</f>
        <v>1</v>
      </c>
      <c r="AK50" s="887"/>
    </row>
    <row r="51" spans="1:37" ht="30" customHeight="1">
      <c r="A51" s="370">
        <v>46</v>
      </c>
      <c r="B51" s="885" t="s">
        <v>49</v>
      </c>
      <c r="C51" s="455" t="str">
        <f ca="1">IFERROR(__xludf.DUMMYFUNCTION("""COMPUTED_VALUE"""),"Siti Kania Kushadiani, S.T., M.Kom.")</f>
        <v>Siti Kania Kushadiani, S.T., M.Kom.</v>
      </c>
      <c r="D51" s="870"/>
      <c r="E51" s="871"/>
      <c r="F51" s="871">
        <f ca="1">IFERROR(__xludf.DUMMYFUNCTION("""COMPUTED_VALUE"""),0)</f>
        <v>0</v>
      </c>
      <c r="G51" s="871"/>
      <c r="H51" s="872"/>
      <c r="I51" s="872">
        <f ca="1">IFERROR(__xludf.DUMMYFUNCTION("""COMPUTED_VALUE"""),2)</f>
        <v>2</v>
      </c>
      <c r="J51" s="873"/>
      <c r="K51" s="874"/>
      <c r="L51" s="874">
        <f ca="1">IFERROR(__xludf.DUMMYFUNCTION("""COMPUTED_VALUE"""),3)</f>
        <v>3</v>
      </c>
      <c r="M51" s="886"/>
      <c r="N51" s="876"/>
      <c r="O51" s="876">
        <f ca="1">IFERROR(__xludf.DUMMYFUNCTION("""COMPUTED_VALUE"""),0)</f>
        <v>0</v>
      </c>
      <c r="P51" s="889"/>
      <c r="Q51" s="890"/>
      <c r="R51" s="877">
        <f ca="1">IFERROR(__xludf.DUMMYFUNCTION("""COMPUTED_VALUE"""),0)</f>
        <v>0</v>
      </c>
      <c r="S51" s="890"/>
      <c r="T51" s="878"/>
      <c r="U51" s="878" t="str">
        <f ca="1">IFERROR(__xludf.DUMMYFUNCTION("""COMPUTED_VALUE"""),"#VALUE!")</f>
        <v>#VALUE!</v>
      </c>
      <c r="V51" s="879"/>
      <c r="W51" s="891"/>
      <c r="X51" s="881">
        <f ca="1">IFERROR(__xludf.DUMMYFUNCTION("""COMPUTED_VALUE"""),11)</f>
        <v>11</v>
      </c>
      <c r="Y51" s="887"/>
      <c r="Z51" s="880"/>
      <c r="AA51" s="883">
        <f ca="1">IFERROR(__xludf.DUMMYFUNCTION("""COMPUTED_VALUE"""),0)</f>
        <v>0</v>
      </c>
      <c r="AB51" s="887"/>
      <c r="AC51" s="880"/>
      <c r="AD51" s="881">
        <f ca="1">IFERROR(__xludf.DUMMYFUNCTION("""COMPUTED_VALUE"""),0)</f>
        <v>0</v>
      </c>
      <c r="AE51" s="887"/>
      <c r="AF51" s="880"/>
      <c r="AG51" s="881">
        <f ca="1">IFERROR(__xludf.DUMMYFUNCTION("""COMPUTED_VALUE"""),0)</f>
        <v>0</v>
      </c>
      <c r="AH51" s="887"/>
      <c r="AI51" s="880"/>
      <c r="AJ51" s="881">
        <f ca="1">IFERROR(__xludf.DUMMYFUNCTION("""COMPUTED_VALUE"""),0)</f>
        <v>0</v>
      </c>
      <c r="AK51" s="887"/>
    </row>
    <row r="52" spans="1:37" ht="30" customHeight="1">
      <c r="A52" s="370">
        <v>47</v>
      </c>
      <c r="B52" s="888" t="s">
        <v>201</v>
      </c>
      <c r="C52" s="455" t="str">
        <f ca="1">IFERROR(__xludf.DUMMYFUNCTION("""COMPUTED_VALUE"""),"Ir. Tri Sampurno, M.Sc")</f>
        <v>Ir. Tri Sampurno, M.Sc</v>
      </c>
      <c r="D52" s="870"/>
      <c r="E52" s="871"/>
      <c r="F52" s="871">
        <f ca="1">IFERROR(__xludf.DUMMYFUNCTION("""COMPUTED_VALUE"""),0)</f>
        <v>0</v>
      </c>
      <c r="G52" s="871"/>
      <c r="H52" s="872"/>
      <c r="I52" s="872">
        <f ca="1">IFERROR(__xludf.DUMMYFUNCTION("""COMPUTED_VALUE"""),1)</f>
        <v>1</v>
      </c>
      <c r="J52" s="873"/>
      <c r="K52" s="874"/>
      <c r="L52" s="874">
        <f ca="1">IFERROR(__xludf.DUMMYFUNCTION("""COMPUTED_VALUE"""),2)</f>
        <v>2</v>
      </c>
      <c r="M52" s="886"/>
      <c r="N52" s="876"/>
      <c r="O52" s="876">
        <f ca="1">IFERROR(__xludf.DUMMYFUNCTION("""COMPUTED_VALUE"""),1)</f>
        <v>1</v>
      </c>
      <c r="P52" s="889"/>
      <c r="Q52" s="890"/>
      <c r="R52" s="877">
        <f ca="1">IFERROR(__xludf.DUMMYFUNCTION("""COMPUTED_VALUE"""),0)</f>
        <v>0</v>
      </c>
      <c r="S52" s="890"/>
      <c r="T52" s="878"/>
      <c r="U52" s="878" t="str">
        <f ca="1">IFERROR(__xludf.DUMMYFUNCTION("""COMPUTED_VALUE"""),"#VALUE!")</f>
        <v>#VALUE!</v>
      </c>
      <c r="V52" s="879"/>
      <c r="W52" s="891"/>
      <c r="X52" s="881">
        <f ca="1">IFERROR(__xludf.DUMMYFUNCTION("""COMPUTED_VALUE"""),8)</f>
        <v>8</v>
      </c>
      <c r="Y52" s="887"/>
      <c r="Z52" s="880"/>
      <c r="AA52" s="883">
        <f ca="1">IFERROR(__xludf.DUMMYFUNCTION("""COMPUTED_VALUE"""),0)</f>
        <v>0</v>
      </c>
      <c r="AB52" s="887"/>
      <c r="AC52" s="880"/>
      <c r="AD52" s="881">
        <f ca="1">IFERROR(__xludf.DUMMYFUNCTION("""COMPUTED_VALUE"""),0)</f>
        <v>0</v>
      </c>
      <c r="AE52" s="887"/>
      <c r="AF52" s="880"/>
      <c r="AG52" s="881">
        <f ca="1">IFERROR(__xludf.DUMMYFUNCTION("""COMPUTED_VALUE"""),0)</f>
        <v>0</v>
      </c>
      <c r="AH52" s="887"/>
      <c r="AI52" s="880"/>
      <c r="AJ52" s="881">
        <f ca="1">IFERROR(__xludf.DUMMYFUNCTION("""COMPUTED_VALUE"""),0)</f>
        <v>0</v>
      </c>
      <c r="AK52" s="887"/>
    </row>
    <row r="53" spans="1:37" ht="30" customHeight="1">
      <c r="A53" s="370">
        <v>48</v>
      </c>
      <c r="B53" s="885" t="s">
        <v>49</v>
      </c>
      <c r="C53" s="455" t="str">
        <f ca="1">IFERROR(__xludf.DUMMYFUNCTION("""COMPUTED_VALUE"""),"Wawan Hendriawan Nur, S.Si., M.T.")</f>
        <v>Wawan Hendriawan Nur, S.Si., M.T.</v>
      </c>
      <c r="D53" s="870"/>
      <c r="E53" s="871"/>
      <c r="F53" s="871">
        <f ca="1">IFERROR(__xludf.DUMMYFUNCTION("""COMPUTED_VALUE"""),0)</f>
        <v>0</v>
      </c>
      <c r="G53" s="871"/>
      <c r="H53" s="872"/>
      <c r="I53" s="872">
        <f ca="1">IFERROR(__xludf.DUMMYFUNCTION("""COMPUTED_VALUE"""),1)</f>
        <v>1</v>
      </c>
      <c r="J53" s="873"/>
      <c r="K53" s="874"/>
      <c r="L53" s="874">
        <f ca="1">IFERROR(__xludf.DUMMYFUNCTION("""COMPUTED_VALUE"""),0)</f>
        <v>0</v>
      </c>
      <c r="M53" s="886"/>
      <c r="N53" s="876"/>
      <c r="O53" s="876">
        <f ca="1">IFERROR(__xludf.DUMMYFUNCTION("""COMPUTED_VALUE"""),0)</f>
        <v>0</v>
      </c>
      <c r="P53" s="889"/>
      <c r="Q53" s="890"/>
      <c r="R53" s="877">
        <f ca="1">IFERROR(__xludf.DUMMYFUNCTION("""COMPUTED_VALUE"""),0)</f>
        <v>0</v>
      </c>
      <c r="S53" s="890"/>
      <c r="T53" s="878"/>
      <c r="U53" s="878" t="str">
        <f ca="1">IFERROR(__xludf.DUMMYFUNCTION("""COMPUTED_VALUE"""),"#VALUE!")</f>
        <v>#VALUE!</v>
      </c>
      <c r="V53" s="879"/>
      <c r="W53" s="891"/>
      <c r="X53" s="881">
        <f ca="1">IFERROR(__xludf.DUMMYFUNCTION("""COMPUTED_VALUE"""),13)</f>
        <v>13</v>
      </c>
      <c r="Y53" s="887"/>
      <c r="Z53" s="880"/>
      <c r="AA53" s="883">
        <f ca="1">IFERROR(__xludf.DUMMYFUNCTION("""COMPUTED_VALUE"""),0)</f>
        <v>0</v>
      </c>
      <c r="AB53" s="887"/>
      <c r="AC53" s="880"/>
      <c r="AD53" s="881">
        <f ca="1">IFERROR(__xludf.DUMMYFUNCTION("""COMPUTED_VALUE"""),0)</f>
        <v>0</v>
      </c>
      <c r="AE53" s="887"/>
      <c r="AF53" s="880"/>
      <c r="AG53" s="881">
        <f ca="1">IFERROR(__xludf.DUMMYFUNCTION("""COMPUTED_VALUE"""),0)</f>
        <v>0</v>
      </c>
      <c r="AH53" s="887"/>
      <c r="AI53" s="880"/>
      <c r="AJ53" s="881">
        <f ca="1">IFERROR(__xludf.DUMMYFUNCTION("""COMPUTED_VALUE"""),0)</f>
        <v>0</v>
      </c>
      <c r="AK53" s="887"/>
    </row>
    <row r="54" spans="1:37" ht="30" customHeight="1">
      <c r="A54" s="370">
        <v>49</v>
      </c>
      <c r="B54" s="885" t="s">
        <v>32</v>
      </c>
      <c r="C54" s="455" t="str">
        <f ca="1">IFERROR(__xludf.DUMMYFUNCTION("""COMPUTED_VALUE"""),"Dr. Wiwin Suwarningsih, M.T.")</f>
        <v>Dr. Wiwin Suwarningsih, M.T.</v>
      </c>
      <c r="D54" s="870"/>
      <c r="E54" s="871"/>
      <c r="F54" s="871">
        <f ca="1">IFERROR(__xludf.DUMMYFUNCTION("""COMPUTED_VALUE"""),1)</f>
        <v>1</v>
      </c>
      <c r="G54" s="871"/>
      <c r="H54" s="872"/>
      <c r="I54" s="872">
        <f ca="1">IFERROR(__xludf.DUMMYFUNCTION("""COMPUTED_VALUE"""),2)</f>
        <v>2</v>
      </c>
      <c r="J54" s="873"/>
      <c r="K54" s="874"/>
      <c r="L54" s="874">
        <f ca="1">IFERROR(__xludf.DUMMYFUNCTION("""COMPUTED_VALUE"""),3)</f>
        <v>3</v>
      </c>
      <c r="M54" s="886"/>
      <c r="N54" s="876"/>
      <c r="O54" s="876">
        <f ca="1">IFERROR(__xludf.DUMMYFUNCTION("""COMPUTED_VALUE"""),0)</f>
        <v>0</v>
      </c>
      <c r="P54" s="889"/>
      <c r="Q54" s="890"/>
      <c r="R54" s="877">
        <f ca="1">IFERROR(__xludf.DUMMYFUNCTION("""COMPUTED_VALUE"""),0)</f>
        <v>0</v>
      </c>
      <c r="S54" s="890"/>
      <c r="T54" s="878"/>
      <c r="U54" s="878" t="str">
        <f ca="1">IFERROR(__xludf.DUMMYFUNCTION("""COMPUTED_VALUE"""),"#VALUE!")</f>
        <v>#VALUE!</v>
      </c>
      <c r="V54" s="879"/>
      <c r="W54" s="891"/>
      <c r="X54" s="881">
        <f ca="1">IFERROR(__xludf.DUMMYFUNCTION("""COMPUTED_VALUE"""),20)</f>
        <v>20</v>
      </c>
      <c r="Y54" s="887"/>
      <c r="Z54" s="880"/>
      <c r="AA54" s="883">
        <f ca="1">IFERROR(__xludf.DUMMYFUNCTION("""COMPUTED_VALUE"""),0)</f>
        <v>0</v>
      </c>
      <c r="AB54" s="887"/>
      <c r="AC54" s="880"/>
      <c r="AD54" s="881">
        <f ca="1">IFERROR(__xludf.DUMMYFUNCTION("""COMPUTED_VALUE"""),1)</f>
        <v>1</v>
      </c>
      <c r="AE54" s="887"/>
      <c r="AF54" s="880"/>
      <c r="AG54" s="881">
        <f ca="1">IFERROR(__xludf.DUMMYFUNCTION("""COMPUTED_VALUE"""),1)</f>
        <v>1</v>
      </c>
      <c r="AH54" s="887"/>
      <c r="AI54" s="880"/>
      <c r="AJ54" s="881">
        <f ca="1">IFERROR(__xludf.DUMMYFUNCTION("""COMPUTED_VALUE"""),0)</f>
        <v>0</v>
      </c>
      <c r="AK54" s="887"/>
    </row>
    <row r="55" spans="1:37" ht="30" customHeight="1">
      <c r="A55" s="370">
        <v>50</v>
      </c>
      <c r="B55" s="888" t="s">
        <v>201</v>
      </c>
      <c r="C55" s="455" t="str">
        <f ca="1">IFERROR(__xludf.DUMMYFUNCTION("""COMPUTED_VALUE"""),"Dr. Eng. Ir Yuyun, S.Kom., M.T")</f>
        <v>Dr. Eng. Ir Yuyun, S.Kom., M.T</v>
      </c>
      <c r="D55" s="870"/>
      <c r="E55" s="871"/>
      <c r="F55" s="871">
        <f ca="1">IFERROR(__xludf.DUMMYFUNCTION("""COMPUTED_VALUE"""),0)</f>
        <v>0</v>
      </c>
      <c r="G55" s="871"/>
      <c r="H55" s="872"/>
      <c r="I55" s="872">
        <f ca="1">IFERROR(__xludf.DUMMYFUNCTION("""COMPUTED_VALUE"""),2)</f>
        <v>2</v>
      </c>
      <c r="J55" s="873"/>
      <c r="K55" s="874"/>
      <c r="L55" s="874">
        <f ca="1">IFERROR(__xludf.DUMMYFUNCTION("""COMPUTED_VALUE"""),4)</f>
        <v>4</v>
      </c>
      <c r="M55" s="886"/>
      <c r="N55" s="876"/>
      <c r="O55" s="876">
        <f ca="1">IFERROR(__xludf.DUMMYFUNCTION("""COMPUTED_VALUE"""),0)</f>
        <v>0</v>
      </c>
      <c r="P55" s="889"/>
      <c r="Q55" s="890"/>
      <c r="R55" s="877">
        <f ca="1">IFERROR(__xludf.DUMMYFUNCTION("""COMPUTED_VALUE"""),0)</f>
        <v>0</v>
      </c>
      <c r="S55" s="890"/>
      <c r="T55" s="878"/>
      <c r="U55" s="878" t="str">
        <f ca="1">IFERROR(__xludf.DUMMYFUNCTION("""COMPUTED_VALUE"""),"#VALUE!")</f>
        <v>#VALUE!</v>
      </c>
      <c r="V55" s="879"/>
      <c r="W55" s="891"/>
      <c r="X55" s="881">
        <f ca="1">IFERROR(__xludf.DUMMYFUNCTION("""COMPUTED_VALUE"""),4)</f>
        <v>4</v>
      </c>
      <c r="Y55" s="887"/>
      <c r="Z55" s="880"/>
      <c r="AA55" s="883">
        <f ca="1">IFERROR(__xludf.DUMMYFUNCTION("""COMPUTED_VALUE"""),0)</f>
        <v>0</v>
      </c>
      <c r="AB55" s="887"/>
      <c r="AC55" s="880"/>
      <c r="AD55" s="881">
        <f ca="1">IFERROR(__xludf.DUMMYFUNCTION("""COMPUTED_VALUE"""),2)</f>
        <v>2</v>
      </c>
      <c r="AE55" s="887"/>
      <c r="AF55" s="880"/>
      <c r="AG55" s="881">
        <f ca="1">IFERROR(__xludf.DUMMYFUNCTION("""COMPUTED_VALUE"""),0)</f>
        <v>0</v>
      </c>
      <c r="AH55" s="887"/>
      <c r="AI55" s="880"/>
      <c r="AJ55" s="881">
        <f ca="1">IFERROR(__xludf.DUMMYFUNCTION("""COMPUTED_VALUE"""),1)</f>
        <v>1</v>
      </c>
      <c r="AK55" s="887"/>
    </row>
    <row r="56" spans="1:37" ht="30" customHeight="1">
      <c r="A56" s="370">
        <v>51</v>
      </c>
      <c r="B56" s="885" t="s">
        <v>67</v>
      </c>
      <c r="C56" s="455" t="str">
        <f ca="1">IFERROR(__xludf.DUMMYFUNCTION("""COMPUTED_VALUE"""),"Drs. Zain Saifullah, M.Sc.")</f>
        <v>Drs. Zain Saifullah, M.Sc.</v>
      </c>
      <c r="D56" s="870"/>
      <c r="E56" s="871"/>
      <c r="F56" s="871">
        <f ca="1">IFERROR(__xludf.DUMMYFUNCTION("""COMPUTED_VALUE"""),0)</f>
        <v>0</v>
      </c>
      <c r="G56" s="871"/>
      <c r="H56" s="872"/>
      <c r="I56" s="872">
        <f ca="1">IFERROR(__xludf.DUMMYFUNCTION("""COMPUTED_VALUE"""),0)</f>
        <v>0</v>
      </c>
      <c r="J56" s="873"/>
      <c r="K56" s="874"/>
      <c r="L56" s="874">
        <f ca="1">IFERROR(__xludf.DUMMYFUNCTION("""COMPUTED_VALUE"""),0)</f>
        <v>0</v>
      </c>
      <c r="M56" s="886"/>
      <c r="N56" s="876"/>
      <c r="O56" s="876">
        <f ca="1">IFERROR(__xludf.DUMMYFUNCTION("""COMPUTED_VALUE"""),0)</f>
        <v>0</v>
      </c>
      <c r="P56" s="889"/>
      <c r="Q56" s="890"/>
      <c r="R56" s="877">
        <f ca="1">IFERROR(__xludf.DUMMYFUNCTION("""COMPUTED_VALUE"""),0)</f>
        <v>0</v>
      </c>
      <c r="S56" s="890"/>
      <c r="T56" s="878"/>
      <c r="U56" s="878" t="str">
        <f ca="1">IFERROR(__xludf.DUMMYFUNCTION("""COMPUTED_VALUE"""),"#VALUE!")</f>
        <v>#VALUE!</v>
      </c>
      <c r="V56" s="879"/>
      <c r="W56" s="891"/>
      <c r="X56" s="881">
        <f ca="1">IFERROR(__xludf.DUMMYFUNCTION("""COMPUTED_VALUE"""),0)</f>
        <v>0</v>
      </c>
      <c r="Y56" s="887"/>
      <c r="Z56" s="880"/>
      <c r="AA56" s="883">
        <f ca="1">IFERROR(__xludf.DUMMYFUNCTION("""COMPUTED_VALUE"""),0)</f>
        <v>0</v>
      </c>
      <c r="AB56" s="887"/>
      <c r="AC56" s="880"/>
      <c r="AD56" s="881">
        <f ca="1">IFERROR(__xludf.DUMMYFUNCTION("""COMPUTED_VALUE"""),2)</f>
        <v>2</v>
      </c>
      <c r="AE56" s="887"/>
      <c r="AF56" s="880"/>
      <c r="AG56" s="881">
        <f ca="1">IFERROR(__xludf.DUMMYFUNCTION("""COMPUTED_VALUE"""),0)</f>
        <v>0</v>
      </c>
      <c r="AH56" s="887"/>
      <c r="AI56" s="880"/>
      <c r="AJ56" s="881">
        <f ca="1">IFERROR(__xludf.DUMMYFUNCTION("""COMPUTED_VALUE"""),0)</f>
        <v>0</v>
      </c>
      <c r="AK56" s="887"/>
    </row>
    <row r="57" spans="1:37" ht="22.5" customHeight="1">
      <c r="A57" s="370">
        <v>52</v>
      </c>
      <c r="B57" s="885" t="s">
        <v>49</v>
      </c>
      <c r="C57" s="455" t="str">
        <f ca="1">IFERROR(__xludf.DUMMYFUNCTION("""COMPUTED_VALUE"""),"Rahardito Dio Prastowo, S.T.
")</f>
        <v xml:space="preserve">Rahardito Dio Prastowo, S.T.
</v>
      </c>
      <c r="D57" s="870"/>
      <c r="E57" s="871"/>
      <c r="F57" s="871"/>
      <c r="G57" s="871"/>
      <c r="H57" s="872"/>
      <c r="I57" s="872"/>
      <c r="J57" s="873"/>
      <c r="K57" s="874"/>
      <c r="L57" s="874"/>
      <c r="M57" s="886"/>
      <c r="N57" s="876"/>
      <c r="O57" s="876"/>
      <c r="P57" s="889"/>
      <c r="Q57" s="890"/>
      <c r="R57" s="877"/>
      <c r="S57" s="890"/>
      <c r="T57" s="878"/>
      <c r="U57" s="878"/>
      <c r="V57" s="879"/>
      <c r="W57" s="891"/>
      <c r="X57" s="881"/>
      <c r="Y57" s="887"/>
      <c r="Z57" s="880"/>
      <c r="AA57" s="883"/>
      <c r="AB57" s="887"/>
      <c r="AC57" s="880"/>
      <c r="AD57" s="881">
        <f ca="1">IFERROR(__xludf.DUMMYFUNCTION("""COMPUTED_VALUE"""),0)</f>
        <v>0</v>
      </c>
      <c r="AE57" s="887"/>
      <c r="AF57" s="880"/>
      <c r="AG57" s="881">
        <f ca="1">IFERROR(__xludf.DUMMYFUNCTION("""COMPUTED_VALUE"""),0)</f>
        <v>0</v>
      </c>
      <c r="AH57" s="887"/>
      <c r="AI57" s="880"/>
      <c r="AJ57" s="881">
        <f ca="1">IFERROR(__xludf.DUMMYFUNCTION("""COMPUTED_VALUE"""),0)</f>
        <v>0</v>
      </c>
      <c r="AK57" s="887"/>
    </row>
    <row r="58" spans="1:37" ht="22.5" customHeight="1">
      <c r="A58" s="370">
        <v>53</v>
      </c>
      <c r="B58" s="885" t="s">
        <v>49</v>
      </c>
      <c r="C58" s="455" t="str">
        <f ca="1">IFERROR(__xludf.DUMMYFUNCTION("""COMPUTED_VALUE"""),"Tedy Mutakin, S.T.
")</f>
        <v xml:space="preserve">Tedy Mutakin, S.T.
</v>
      </c>
      <c r="D58" s="870"/>
      <c r="E58" s="871"/>
      <c r="F58" s="871"/>
      <c r="G58" s="871"/>
      <c r="H58" s="872"/>
      <c r="I58" s="872"/>
      <c r="J58" s="873"/>
      <c r="K58" s="874"/>
      <c r="L58" s="874"/>
      <c r="M58" s="886"/>
      <c r="N58" s="876"/>
      <c r="O58" s="876"/>
      <c r="P58" s="889"/>
      <c r="Q58" s="890"/>
      <c r="R58" s="877"/>
      <c r="S58" s="890"/>
      <c r="T58" s="878"/>
      <c r="U58" s="878"/>
      <c r="V58" s="879"/>
      <c r="W58" s="891"/>
      <c r="X58" s="881"/>
      <c r="Y58" s="887"/>
      <c r="Z58" s="880"/>
      <c r="AA58" s="883"/>
      <c r="AB58" s="887"/>
      <c r="AC58" s="880"/>
      <c r="AD58" s="881">
        <f ca="1">IFERROR(__xludf.DUMMYFUNCTION("""COMPUTED_VALUE"""),0)</f>
        <v>0</v>
      </c>
      <c r="AE58" s="887"/>
      <c r="AF58" s="880"/>
      <c r="AG58" s="881">
        <f ca="1">IFERROR(__xludf.DUMMYFUNCTION("""COMPUTED_VALUE"""),0)</f>
        <v>0</v>
      </c>
      <c r="AH58" s="887"/>
      <c r="AI58" s="880"/>
      <c r="AJ58" s="881">
        <f ca="1">IFERROR(__xludf.DUMMYFUNCTION("""COMPUTED_VALUE"""),0)</f>
        <v>0</v>
      </c>
      <c r="AK58" s="887"/>
    </row>
    <row r="59" spans="1:37" ht="22.5" customHeight="1">
      <c r="A59" s="370">
        <v>54</v>
      </c>
      <c r="B59" s="538" t="s">
        <v>58</v>
      </c>
      <c r="C59" s="455" t="str">
        <f ca="1">IFERROR(__xludf.DUMMYFUNCTION("""COMPUTED_VALUE"""),"Aang Gunawan S, S.Kom., M.T.")</f>
        <v>Aang Gunawan S, S.Kom., M.T.</v>
      </c>
      <c r="D59" s="870"/>
      <c r="E59" s="871"/>
      <c r="F59" s="871"/>
      <c r="G59" s="871"/>
      <c r="H59" s="872"/>
      <c r="I59" s="872"/>
      <c r="J59" s="873"/>
      <c r="K59" s="874"/>
      <c r="L59" s="874"/>
      <c r="M59" s="886"/>
      <c r="N59" s="876"/>
      <c r="O59" s="876"/>
      <c r="P59" s="889"/>
      <c r="Q59" s="890"/>
      <c r="R59" s="877"/>
      <c r="S59" s="890"/>
      <c r="T59" s="878"/>
      <c r="U59" s="878"/>
      <c r="V59" s="879"/>
      <c r="W59" s="891"/>
      <c r="X59" s="881"/>
      <c r="Y59" s="887"/>
      <c r="Z59" s="880"/>
      <c r="AA59" s="883"/>
      <c r="AB59" s="887"/>
      <c r="AC59" s="880"/>
      <c r="AD59" s="881">
        <f ca="1">IFERROR(__xludf.DUMMYFUNCTION("""COMPUTED_VALUE"""),2)</f>
        <v>2</v>
      </c>
      <c r="AE59" s="887"/>
      <c r="AF59" s="880"/>
      <c r="AG59" s="881">
        <f ca="1">IFERROR(__xludf.DUMMYFUNCTION("""COMPUTED_VALUE"""),0)</f>
        <v>0</v>
      </c>
      <c r="AH59" s="887"/>
      <c r="AI59" s="880"/>
      <c r="AJ59" s="881">
        <f ca="1">IFERROR(__xludf.DUMMYFUNCTION("""COMPUTED_VALUE"""),0)</f>
        <v>0</v>
      </c>
      <c r="AK59" s="887"/>
    </row>
    <row r="60" spans="1:37" ht="22.5" customHeight="1">
      <c r="A60" s="370">
        <v>55</v>
      </c>
      <c r="B60" s="538" t="s">
        <v>67</v>
      </c>
      <c r="C60" s="455" t="str">
        <f ca="1">IFERROR(__xludf.DUMMYFUNCTION("""COMPUTED_VALUE"""),"Rival Adrian Juliansyah, S.Kom.
")</f>
        <v xml:space="preserve">Rival Adrian Juliansyah, S.Kom.
</v>
      </c>
      <c r="D60" s="870"/>
      <c r="E60" s="871"/>
      <c r="F60" s="871"/>
      <c r="G60" s="871"/>
      <c r="H60" s="872"/>
      <c r="I60" s="872"/>
      <c r="J60" s="873"/>
      <c r="K60" s="874"/>
      <c r="L60" s="874"/>
      <c r="M60" s="886"/>
      <c r="N60" s="876"/>
      <c r="O60" s="876"/>
      <c r="P60" s="889"/>
      <c r="Q60" s="890"/>
      <c r="R60" s="877"/>
      <c r="S60" s="890"/>
      <c r="T60" s="878"/>
      <c r="U60" s="878"/>
      <c r="V60" s="879"/>
      <c r="W60" s="891"/>
      <c r="X60" s="881"/>
      <c r="Y60" s="887"/>
      <c r="Z60" s="880"/>
      <c r="AA60" s="883"/>
      <c r="AB60" s="887"/>
      <c r="AC60" s="880"/>
      <c r="AD60" s="881">
        <f ca="1">IFERROR(__xludf.DUMMYFUNCTION("""COMPUTED_VALUE"""),0)</f>
        <v>0</v>
      </c>
      <c r="AE60" s="887"/>
      <c r="AF60" s="880"/>
      <c r="AG60" s="881">
        <f ca="1">IFERROR(__xludf.DUMMYFUNCTION("""COMPUTED_VALUE"""),0)</f>
        <v>0</v>
      </c>
      <c r="AH60" s="887"/>
      <c r="AI60" s="880"/>
      <c r="AJ60" s="881">
        <f ca="1">IFERROR(__xludf.DUMMYFUNCTION("""COMPUTED_VALUE"""),0)</f>
        <v>0</v>
      </c>
      <c r="AK60" s="887"/>
    </row>
    <row r="61" spans="1:37" ht="22.5" customHeight="1">
      <c r="A61" s="898"/>
      <c r="B61" s="328"/>
      <c r="C61" s="455" t="str">
        <f ca="1">IFERROR(__xludf.DUMMYFUNCTION("""COMPUTED_VALUE"""),"Halim Hamadi")</f>
        <v>Halim Hamadi</v>
      </c>
      <c r="D61" s="870"/>
      <c r="E61" s="871"/>
      <c r="F61" s="871"/>
      <c r="G61" s="871"/>
      <c r="H61" s="872"/>
      <c r="I61" s="872"/>
      <c r="J61" s="873"/>
      <c r="K61" s="874"/>
      <c r="L61" s="874"/>
      <c r="M61" s="886"/>
      <c r="N61" s="876"/>
      <c r="O61" s="876"/>
      <c r="P61" s="889"/>
      <c r="Q61" s="890"/>
      <c r="R61" s="877"/>
      <c r="S61" s="890"/>
      <c r="T61" s="878"/>
      <c r="U61" s="878"/>
      <c r="V61" s="879"/>
      <c r="W61" s="891"/>
      <c r="X61" s="881"/>
      <c r="Y61" s="887"/>
      <c r="Z61" s="880"/>
      <c r="AA61" s="883"/>
      <c r="AB61" s="887"/>
      <c r="AC61" s="880"/>
      <c r="AD61" s="881">
        <f ca="1">IFERROR(__xludf.DUMMYFUNCTION("""COMPUTED_VALUE"""),0)</f>
        <v>0</v>
      </c>
      <c r="AE61" s="887"/>
      <c r="AF61" s="880"/>
      <c r="AG61" s="881">
        <f ca="1">IFERROR(__xludf.DUMMYFUNCTION("""COMPUTED_VALUE"""),0)</f>
        <v>0</v>
      </c>
      <c r="AH61" s="887"/>
      <c r="AI61" s="880"/>
      <c r="AJ61" s="881">
        <f ca="1">IFERROR(__xludf.DUMMYFUNCTION("""COMPUTED_VALUE"""),0)</f>
        <v>0</v>
      </c>
      <c r="AK61" s="887"/>
    </row>
    <row r="62" spans="1:37" ht="22.5" customHeight="1">
      <c r="A62" s="898"/>
      <c r="B62" s="370"/>
      <c r="C62" s="455" t="str">
        <f ca="1">IFERROR(__xludf.DUMMYFUNCTION("""COMPUTED_VALUE"""),"Muhamad Jafar Elly")</f>
        <v>Muhamad Jafar Elly</v>
      </c>
      <c r="D62" s="870"/>
      <c r="E62" s="871"/>
      <c r="F62" s="871"/>
      <c r="G62" s="871"/>
      <c r="H62" s="872"/>
      <c r="I62" s="872"/>
      <c r="J62" s="873"/>
      <c r="K62" s="874"/>
      <c r="L62" s="874"/>
      <c r="M62" s="886"/>
      <c r="N62" s="876"/>
      <c r="O62" s="876"/>
      <c r="P62" s="889"/>
      <c r="Q62" s="890"/>
      <c r="R62" s="877"/>
      <c r="S62" s="890"/>
      <c r="T62" s="878"/>
      <c r="U62" s="878"/>
      <c r="V62" s="879"/>
      <c r="W62" s="891"/>
      <c r="X62" s="881"/>
      <c r="Y62" s="887"/>
      <c r="Z62" s="880"/>
      <c r="AA62" s="883"/>
      <c r="AB62" s="887"/>
      <c r="AC62" s="880"/>
      <c r="AD62" s="881">
        <f ca="1">IFERROR(__xludf.DUMMYFUNCTION("""COMPUTED_VALUE"""),0)</f>
        <v>0</v>
      </c>
      <c r="AE62" s="887"/>
      <c r="AF62" s="880"/>
      <c r="AG62" s="881">
        <f ca="1">IFERROR(__xludf.DUMMYFUNCTION("""COMPUTED_VALUE"""),0)</f>
        <v>0</v>
      </c>
      <c r="AH62" s="887"/>
      <c r="AI62" s="880"/>
      <c r="AJ62" s="881">
        <f ca="1">IFERROR(__xludf.DUMMYFUNCTION("""COMPUTED_VALUE"""),0)</f>
        <v>0</v>
      </c>
      <c r="AK62" s="887"/>
    </row>
    <row r="63" spans="1:37" ht="22.5" customHeight="1">
      <c r="A63" s="898"/>
      <c r="B63" s="370"/>
      <c r="C63" s="455" t="str">
        <f ca="1">IFERROR(__xludf.DUMMYFUNCTION("""COMPUTED_VALUE"""),"Nungki Dian Sulistyo Darmayanti")</f>
        <v>Nungki Dian Sulistyo Darmayanti</v>
      </c>
      <c r="D63" s="870"/>
      <c r="E63" s="871"/>
      <c r="F63" s="871"/>
      <c r="G63" s="871"/>
      <c r="H63" s="872"/>
      <c r="I63" s="872"/>
      <c r="J63" s="873"/>
      <c r="K63" s="874"/>
      <c r="L63" s="874"/>
      <c r="M63" s="886"/>
      <c r="N63" s="876"/>
      <c r="O63" s="876"/>
      <c r="P63" s="889"/>
      <c r="Q63" s="890"/>
      <c r="R63" s="877"/>
      <c r="S63" s="890"/>
      <c r="T63" s="878"/>
      <c r="U63" s="878"/>
      <c r="V63" s="879"/>
      <c r="W63" s="891"/>
      <c r="X63" s="881"/>
      <c r="Y63" s="887"/>
      <c r="Z63" s="880"/>
      <c r="AA63" s="883"/>
      <c r="AB63" s="887"/>
      <c r="AC63" s="880"/>
      <c r="AD63" s="881">
        <f ca="1">IFERROR(__xludf.DUMMYFUNCTION("""COMPUTED_VALUE"""),0)</f>
        <v>0</v>
      </c>
      <c r="AE63" s="887"/>
      <c r="AF63" s="880"/>
      <c r="AG63" s="881">
        <f ca="1">IFERROR(__xludf.DUMMYFUNCTION("""COMPUTED_VALUE"""),0)</f>
        <v>0</v>
      </c>
      <c r="AH63" s="887"/>
      <c r="AI63" s="880"/>
      <c r="AJ63" s="881">
        <f ca="1">IFERROR(__xludf.DUMMYFUNCTION("""COMPUTED_VALUE"""),0)</f>
        <v>0</v>
      </c>
      <c r="AK63" s="887"/>
    </row>
    <row r="64" spans="1:37" ht="22.5" customHeight="1">
      <c r="A64" s="898"/>
      <c r="B64" s="370" t="s">
        <v>201</v>
      </c>
      <c r="C64" s="455" t="str">
        <f ca="1">IFERROR(__xludf.DUMMYFUNCTION("""COMPUTED_VALUE"""),"Yaniasih")</f>
        <v>Yaniasih</v>
      </c>
      <c r="D64" s="870"/>
      <c r="E64" s="871"/>
      <c r="F64" s="871"/>
      <c r="G64" s="871"/>
      <c r="H64" s="872"/>
      <c r="I64" s="872"/>
      <c r="J64" s="873"/>
      <c r="K64" s="874"/>
      <c r="L64" s="874"/>
      <c r="M64" s="886"/>
      <c r="N64" s="876"/>
      <c r="O64" s="876"/>
      <c r="P64" s="889"/>
      <c r="Q64" s="890"/>
      <c r="R64" s="877"/>
      <c r="S64" s="890"/>
      <c r="T64" s="878"/>
      <c r="U64" s="878"/>
      <c r="V64" s="879"/>
      <c r="W64" s="891"/>
      <c r="X64" s="881"/>
      <c r="Y64" s="887"/>
      <c r="Z64" s="880"/>
      <c r="AA64" s="883"/>
      <c r="AB64" s="887"/>
      <c r="AC64" s="880"/>
      <c r="AD64" s="881">
        <f ca="1">IFERROR(__xludf.DUMMYFUNCTION("""COMPUTED_VALUE"""),1)</f>
        <v>1</v>
      </c>
      <c r="AE64" s="887"/>
      <c r="AF64" s="880"/>
      <c r="AG64" s="881">
        <f ca="1">IFERROR(__xludf.DUMMYFUNCTION("""COMPUTED_VALUE"""),0)</f>
        <v>0</v>
      </c>
      <c r="AH64" s="887"/>
      <c r="AI64" s="880"/>
      <c r="AJ64" s="881">
        <f ca="1">IFERROR(__xludf.DUMMYFUNCTION("""COMPUTED_VALUE"""),0)</f>
        <v>0</v>
      </c>
      <c r="AK64" s="887"/>
    </row>
    <row r="65" spans="1:37" ht="22.5" customHeight="1">
      <c r="A65" s="898"/>
      <c r="B65" s="370"/>
      <c r="C65" s="455" t="str">
        <f ca="1">IFERROR(__xludf.DUMMYFUNCTION("""COMPUTED_VALUE"""),"Dr. Ekawati Marlina, S.T., M.T.")</f>
        <v>Dr. Ekawati Marlina, S.T., M.T.</v>
      </c>
      <c r="D65" s="870"/>
      <c r="E65" s="871"/>
      <c r="F65" s="871"/>
      <c r="G65" s="871"/>
      <c r="H65" s="872"/>
      <c r="I65" s="872"/>
      <c r="J65" s="873"/>
      <c r="K65" s="874"/>
      <c r="L65" s="874"/>
      <c r="M65" s="886"/>
      <c r="N65" s="876"/>
      <c r="O65" s="876"/>
      <c r="P65" s="889"/>
      <c r="Q65" s="890"/>
      <c r="R65" s="877"/>
      <c r="S65" s="890"/>
      <c r="T65" s="878"/>
      <c r="U65" s="878"/>
      <c r="V65" s="879"/>
      <c r="W65" s="891"/>
      <c r="X65" s="881"/>
      <c r="Y65" s="887"/>
      <c r="Z65" s="880"/>
      <c r="AA65" s="883"/>
      <c r="AB65" s="887"/>
      <c r="AC65" s="880"/>
      <c r="AD65" s="881">
        <f ca="1">IFERROR(__xludf.DUMMYFUNCTION("""COMPUTED_VALUE"""),0)</f>
        <v>0</v>
      </c>
      <c r="AE65" s="887"/>
      <c r="AF65" s="880"/>
      <c r="AG65" s="881">
        <f ca="1">IFERROR(__xludf.DUMMYFUNCTION("""COMPUTED_VALUE"""),0)</f>
        <v>0</v>
      </c>
      <c r="AH65" s="887"/>
      <c r="AI65" s="880"/>
      <c r="AJ65" s="881">
        <f ca="1">IFERROR(__xludf.DUMMYFUNCTION("""COMPUTED_VALUE"""),0)</f>
        <v>0</v>
      </c>
      <c r="AK65" s="887"/>
    </row>
    <row r="66" spans="1:37" ht="22.5" customHeight="1">
      <c r="A66" s="898"/>
      <c r="B66" s="370"/>
      <c r="C66" s="455" t="str">
        <f ca="1">IFERROR(__xludf.DUMMYFUNCTION("""COMPUTED_VALUE"""),"Ira Maryati")</f>
        <v>Ira Maryati</v>
      </c>
      <c r="D66" s="870"/>
      <c r="E66" s="871"/>
      <c r="F66" s="871"/>
      <c r="G66" s="871"/>
      <c r="H66" s="872"/>
      <c r="I66" s="872"/>
      <c r="J66" s="873"/>
      <c r="K66" s="874"/>
      <c r="L66" s="874"/>
      <c r="M66" s="886"/>
      <c r="N66" s="876"/>
      <c r="O66" s="876"/>
      <c r="P66" s="889"/>
      <c r="Q66" s="890"/>
      <c r="R66" s="877"/>
      <c r="S66" s="890"/>
      <c r="T66" s="878"/>
      <c r="U66" s="878"/>
      <c r="V66" s="879"/>
      <c r="W66" s="891"/>
      <c r="X66" s="881"/>
      <c r="Y66" s="887"/>
      <c r="Z66" s="880"/>
      <c r="AA66" s="883"/>
      <c r="AB66" s="887"/>
      <c r="AC66" s="880"/>
      <c r="AD66" s="883"/>
      <c r="AE66" s="887"/>
      <c r="AF66" s="880"/>
      <c r="AG66" s="883"/>
      <c r="AH66" s="887"/>
      <c r="AI66" s="880"/>
      <c r="AJ66" s="883"/>
      <c r="AK66" s="887"/>
    </row>
    <row r="67" spans="1:37" ht="22.5" customHeight="1">
      <c r="A67" s="898"/>
      <c r="B67" s="370"/>
      <c r="C67" s="455" t="str">
        <f ca="1">IFERROR(__xludf.DUMMYFUNCTION("""COMPUTED_VALUE"""),"Lyla Ruslana Aini")</f>
        <v>Lyla Ruslana Aini</v>
      </c>
      <c r="D67" s="870"/>
      <c r="E67" s="871"/>
      <c r="F67" s="871"/>
      <c r="G67" s="871"/>
      <c r="H67" s="872"/>
      <c r="I67" s="872"/>
      <c r="J67" s="873"/>
      <c r="K67" s="874"/>
      <c r="L67" s="874"/>
      <c r="M67" s="886"/>
      <c r="N67" s="876"/>
      <c r="O67" s="876"/>
      <c r="P67" s="889"/>
      <c r="Q67" s="890"/>
      <c r="R67" s="877"/>
      <c r="S67" s="890"/>
      <c r="T67" s="878"/>
      <c r="U67" s="878"/>
      <c r="V67" s="879"/>
      <c r="W67" s="891"/>
      <c r="X67" s="881"/>
      <c r="Y67" s="887"/>
      <c r="Z67" s="880"/>
      <c r="AA67" s="883"/>
      <c r="AB67" s="887"/>
      <c r="AC67" s="880"/>
      <c r="AD67" s="883"/>
      <c r="AE67" s="887"/>
      <c r="AF67" s="880"/>
      <c r="AG67" s="883"/>
      <c r="AH67" s="887"/>
      <c r="AI67" s="880"/>
      <c r="AJ67" s="883"/>
      <c r="AK67" s="887"/>
    </row>
    <row r="68" spans="1:37" ht="22.5" customHeight="1">
      <c r="A68" s="898"/>
      <c r="B68" s="370"/>
      <c r="C68" s="455" t="str">
        <f ca="1">IFERROR(__xludf.DUMMYFUNCTION("""COMPUTED_VALUE"""),"Nuryani")</f>
        <v>Nuryani</v>
      </c>
      <c r="D68" s="870"/>
      <c r="E68" s="871"/>
      <c r="F68" s="871"/>
      <c r="G68" s="871"/>
      <c r="H68" s="872"/>
      <c r="I68" s="872"/>
      <c r="J68" s="873"/>
      <c r="K68" s="874"/>
      <c r="L68" s="874"/>
      <c r="M68" s="886"/>
      <c r="N68" s="876"/>
      <c r="O68" s="876"/>
      <c r="P68" s="889"/>
      <c r="Q68" s="890"/>
      <c r="R68" s="877"/>
      <c r="S68" s="890"/>
      <c r="T68" s="878"/>
      <c r="U68" s="878"/>
      <c r="V68" s="879"/>
      <c r="W68" s="891"/>
      <c r="X68" s="881"/>
      <c r="Y68" s="887"/>
      <c r="Z68" s="880"/>
      <c r="AA68" s="883"/>
      <c r="AB68" s="887"/>
      <c r="AC68" s="880"/>
      <c r="AD68" s="883"/>
      <c r="AE68" s="887"/>
      <c r="AF68" s="880"/>
      <c r="AG68" s="883"/>
      <c r="AH68" s="887"/>
      <c r="AI68" s="880"/>
      <c r="AJ68" s="883"/>
      <c r="AK68" s="887"/>
    </row>
    <row r="69" spans="1:37" ht="22.5" customHeight="1">
      <c r="A69" s="898"/>
      <c r="B69" s="370"/>
      <c r="C69" s="455" t="str">
        <f ca="1">IFERROR(__xludf.DUMMYFUNCTION("""COMPUTED_VALUE"""),"Harnum Annisa Prafitia, S.Si ")</f>
        <v xml:space="preserve">Harnum Annisa Prafitia, S.Si </v>
      </c>
      <c r="D69" s="870"/>
      <c r="E69" s="871"/>
      <c r="F69" s="871"/>
      <c r="G69" s="871"/>
      <c r="H69" s="872"/>
      <c r="I69" s="872"/>
      <c r="J69" s="873"/>
      <c r="K69" s="874"/>
      <c r="L69" s="874"/>
      <c r="M69" s="886"/>
      <c r="N69" s="876"/>
      <c r="O69" s="876"/>
      <c r="P69" s="889"/>
      <c r="Q69" s="890"/>
      <c r="R69" s="877"/>
      <c r="S69" s="890"/>
      <c r="T69" s="878"/>
      <c r="U69" s="878"/>
      <c r="V69" s="879"/>
      <c r="W69" s="891"/>
      <c r="X69" s="881"/>
      <c r="Y69" s="887"/>
      <c r="Z69" s="880"/>
      <c r="AA69" s="883"/>
      <c r="AB69" s="887"/>
      <c r="AC69" s="880"/>
      <c r="AD69" s="883"/>
      <c r="AE69" s="887"/>
      <c r="AF69" s="880"/>
      <c r="AG69" s="883"/>
      <c r="AH69" s="887"/>
      <c r="AI69" s="880"/>
      <c r="AJ69" s="883"/>
      <c r="AK69" s="887"/>
    </row>
    <row r="70" spans="1:37" ht="22.5" customHeight="1">
      <c r="A70" s="898"/>
      <c r="B70" s="370"/>
      <c r="C70" s="455"/>
      <c r="D70" s="870"/>
      <c r="E70" s="871"/>
      <c r="F70" s="871"/>
      <c r="G70" s="871"/>
      <c r="H70" s="872"/>
      <c r="I70" s="872"/>
      <c r="J70" s="873"/>
      <c r="K70" s="874"/>
      <c r="L70" s="874"/>
      <c r="M70" s="886"/>
      <c r="N70" s="876"/>
      <c r="O70" s="876"/>
      <c r="P70" s="889"/>
      <c r="Q70" s="890"/>
      <c r="R70" s="877"/>
      <c r="S70" s="890"/>
      <c r="T70" s="878"/>
      <c r="U70" s="878"/>
      <c r="V70" s="879"/>
      <c r="W70" s="891"/>
      <c r="X70" s="881"/>
      <c r="Y70" s="887"/>
      <c r="Z70" s="880"/>
      <c r="AA70" s="883"/>
      <c r="AB70" s="887"/>
      <c r="AC70" s="880"/>
      <c r="AD70" s="883"/>
      <c r="AE70" s="887"/>
      <c r="AF70" s="880"/>
      <c r="AG70" s="883"/>
      <c r="AH70" s="887"/>
      <c r="AI70" s="880"/>
      <c r="AJ70" s="883"/>
      <c r="AK70" s="887"/>
    </row>
    <row r="71" spans="1:37" ht="22.5" customHeight="1">
      <c r="A71" s="370"/>
      <c r="B71" s="370"/>
      <c r="C71" s="455"/>
      <c r="D71" s="870"/>
      <c r="E71" s="871"/>
      <c r="F71" s="871"/>
      <c r="G71" s="871"/>
      <c r="H71" s="872"/>
      <c r="I71" s="872"/>
      <c r="J71" s="873"/>
      <c r="K71" s="874"/>
      <c r="L71" s="874"/>
      <c r="M71" s="886"/>
      <c r="N71" s="876"/>
      <c r="O71" s="876"/>
      <c r="P71" s="889"/>
      <c r="Q71" s="890"/>
      <c r="R71" s="877"/>
      <c r="S71" s="890"/>
      <c r="T71" s="878"/>
      <c r="U71" s="878"/>
      <c r="V71" s="879"/>
      <c r="W71" s="891"/>
      <c r="X71" s="881"/>
      <c r="Y71" s="887"/>
      <c r="Z71" s="880"/>
      <c r="AA71" s="883"/>
      <c r="AB71" s="887"/>
      <c r="AC71" s="880"/>
      <c r="AD71" s="883"/>
      <c r="AE71" s="887"/>
      <c r="AF71" s="880"/>
      <c r="AG71" s="883"/>
      <c r="AH71" s="887"/>
      <c r="AI71" s="880"/>
      <c r="AJ71" s="883"/>
      <c r="AK71" s="887"/>
    </row>
    <row r="72" spans="1:37" ht="22.5" customHeight="1">
      <c r="A72" s="898"/>
      <c r="B72" s="370"/>
      <c r="C72" s="455"/>
      <c r="D72" s="870"/>
      <c r="E72" s="871"/>
      <c r="F72" s="871"/>
      <c r="G72" s="871"/>
      <c r="H72" s="872"/>
      <c r="I72" s="872"/>
      <c r="J72" s="873"/>
      <c r="K72" s="874"/>
      <c r="L72" s="874"/>
      <c r="M72" s="886"/>
      <c r="N72" s="876"/>
      <c r="O72" s="876"/>
      <c r="P72" s="889"/>
      <c r="Q72" s="890"/>
      <c r="R72" s="877"/>
      <c r="S72" s="890"/>
      <c r="T72" s="878"/>
      <c r="U72" s="878"/>
      <c r="V72" s="879"/>
      <c r="W72" s="891"/>
      <c r="X72" s="881"/>
      <c r="Y72" s="887"/>
      <c r="Z72" s="880"/>
      <c r="AA72" s="883"/>
      <c r="AB72" s="887"/>
      <c r="AC72" s="880"/>
      <c r="AD72" s="883"/>
      <c r="AE72" s="887"/>
      <c r="AF72" s="880"/>
      <c r="AG72" s="883"/>
      <c r="AH72" s="887"/>
      <c r="AI72" s="880"/>
      <c r="AJ72" s="883"/>
      <c r="AK72" s="887"/>
    </row>
    <row r="73" spans="1:37" ht="22.5" customHeight="1">
      <c r="A73" s="370"/>
      <c r="B73" s="370"/>
      <c r="C73" s="455"/>
      <c r="D73" s="870"/>
      <c r="E73" s="871"/>
      <c r="F73" s="871"/>
      <c r="G73" s="871"/>
      <c r="H73" s="872"/>
      <c r="I73" s="872"/>
      <c r="J73" s="873"/>
      <c r="K73" s="874"/>
      <c r="L73" s="874"/>
      <c r="M73" s="875"/>
      <c r="N73" s="876"/>
      <c r="O73" s="876"/>
      <c r="P73" s="889"/>
      <c r="Q73" s="890"/>
      <c r="R73" s="877"/>
      <c r="S73" s="890"/>
      <c r="T73" s="878"/>
      <c r="U73" s="878"/>
      <c r="V73" s="879"/>
      <c r="W73" s="891"/>
      <c r="X73" s="881"/>
      <c r="Y73" s="887"/>
      <c r="Z73" s="880"/>
      <c r="AA73" s="883"/>
      <c r="AB73" s="884"/>
      <c r="AC73" s="880"/>
      <c r="AD73" s="883"/>
      <c r="AE73" s="884"/>
      <c r="AF73" s="880"/>
      <c r="AG73" s="883"/>
      <c r="AH73" s="884"/>
      <c r="AI73" s="880"/>
      <c r="AJ73" s="883"/>
      <c r="AK73" s="884"/>
    </row>
    <row r="74" spans="1:37" ht="22.5" customHeight="1">
      <c r="A74" s="898"/>
      <c r="B74" s="370"/>
      <c r="C74" s="455"/>
      <c r="D74" s="870"/>
      <c r="E74" s="871"/>
      <c r="F74" s="871"/>
      <c r="G74" s="871"/>
      <c r="H74" s="872"/>
      <c r="I74" s="872"/>
      <c r="J74" s="873"/>
      <c r="K74" s="874"/>
      <c r="L74" s="874"/>
      <c r="M74" s="886"/>
      <c r="N74" s="876"/>
      <c r="O74" s="876"/>
      <c r="P74" s="889"/>
      <c r="Q74" s="890"/>
      <c r="R74" s="877"/>
      <c r="S74" s="890"/>
      <c r="T74" s="878"/>
      <c r="U74" s="878"/>
      <c r="V74" s="879"/>
      <c r="W74" s="891"/>
      <c r="X74" s="881"/>
      <c r="Y74" s="887"/>
      <c r="Z74" s="880"/>
      <c r="AA74" s="883"/>
      <c r="AB74" s="887"/>
      <c r="AC74" s="880"/>
      <c r="AD74" s="883"/>
      <c r="AE74" s="887"/>
      <c r="AF74" s="880"/>
      <c r="AG74" s="883"/>
      <c r="AH74" s="887"/>
      <c r="AI74" s="880"/>
      <c r="AJ74" s="883"/>
      <c r="AK74" s="887"/>
    </row>
    <row r="75" spans="1:37" ht="22.5" customHeight="1">
      <c r="A75" s="370"/>
      <c r="B75" s="370"/>
      <c r="C75" s="455"/>
      <c r="D75" s="870"/>
      <c r="E75" s="871"/>
      <c r="F75" s="871"/>
      <c r="G75" s="871"/>
      <c r="H75" s="872"/>
      <c r="I75" s="872"/>
      <c r="J75" s="873"/>
      <c r="K75" s="874"/>
      <c r="L75" s="874"/>
      <c r="M75" s="886"/>
      <c r="N75" s="876"/>
      <c r="O75" s="876"/>
      <c r="P75" s="889"/>
      <c r="Q75" s="890"/>
      <c r="R75" s="877"/>
      <c r="S75" s="890"/>
      <c r="T75" s="878"/>
      <c r="U75" s="878"/>
      <c r="V75" s="879"/>
      <c r="W75" s="891"/>
      <c r="X75" s="881"/>
      <c r="Y75" s="887"/>
      <c r="Z75" s="880"/>
      <c r="AA75" s="883"/>
      <c r="AB75" s="887"/>
      <c r="AC75" s="880"/>
      <c r="AD75" s="883"/>
      <c r="AE75" s="887"/>
      <c r="AF75" s="880"/>
      <c r="AG75" s="883"/>
      <c r="AH75" s="887"/>
      <c r="AI75" s="880"/>
      <c r="AJ75" s="883"/>
      <c r="AK75" s="887"/>
    </row>
    <row r="76" spans="1:37" ht="22.5" customHeight="1">
      <c r="A76" s="898"/>
      <c r="B76" s="898"/>
      <c r="C76" s="455"/>
      <c r="D76" s="870"/>
      <c r="E76" s="871"/>
      <c r="F76" s="871"/>
      <c r="G76" s="871"/>
      <c r="H76" s="872"/>
      <c r="I76" s="872"/>
      <c r="J76" s="873"/>
      <c r="K76" s="874"/>
      <c r="L76" s="874"/>
      <c r="M76" s="886"/>
      <c r="N76" s="876"/>
      <c r="O76" s="876"/>
      <c r="P76" s="889"/>
      <c r="Q76" s="890"/>
      <c r="R76" s="877"/>
      <c r="S76" s="890"/>
      <c r="T76" s="878"/>
      <c r="U76" s="878"/>
      <c r="V76" s="879"/>
      <c r="W76" s="891"/>
      <c r="X76" s="881"/>
      <c r="Y76" s="887"/>
      <c r="Z76" s="880"/>
      <c r="AA76" s="883"/>
      <c r="AB76" s="887"/>
      <c r="AC76" s="880"/>
      <c r="AD76" s="883"/>
      <c r="AE76" s="887"/>
      <c r="AF76" s="880"/>
      <c r="AG76" s="883"/>
      <c r="AH76" s="887"/>
      <c r="AI76" s="880"/>
      <c r="AJ76" s="883"/>
      <c r="AK76" s="887"/>
    </row>
    <row r="77" spans="1:37" ht="22.5" customHeight="1">
      <c r="A77" s="370"/>
      <c r="B77" s="899"/>
      <c r="C77" s="455"/>
      <c r="D77" s="870"/>
      <c r="E77" s="871"/>
      <c r="F77" s="871"/>
      <c r="G77" s="871"/>
      <c r="H77" s="872"/>
      <c r="I77" s="872"/>
      <c r="J77" s="873"/>
      <c r="K77" s="874"/>
      <c r="L77" s="874"/>
      <c r="M77" s="886"/>
      <c r="N77" s="876"/>
      <c r="O77" s="876"/>
      <c r="P77" s="889"/>
      <c r="Q77" s="890"/>
      <c r="R77" s="877"/>
      <c r="S77" s="890"/>
      <c r="T77" s="878"/>
      <c r="U77" s="878"/>
      <c r="V77" s="879"/>
      <c r="W77" s="891"/>
      <c r="X77" s="881"/>
      <c r="Y77" s="887"/>
      <c r="Z77" s="880"/>
      <c r="AA77" s="883"/>
      <c r="AB77" s="887"/>
      <c r="AC77" s="880"/>
      <c r="AD77" s="883"/>
      <c r="AE77" s="887"/>
      <c r="AF77" s="880"/>
      <c r="AG77" s="883"/>
      <c r="AH77" s="887"/>
      <c r="AI77" s="880"/>
      <c r="AJ77" s="883"/>
      <c r="AK77" s="887"/>
    </row>
    <row r="78" spans="1:37" ht="22.5" customHeight="1">
      <c r="A78" s="900"/>
      <c r="B78" s="473"/>
      <c r="C78" s="901"/>
      <c r="D78" s="902"/>
      <c r="E78" s="903"/>
      <c r="F78" s="904"/>
      <c r="G78" s="903"/>
      <c r="H78" s="905"/>
      <c r="I78" s="906"/>
      <c r="J78" s="907"/>
      <c r="K78" s="908"/>
      <c r="L78" s="908"/>
      <c r="M78" s="909"/>
      <c r="N78" s="910"/>
      <c r="O78" s="911"/>
      <c r="P78" s="912"/>
      <c r="Q78" s="913"/>
      <c r="R78" s="914"/>
      <c r="S78" s="913"/>
      <c r="T78" s="915"/>
      <c r="U78" s="915"/>
      <c r="V78" s="916"/>
      <c r="W78" s="917"/>
      <c r="X78" s="918"/>
      <c r="Y78" s="919"/>
      <c r="Z78" s="920"/>
      <c r="AA78" s="921"/>
      <c r="AB78" s="922"/>
      <c r="AC78" s="920"/>
      <c r="AD78" s="921"/>
      <c r="AE78" s="922"/>
      <c r="AF78" s="920"/>
      <c r="AG78" s="921"/>
      <c r="AH78" s="922"/>
      <c r="AI78" s="920"/>
      <c r="AJ78" s="921"/>
      <c r="AK78" s="922"/>
    </row>
    <row r="79" spans="1:37" ht="22.5" customHeight="1">
      <c r="A79" s="395"/>
      <c r="B79" s="182"/>
      <c r="C79" s="901"/>
      <c r="D79" s="902"/>
      <c r="E79" s="904"/>
      <c r="F79" s="904"/>
      <c r="G79" s="904"/>
      <c r="H79" s="906"/>
      <c r="I79" s="906"/>
      <c r="J79" s="923"/>
      <c r="K79" s="908"/>
      <c r="L79" s="908"/>
      <c r="M79" s="924"/>
      <c r="N79" s="910"/>
      <c r="O79" s="911"/>
      <c r="P79" s="925"/>
      <c r="Q79" s="926"/>
      <c r="R79" s="914"/>
      <c r="S79" s="926"/>
      <c r="T79" s="915"/>
      <c r="U79" s="915"/>
      <c r="V79" s="916"/>
      <c r="W79" s="927"/>
      <c r="X79" s="918"/>
      <c r="Y79" s="928"/>
      <c r="Z79" s="920"/>
      <c r="AA79" s="921"/>
      <c r="AB79" s="929"/>
      <c r="AC79" s="920"/>
      <c r="AD79" s="921"/>
      <c r="AE79" s="929"/>
      <c r="AF79" s="920"/>
      <c r="AG79" s="921"/>
      <c r="AH79" s="929"/>
      <c r="AI79" s="920"/>
      <c r="AJ79" s="921"/>
      <c r="AK79" s="929"/>
    </row>
    <row r="80" spans="1:37" ht="22.5" customHeight="1">
      <c r="A80" s="900"/>
      <c r="B80" s="182"/>
      <c r="C80" s="901"/>
      <c r="D80" s="930"/>
      <c r="E80" s="903"/>
      <c r="F80" s="904"/>
      <c r="G80" s="903"/>
      <c r="H80" s="905"/>
      <c r="I80" s="906"/>
      <c r="J80" s="931"/>
      <c r="K80" s="908"/>
      <c r="L80" s="908"/>
      <c r="M80" s="909"/>
      <c r="N80" s="910"/>
      <c r="O80" s="911"/>
      <c r="P80" s="925"/>
      <c r="Q80" s="926"/>
      <c r="R80" s="914"/>
      <c r="S80" s="926"/>
      <c r="T80" s="915"/>
      <c r="U80" s="915"/>
      <c r="V80" s="916"/>
      <c r="W80" s="927"/>
      <c r="X80" s="918"/>
      <c r="Y80" s="928"/>
      <c r="Z80" s="920"/>
      <c r="AA80" s="921"/>
      <c r="AB80" s="922"/>
      <c r="AC80" s="920"/>
      <c r="AD80" s="921"/>
      <c r="AE80" s="922"/>
      <c r="AF80" s="920"/>
      <c r="AG80" s="921"/>
      <c r="AH80" s="922"/>
      <c r="AI80" s="920"/>
      <c r="AJ80" s="921"/>
      <c r="AK80" s="922"/>
    </row>
    <row r="81" spans="1:37" ht="15.75" customHeight="1">
      <c r="A81" s="395"/>
      <c r="B81" s="182"/>
      <c r="C81" s="901"/>
      <c r="D81" s="902"/>
      <c r="E81" s="904"/>
      <c r="F81" s="904"/>
      <c r="G81" s="904"/>
      <c r="H81" s="906"/>
      <c r="I81" s="906"/>
      <c r="J81" s="923"/>
      <c r="K81" s="908"/>
      <c r="L81" s="908"/>
      <c r="M81" s="924"/>
      <c r="N81" s="910"/>
      <c r="O81" s="911"/>
      <c r="P81" s="925"/>
      <c r="Q81" s="926"/>
      <c r="R81" s="914"/>
      <c r="S81" s="926"/>
      <c r="T81" s="915"/>
      <c r="U81" s="915"/>
      <c r="V81" s="916"/>
      <c r="W81" s="927"/>
      <c r="X81" s="918"/>
      <c r="Y81" s="928"/>
      <c r="Z81" s="920"/>
      <c r="AA81" s="921"/>
      <c r="AB81" s="929"/>
      <c r="AC81" s="920"/>
      <c r="AD81" s="921"/>
      <c r="AE81" s="929"/>
      <c r="AF81" s="920"/>
      <c r="AG81" s="921"/>
      <c r="AH81" s="929"/>
      <c r="AI81" s="920"/>
      <c r="AJ81" s="921"/>
      <c r="AK81" s="929"/>
    </row>
    <row r="82" spans="1:37" ht="15.75" customHeight="1">
      <c r="A82" s="900"/>
      <c r="B82" s="182"/>
      <c r="C82" s="901"/>
      <c r="D82" s="930"/>
      <c r="E82" s="903"/>
      <c r="F82" s="904"/>
      <c r="G82" s="903"/>
      <c r="H82" s="905"/>
      <c r="I82" s="906"/>
      <c r="J82" s="932"/>
      <c r="K82" s="908"/>
      <c r="L82" s="908"/>
      <c r="M82" s="924"/>
      <c r="N82" s="911"/>
      <c r="O82" s="911"/>
      <c r="P82" s="933"/>
      <c r="Q82" s="934"/>
      <c r="R82" s="914"/>
      <c r="S82" s="934"/>
      <c r="T82" s="915"/>
      <c r="U82" s="915"/>
      <c r="V82" s="935"/>
      <c r="W82" s="936"/>
      <c r="X82" s="918"/>
      <c r="Y82" s="937"/>
      <c r="Z82" s="920"/>
      <c r="AA82" s="921"/>
      <c r="AB82" s="929"/>
      <c r="AC82" s="920"/>
      <c r="AD82" s="921"/>
      <c r="AE82" s="929"/>
      <c r="AF82" s="920"/>
      <c r="AG82" s="921"/>
      <c r="AH82" s="929"/>
      <c r="AI82" s="920"/>
      <c r="AJ82" s="921"/>
      <c r="AK82" s="929"/>
    </row>
    <row r="83" spans="1:37" ht="15.75" customHeight="1">
      <c r="A83" s="395"/>
      <c r="B83" s="182"/>
      <c r="C83" s="901"/>
      <c r="D83" s="930"/>
      <c r="E83" s="903"/>
      <c r="F83" s="904"/>
      <c r="G83" s="903"/>
      <c r="H83" s="905"/>
      <c r="I83" s="906"/>
      <c r="J83" s="932"/>
      <c r="K83" s="908"/>
      <c r="L83" s="908"/>
      <c r="M83" s="909"/>
      <c r="N83" s="911"/>
      <c r="O83" s="911"/>
      <c r="P83" s="933"/>
      <c r="Q83" s="934"/>
      <c r="R83" s="914"/>
      <c r="S83" s="934"/>
      <c r="T83" s="915"/>
      <c r="U83" s="915"/>
      <c r="V83" s="935"/>
      <c r="W83" s="936"/>
      <c r="X83" s="918"/>
      <c r="Y83" s="937"/>
      <c r="Z83" s="920"/>
      <c r="AA83" s="921"/>
      <c r="AB83" s="922"/>
      <c r="AC83" s="920"/>
      <c r="AD83" s="921"/>
      <c r="AE83" s="922"/>
      <c r="AF83" s="920"/>
      <c r="AG83" s="921"/>
      <c r="AH83" s="922"/>
      <c r="AI83" s="920"/>
      <c r="AJ83" s="921"/>
      <c r="AK83" s="922"/>
    </row>
    <row r="84" spans="1:37" ht="15.75" customHeight="1">
      <c r="A84" s="900"/>
      <c r="B84" s="182"/>
      <c r="C84" s="901"/>
      <c r="D84" s="902"/>
      <c r="E84" s="903"/>
      <c r="F84" s="904"/>
      <c r="G84" s="903"/>
      <c r="H84" s="905"/>
      <c r="I84" s="906"/>
      <c r="J84" s="932"/>
      <c r="K84" s="908"/>
      <c r="L84" s="908"/>
      <c r="M84" s="909"/>
      <c r="N84" s="911"/>
      <c r="O84" s="911"/>
      <c r="P84" s="933"/>
      <c r="Q84" s="934"/>
      <c r="R84" s="914"/>
      <c r="S84" s="934"/>
      <c r="T84" s="915"/>
      <c r="U84" s="915"/>
      <c r="V84" s="935"/>
      <c r="W84" s="936"/>
      <c r="X84" s="918"/>
      <c r="Y84" s="937"/>
      <c r="Z84" s="920"/>
      <c r="AA84" s="921"/>
      <c r="AB84" s="922"/>
      <c r="AC84" s="920"/>
      <c r="AD84" s="921"/>
      <c r="AE84" s="922"/>
      <c r="AF84" s="920"/>
      <c r="AG84" s="921"/>
      <c r="AH84" s="922"/>
      <c r="AI84" s="920"/>
      <c r="AJ84" s="921"/>
      <c r="AK84" s="922"/>
    </row>
    <row r="85" spans="1:37" ht="15.75" customHeight="1">
      <c r="A85" s="395"/>
      <c r="B85" s="182"/>
      <c r="C85" s="901"/>
      <c r="D85" s="902"/>
      <c r="E85" s="903"/>
      <c r="F85" s="904"/>
      <c r="G85" s="903"/>
      <c r="H85" s="905"/>
      <c r="I85" s="906"/>
      <c r="J85" s="932"/>
      <c r="K85" s="908"/>
      <c r="L85" s="908"/>
      <c r="M85" s="924"/>
      <c r="N85" s="911"/>
      <c r="O85" s="911"/>
      <c r="P85" s="933"/>
      <c r="Q85" s="934"/>
      <c r="R85" s="914"/>
      <c r="S85" s="934"/>
      <c r="T85" s="915"/>
      <c r="U85" s="915"/>
      <c r="V85" s="935"/>
      <c r="W85" s="936"/>
      <c r="X85" s="918"/>
      <c r="Y85" s="937"/>
      <c r="Z85" s="920"/>
      <c r="AA85" s="921"/>
      <c r="AB85" s="929"/>
      <c r="AC85" s="920"/>
      <c r="AD85" s="921"/>
      <c r="AE85" s="929"/>
      <c r="AF85" s="920"/>
      <c r="AG85" s="921"/>
      <c r="AH85" s="929"/>
      <c r="AI85" s="920"/>
      <c r="AJ85" s="921"/>
      <c r="AK85" s="929"/>
    </row>
    <row r="86" spans="1:37" ht="15.75" customHeight="1">
      <c r="A86" s="900"/>
      <c r="B86" s="182"/>
      <c r="C86" s="901"/>
      <c r="D86" s="902"/>
      <c r="E86" s="903"/>
      <c r="F86" s="904"/>
      <c r="G86" s="903"/>
      <c r="H86" s="905"/>
      <c r="I86" s="906"/>
      <c r="J86" s="932"/>
      <c r="K86" s="908"/>
      <c r="L86" s="908"/>
      <c r="M86" s="909"/>
      <c r="N86" s="910"/>
      <c r="O86" s="911"/>
      <c r="P86" s="925"/>
      <c r="Q86" s="926"/>
      <c r="R86" s="914"/>
      <c r="S86" s="926"/>
      <c r="T86" s="915"/>
      <c r="U86" s="915"/>
      <c r="V86" s="916"/>
      <c r="W86" s="927"/>
      <c r="X86" s="918"/>
      <c r="Y86" s="928"/>
      <c r="Z86" s="920"/>
      <c r="AA86" s="921"/>
      <c r="AB86" s="922"/>
      <c r="AC86" s="920"/>
      <c r="AD86" s="921"/>
      <c r="AE86" s="922"/>
      <c r="AF86" s="920"/>
      <c r="AG86" s="921"/>
      <c r="AH86" s="922"/>
      <c r="AI86" s="920"/>
      <c r="AJ86" s="921"/>
      <c r="AK86" s="922"/>
    </row>
    <row r="87" spans="1:37" ht="15.75" customHeight="1">
      <c r="A87" s="395"/>
      <c r="B87" s="494"/>
      <c r="C87" s="901"/>
      <c r="D87" s="902"/>
      <c r="E87" s="903"/>
      <c r="F87" s="904"/>
      <c r="G87" s="903"/>
      <c r="H87" s="905"/>
      <c r="I87" s="906"/>
      <c r="J87" s="932"/>
      <c r="K87" s="908"/>
      <c r="L87" s="908"/>
      <c r="M87" s="924"/>
      <c r="N87" s="910"/>
      <c r="O87" s="911"/>
      <c r="P87" s="925"/>
      <c r="Q87" s="926"/>
      <c r="R87" s="914"/>
      <c r="S87" s="926"/>
      <c r="T87" s="915"/>
      <c r="U87" s="915"/>
      <c r="V87" s="916"/>
      <c r="W87" s="927"/>
      <c r="X87" s="918"/>
      <c r="Y87" s="928"/>
      <c r="Z87" s="920"/>
      <c r="AA87" s="921"/>
      <c r="AB87" s="929"/>
      <c r="AC87" s="920"/>
      <c r="AD87" s="921"/>
      <c r="AE87" s="929"/>
      <c r="AF87" s="920"/>
      <c r="AG87" s="921"/>
      <c r="AH87" s="929"/>
      <c r="AI87" s="920"/>
      <c r="AJ87" s="921"/>
      <c r="AK87" s="929"/>
    </row>
    <row r="88" spans="1:37" ht="15.75" customHeight="1">
      <c r="A88" s="900"/>
      <c r="B88" s="938"/>
      <c r="C88" s="901"/>
      <c r="D88" s="930"/>
      <c r="E88" s="903"/>
      <c r="F88" s="904"/>
      <c r="G88" s="903"/>
      <c r="H88" s="905"/>
      <c r="I88" s="906"/>
      <c r="J88" s="932"/>
      <c r="K88" s="908"/>
      <c r="L88" s="908"/>
      <c r="M88" s="924"/>
      <c r="N88" s="910"/>
      <c r="O88" s="911"/>
      <c r="P88" s="925"/>
      <c r="Q88" s="926"/>
      <c r="R88" s="914"/>
      <c r="S88" s="926"/>
      <c r="T88" s="915"/>
      <c r="U88" s="915"/>
      <c r="V88" s="916"/>
      <c r="W88" s="927"/>
      <c r="X88" s="918"/>
      <c r="Y88" s="928"/>
      <c r="Z88" s="920"/>
      <c r="AA88" s="921"/>
      <c r="AB88" s="929"/>
      <c r="AC88" s="920"/>
      <c r="AD88" s="921"/>
      <c r="AE88" s="929"/>
      <c r="AF88" s="920"/>
      <c r="AG88" s="921"/>
      <c r="AH88" s="929"/>
      <c r="AI88" s="920"/>
      <c r="AJ88" s="921"/>
      <c r="AK88" s="929"/>
    </row>
    <row r="89" spans="1:37" ht="15.75" customHeight="1">
      <c r="A89" s="395"/>
      <c r="B89" s="473"/>
      <c r="C89" s="901"/>
      <c r="D89" s="930"/>
      <c r="E89" s="903"/>
      <c r="F89" s="904"/>
      <c r="G89" s="903"/>
      <c r="H89" s="905"/>
      <c r="I89" s="906"/>
      <c r="J89" s="932"/>
      <c r="K89" s="908"/>
      <c r="L89" s="908"/>
      <c r="M89" s="909"/>
      <c r="N89" s="910"/>
      <c r="O89" s="911"/>
      <c r="P89" s="925"/>
      <c r="Q89" s="926"/>
      <c r="R89" s="914"/>
      <c r="S89" s="926"/>
      <c r="T89" s="915"/>
      <c r="U89" s="915"/>
      <c r="V89" s="916"/>
      <c r="W89" s="927"/>
      <c r="X89" s="918"/>
      <c r="Y89" s="939"/>
      <c r="Z89" s="920"/>
      <c r="AA89" s="921"/>
      <c r="AB89" s="922"/>
      <c r="AC89" s="920"/>
      <c r="AD89" s="921"/>
      <c r="AE89" s="922"/>
      <c r="AF89" s="920"/>
      <c r="AG89" s="921"/>
      <c r="AH89" s="922"/>
      <c r="AI89" s="920"/>
      <c r="AJ89" s="921"/>
      <c r="AK89" s="922"/>
    </row>
    <row r="90" spans="1:37" ht="15.75" customHeight="1">
      <c r="A90" s="900"/>
      <c r="B90" s="182"/>
      <c r="C90" s="901"/>
      <c r="D90" s="902"/>
      <c r="E90" s="903"/>
      <c r="F90" s="904"/>
      <c r="G90" s="903"/>
      <c r="H90" s="905"/>
      <c r="I90" s="906"/>
      <c r="J90" s="932"/>
      <c r="K90" s="908"/>
      <c r="L90" s="908"/>
      <c r="M90" s="924"/>
      <c r="N90" s="911"/>
      <c r="O90" s="911"/>
      <c r="P90" s="933"/>
      <c r="Q90" s="934"/>
      <c r="R90" s="914"/>
      <c r="S90" s="934"/>
      <c r="T90" s="915"/>
      <c r="U90" s="915"/>
      <c r="V90" s="916"/>
      <c r="W90" s="936"/>
      <c r="X90" s="918"/>
      <c r="Y90" s="922"/>
      <c r="Z90" s="920"/>
      <c r="AA90" s="921"/>
      <c r="AB90" s="929"/>
      <c r="AC90" s="920"/>
      <c r="AD90" s="921"/>
      <c r="AE90" s="929"/>
      <c r="AF90" s="920"/>
      <c r="AG90" s="921"/>
      <c r="AH90" s="929"/>
      <c r="AI90" s="920"/>
      <c r="AJ90" s="921"/>
      <c r="AK90" s="929"/>
    </row>
    <row r="91" spans="1:37" ht="15.75" customHeight="1">
      <c r="A91" s="395"/>
      <c r="B91" s="182"/>
      <c r="C91" s="901"/>
      <c r="D91" s="902"/>
      <c r="E91" s="903"/>
      <c r="F91" s="904"/>
      <c r="G91" s="903"/>
      <c r="H91" s="905"/>
      <c r="I91" s="906"/>
      <c r="J91" s="932"/>
      <c r="K91" s="908"/>
      <c r="L91" s="908"/>
      <c r="M91" s="909"/>
      <c r="N91" s="911"/>
      <c r="O91" s="911"/>
      <c r="P91" s="933"/>
      <c r="Q91" s="934"/>
      <c r="R91" s="914"/>
      <c r="S91" s="934"/>
      <c r="T91" s="915"/>
      <c r="U91" s="915"/>
      <c r="V91" s="935"/>
      <c r="W91" s="936"/>
      <c r="X91" s="918"/>
      <c r="Y91" s="922"/>
      <c r="Z91" s="920"/>
      <c r="AA91" s="921"/>
      <c r="AB91" s="922"/>
      <c r="AC91" s="920"/>
      <c r="AD91" s="921"/>
      <c r="AE91" s="922"/>
      <c r="AF91" s="920"/>
      <c r="AG91" s="921"/>
      <c r="AH91" s="922"/>
      <c r="AI91" s="920"/>
      <c r="AJ91" s="921"/>
      <c r="AK91" s="922"/>
    </row>
    <row r="92" spans="1:37" ht="15.75" customHeight="1">
      <c r="A92" s="900"/>
      <c r="B92" s="182"/>
      <c r="C92" s="901"/>
      <c r="D92" s="930"/>
      <c r="E92" s="904"/>
      <c r="F92" s="904"/>
      <c r="G92" s="904"/>
      <c r="H92" s="906"/>
      <c r="I92" s="906"/>
      <c r="J92" s="923"/>
      <c r="K92" s="908"/>
      <c r="L92" s="908"/>
      <c r="M92" s="924"/>
      <c r="N92" s="911"/>
      <c r="O92" s="911"/>
      <c r="P92" s="933"/>
      <c r="Q92" s="934"/>
      <c r="R92" s="914"/>
      <c r="S92" s="934"/>
      <c r="T92" s="915"/>
      <c r="U92" s="915"/>
      <c r="V92" s="935"/>
      <c r="W92" s="936"/>
      <c r="X92" s="918"/>
      <c r="Y92" s="922"/>
      <c r="Z92" s="920"/>
      <c r="AA92" s="921"/>
      <c r="AB92" s="929"/>
      <c r="AC92" s="920"/>
      <c r="AD92" s="921"/>
      <c r="AE92" s="929"/>
      <c r="AF92" s="920"/>
      <c r="AG92" s="921"/>
      <c r="AH92" s="929"/>
      <c r="AI92" s="920"/>
      <c r="AJ92" s="921"/>
      <c r="AK92" s="929"/>
    </row>
    <row r="93" spans="1:37" ht="15.75" customHeight="1">
      <c r="A93" s="395"/>
      <c r="B93" s="182"/>
      <c r="C93" s="901"/>
      <c r="D93" s="930"/>
      <c r="E93" s="904"/>
      <c r="F93" s="904"/>
      <c r="G93" s="904"/>
      <c r="H93" s="906"/>
      <c r="I93" s="906"/>
      <c r="J93" s="923"/>
      <c r="K93" s="908"/>
      <c r="L93" s="908"/>
      <c r="M93" s="909"/>
      <c r="N93" s="911"/>
      <c r="O93" s="911"/>
      <c r="P93" s="933"/>
      <c r="Q93" s="934"/>
      <c r="R93" s="914"/>
      <c r="S93" s="934"/>
      <c r="T93" s="915"/>
      <c r="U93" s="915"/>
      <c r="V93" s="935"/>
      <c r="W93" s="936"/>
      <c r="X93" s="918"/>
      <c r="Y93" s="922"/>
      <c r="Z93" s="920"/>
      <c r="AA93" s="921"/>
      <c r="AB93" s="922"/>
      <c r="AC93" s="920"/>
      <c r="AD93" s="921"/>
      <c r="AE93" s="922"/>
      <c r="AF93" s="920"/>
      <c r="AG93" s="921"/>
      <c r="AH93" s="922"/>
      <c r="AI93" s="920"/>
      <c r="AJ93" s="921"/>
      <c r="AK93" s="922"/>
    </row>
    <row r="94" spans="1:37" ht="15.75" customHeight="1">
      <c r="A94" s="900"/>
      <c r="B94" s="182"/>
      <c r="C94" s="901"/>
      <c r="D94" s="930"/>
      <c r="E94" s="904"/>
      <c r="F94" s="904"/>
      <c r="G94" s="904"/>
      <c r="H94" s="906"/>
      <c r="I94" s="906"/>
      <c r="J94" s="923"/>
      <c r="K94" s="908"/>
      <c r="L94" s="908"/>
      <c r="M94" s="909"/>
      <c r="N94" s="911"/>
      <c r="O94" s="911"/>
      <c r="P94" s="933"/>
      <c r="Q94" s="934"/>
      <c r="R94" s="914"/>
      <c r="S94" s="934"/>
      <c r="T94" s="915"/>
      <c r="U94" s="915"/>
      <c r="V94" s="935"/>
      <c r="W94" s="936"/>
      <c r="X94" s="918"/>
      <c r="Y94" s="922"/>
      <c r="Z94" s="920"/>
      <c r="AA94" s="921"/>
      <c r="AB94" s="922"/>
      <c r="AC94" s="920"/>
      <c r="AD94" s="921"/>
      <c r="AE94" s="922"/>
      <c r="AF94" s="920"/>
      <c r="AG94" s="921"/>
      <c r="AH94" s="922"/>
      <c r="AI94" s="920"/>
      <c r="AJ94" s="921"/>
      <c r="AK94" s="922"/>
    </row>
    <row r="95" spans="1:37" ht="15.75" customHeight="1">
      <c r="A95" s="395"/>
      <c r="B95" s="182"/>
      <c r="C95" s="901"/>
      <c r="D95" s="930"/>
      <c r="E95" s="903"/>
      <c r="F95" s="904"/>
      <c r="G95" s="903"/>
      <c r="H95" s="905"/>
      <c r="I95" s="906"/>
      <c r="J95" s="932"/>
      <c r="K95" s="908"/>
      <c r="L95" s="908"/>
      <c r="M95" s="909"/>
      <c r="N95" s="911"/>
      <c r="O95" s="911"/>
      <c r="P95" s="933"/>
      <c r="Q95" s="934"/>
      <c r="R95" s="914"/>
      <c r="S95" s="934"/>
      <c r="T95" s="915"/>
      <c r="U95" s="915"/>
      <c r="V95" s="916"/>
      <c r="W95" s="936"/>
      <c r="X95" s="918"/>
      <c r="Y95" s="922"/>
      <c r="Z95" s="920"/>
      <c r="AA95" s="921"/>
      <c r="AB95" s="922"/>
      <c r="AC95" s="920"/>
      <c r="AD95" s="921"/>
      <c r="AE95" s="922"/>
      <c r="AF95" s="920"/>
      <c r="AG95" s="921"/>
      <c r="AH95" s="922"/>
      <c r="AI95" s="920"/>
      <c r="AJ95" s="921"/>
      <c r="AK95" s="922"/>
    </row>
    <row r="96" spans="1:37" ht="15.75" customHeight="1">
      <c r="A96" s="900"/>
      <c r="B96" s="182"/>
      <c r="C96" s="901"/>
      <c r="D96" s="930"/>
      <c r="E96" s="903"/>
      <c r="F96" s="904"/>
      <c r="G96" s="903"/>
      <c r="H96" s="905"/>
      <c r="I96" s="906"/>
      <c r="J96" s="932"/>
      <c r="K96" s="908"/>
      <c r="L96" s="908"/>
      <c r="M96" s="924"/>
      <c r="N96" s="911"/>
      <c r="O96" s="911"/>
      <c r="P96" s="933"/>
      <c r="Q96" s="934"/>
      <c r="R96" s="914"/>
      <c r="S96" s="934"/>
      <c r="T96" s="915"/>
      <c r="U96" s="915"/>
      <c r="V96" s="935"/>
      <c r="W96" s="936"/>
      <c r="X96" s="918"/>
      <c r="Y96" s="922"/>
      <c r="Z96" s="920"/>
      <c r="AA96" s="921"/>
      <c r="AB96" s="929"/>
      <c r="AC96" s="920"/>
      <c r="AD96" s="921"/>
      <c r="AE96" s="929"/>
      <c r="AF96" s="920"/>
      <c r="AG96" s="921"/>
      <c r="AH96" s="929"/>
      <c r="AI96" s="920"/>
      <c r="AJ96" s="921"/>
      <c r="AK96" s="929"/>
    </row>
    <row r="97" spans="1:37" ht="15.75" customHeight="1">
      <c r="A97" s="395"/>
      <c r="B97" s="182"/>
      <c r="C97" s="901"/>
      <c r="D97" s="930"/>
      <c r="E97" s="903"/>
      <c r="F97" s="904"/>
      <c r="G97" s="903"/>
      <c r="H97" s="905"/>
      <c r="I97" s="906"/>
      <c r="J97" s="932"/>
      <c r="K97" s="908"/>
      <c r="L97" s="908"/>
      <c r="M97" s="909"/>
      <c r="N97" s="910"/>
      <c r="O97" s="911"/>
      <c r="P97" s="925"/>
      <c r="Q97" s="926"/>
      <c r="R97" s="914"/>
      <c r="S97" s="926"/>
      <c r="T97" s="915"/>
      <c r="U97" s="915"/>
      <c r="V97" s="916"/>
      <c r="W97" s="927"/>
      <c r="X97" s="918"/>
      <c r="Y97" s="939"/>
      <c r="Z97" s="920"/>
      <c r="AA97" s="921"/>
      <c r="AB97" s="922"/>
      <c r="AC97" s="920"/>
      <c r="AD97" s="921"/>
      <c r="AE97" s="922"/>
      <c r="AF97" s="920"/>
      <c r="AG97" s="921"/>
      <c r="AH97" s="922"/>
      <c r="AI97" s="920"/>
      <c r="AJ97" s="921"/>
      <c r="AK97" s="922"/>
    </row>
    <row r="98" spans="1:37" ht="15.75" customHeight="1">
      <c r="A98" s="900"/>
      <c r="B98" s="182"/>
      <c r="C98" s="901"/>
      <c r="D98" s="902"/>
      <c r="E98" s="903"/>
      <c r="F98" s="904"/>
      <c r="G98" s="903"/>
      <c r="H98" s="905"/>
      <c r="I98" s="906"/>
      <c r="J98" s="932"/>
      <c r="K98" s="908"/>
      <c r="L98" s="908"/>
      <c r="M98" s="909"/>
      <c r="N98" s="911"/>
      <c r="O98" s="911"/>
      <c r="P98" s="940"/>
      <c r="Q98" s="941"/>
      <c r="R98" s="914"/>
      <c r="S98" s="941"/>
      <c r="T98" s="915"/>
      <c r="U98" s="915"/>
      <c r="V98" s="916"/>
      <c r="W98" s="942"/>
      <c r="X98" s="918"/>
      <c r="Y98" s="929"/>
      <c r="Z98" s="920"/>
      <c r="AA98" s="921"/>
      <c r="AB98" s="922"/>
      <c r="AC98" s="920"/>
      <c r="AD98" s="921"/>
      <c r="AE98" s="922"/>
      <c r="AF98" s="920"/>
      <c r="AG98" s="921"/>
      <c r="AH98" s="922"/>
      <c r="AI98" s="920"/>
      <c r="AJ98" s="921"/>
      <c r="AK98" s="922"/>
    </row>
    <row r="99" spans="1:37" ht="15.75" customHeight="1">
      <c r="A99" s="395"/>
      <c r="B99" s="182"/>
      <c r="C99" s="901"/>
      <c r="D99" s="930"/>
      <c r="E99" s="903"/>
      <c r="F99" s="904"/>
      <c r="G99" s="903"/>
      <c r="H99" s="905"/>
      <c r="I99" s="906"/>
      <c r="J99" s="932"/>
      <c r="K99" s="908"/>
      <c r="L99" s="908"/>
      <c r="M99" s="909"/>
      <c r="N99" s="911"/>
      <c r="O99" s="911"/>
      <c r="P99" s="940"/>
      <c r="Q99" s="941"/>
      <c r="R99" s="914"/>
      <c r="S99" s="941"/>
      <c r="T99" s="915"/>
      <c r="U99" s="915"/>
      <c r="V99" s="935"/>
      <c r="W99" s="942"/>
      <c r="X99" s="918"/>
      <c r="Y99" s="929"/>
      <c r="Z99" s="920"/>
      <c r="AA99" s="921"/>
      <c r="AB99" s="922"/>
      <c r="AC99" s="920"/>
      <c r="AD99" s="921"/>
      <c r="AE99" s="922"/>
      <c r="AF99" s="920"/>
      <c r="AG99" s="921"/>
      <c r="AH99" s="922"/>
      <c r="AI99" s="920"/>
      <c r="AJ99" s="921"/>
      <c r="AK99" s="922"/>
    </row>
    <row r="100" spans="1:37" ht="15.75" customHeight="1">
      <c r="A100" s="900"/>
      <c r="B100" s="494"/>
      <c r="C100" s="901"/>
      <c r="D100" s="902"/>
      <c r="E100" s="903"/>
      <c r="F100" s="904"/>
      <c r="G100" s="903"/>
      <c r="H100" s="905"/>
      <c r="I100" s="906"/>
      <c r="J100" s="932"/>
      <c r="K100" s="908"/>
      <c r="L100" s="908"/>
      <c r="M100" s="909"/>
      <c r="N100" s="911"/>
      <c r="O100" s="911"/>
      <c r="P100" s="933"/>
      <c r="Q100" s="934"/>
      <c r="R100" s="914"/>
      <c r="S100" s="934"/>
      <c r="T100" s="915"/>
      <c r="U100" s="915"/>
      <c r="V100" s="935"/>
      <c r="W100" s="936"/>
      <c r="X100" s="918"/>
      <c r="Y100" s="922"/>
      <c r="Z100" s="920"/>
      <c r="AA100" s="921"/>
      <c r="AB100" s="922"/>
      <c r="AC100" s="920"/>
      <c r="AD100" s="921"/>
      <c r="AE100" s="922"/>
      <c r="AF100" s="920"/>
      <c r="AG100" s="921"/>
      <c r="AH100" s="922"/>
      <c r="AI100" s="920"/>
      <c r="AJ100" s="921"/>
      <c r="AK100" s="922"/>
    </row>
    <row r="101" spans="1:37" ht="15.75" customHeight="1">
      <c r="A101" s="395"/>
      <c r="B101" s="938"/>
      <c r="C101" s="901"/>
      <c r="D101" s="930"/>
      <c r="E101" s="903"/>
      <c r="F101" s="904"/>
      <c r="G101" s="903"/>
      <c r="H101" s="905"/>
      <c r="I101" s="906"/>
      <c r="J101" s="932"/>
      <c r="K101" s="908"/>
      <c r="L101" s="908"/>
      <c r="M101" s="909"/>
      <c r="N101" s="911"/>
      <c r="O101" s="911"/>
      <c r="P101" s="933"/>
      <c r="Q101" s="934"/>
      <c r="R101" s="914"/>
      <c r="S101" s="934"/>
      <c r="T101" s="915"/>
      <c r="U101" s="915"/>
      <c r="V101" s="935"/>
      <c r="W101" s="936"/>
      <c r="X101" s="918"/>
      <c r="Y101" s="922"/>
      <c r="Z101" s="920"/>
      <c r="AA101" s="921"/>
      <c r="AB101" s="922"/>
      <c r="AC101" s="920"/>
      <c r="AD101" s="921"/>
      <c r="AE101" s="922"/>
      <c r="AF101" s="920"/>
      <c r="AG101" s="921"/>
      <c r="AH101" s="922"/>
      <c r="AI101" s="920"/>
      <c r="AJ101" s="921"/>
      <c r="AK101" s="922"/>
    </row>
    <row r="102" spans="1:37" ht="15.75" customHeight="1">
      <c r="A102" s="900"/>
      <c r="B102" s="473"/>
      <c r="C102" s="901"/>
      <c r="D102" s="902"/>
      <c r="E102" s="904"/>
      <c r="F102" s="904"/>
      <c r="G102" s="904"/>
      <c r="H102" s="906"/>
      <c r="I102" s="906"/>
      <c r="J102" s="923"/>
      <c r="K102" s="908"/>
      <c r="L102" s="908"/>
      <c r="M102" s="909"/>
      <c r="N102" s="911"/>
      <c r="O102" s="911"/>
      <c r="P102" s="933"/>
      <c r="Q102" s="934"/>
      <c r="R102" s="914"/>
      <c r="S102" s="934"/>
      <c r="T102" s="915"/>
      <c r="U102" s="915"/>
      <c r="V102" s="916"/>
      <c r="W102" s="936"/>
      <c r="X102" s="918"/>
      <c r="Y102" s="937"/>
      <c r="Z102" s="920"/>
      <c r="AA102" s="921"/>
      <c r="AB102" s="922"/>
      <c r="AC102" s="920"/>
      <c r="AD102" s="921"/>
      <c r="AE102" s="922"/>
      <c r="AF102" s="920"/>
      <c r="AG102" s="921"/>
      <c r="AH102" s="922"/>
      <c r="AI102" s="920"/>
      <c r="AJ102" s="921"/>
      <c r="AK102" s="922"/>
    </row>
    <row r="103" spans="1:37" ht="15.75" customHeight="1">
      <c r="A103" s="395"/>
      <c r="B103" s="182"/>
      <c r="C103" s="901"/>
      <c r="D103" s="930"/>
      <c r="E103" s="903"/>
      <c r="F103" s="904"/>
      <c r="G103" s="903"/>
      <c r="H103" s="905"/>
      <c r="I103" s="906"/>
      <c r="J103" s="932"/>
      <c r="K103" s="908"/>
      <c r="L103" s="908"/>
      <c r="M103" s="909"/>
      <c r="N103" s="911"/>
      <c r="O103" s="911"/>
      <c r="P103" s="933"/>
      <c r="Q103" s="934"/>
      <c r="R103" s="914"/>
      <c r="S103" s="934"/>
      <c r="T103" s="915"/>
      <c r="U103" s="915"/>
      <c r="V103" s="916"/>
      <c r="W103" s="936"/>
      <c r="X103" s="918"/>
      <c r="Y103" s="937"/>
      <c r="Z103" s="920"/>
      <c r="AA103" s="921"/>
      <c r="AB103" s="922"/>
      <c r="AC103" s="920"/>
      <c r="AD103" s="921"/>
      <c r="AE103" s="922"/>
      <c r="AF103" s="920"/>
      <c r="AG103" s="921"/>
      <c r="AH103" s="922"/>
      <c r="AI103" s="920"/>
      <c r="AJ103" s="921"/>
      <c r="AK103" s="922"/>
    </row>
    <row r="104" spans="1:37" ht="15.75" customHeight="1">
      <c r="A104" s="900"/>
      <c r="B104" s="182"/>
      <c r="C104" s="901"/>
      <c r="D104" s="930"/>
      <c r="E104" s="903"/>
      <c r="F104" s="904"/>
      <c r="G104" s="903"/>
      <c r="H104" s="905"/>
      <c r="I104" s="906"/>
      <c r="J104" s="932"/>
      <c r="K104" s="908"/>
      <c r="L104" s="908"/>
      <c r="M104" s="909"/>
      <c r="N104" s="911"/>
      <c r="O104" s="911"/>
      <c r="P104" s="933"/>
      <c r="Q104" s="934"/>
      <c r="R104" s="914"/>
      <c r="S104" s="934"/>
      <c r="T104" s="915"/>
      <c r="U104" s="915"/>
      <c r="V104" s="916"/>
      <c r="W104" s="936"/>
      <c r="X104" s="918"/>
      <c r="Y104" s="937"/>
      <c r="Z104" s="920"/>
      <c r="AA104" s="921"/>
      <c r="AB104" s="922"/>
      <c r="AC104" s="920"/>
      <c r="AD104" s="921"/>
      <c r="AE104" s="922"/>
      <c r="AF104" s="920"/>
      <c r="AG104" s="921"/>
      <c r="AH104" s="922"/>
      <c r="AI104" s="920"/>
      <c r="AJ104" s="921"/>
      <c r="AK104" s="922"/>
    </row>
    <row r="105" spans="1:37" ht="15.75" customHeight="1">
      <c r="A105" s="395"/>
      <c r="B105" s="182"/>
      <c r="C105" s="901"/>
      <c r="D105" s="902"/>
      <c r="E105" s="903"/>
      <c r="F105" s="904"/>
      <c r="G105" s="903"/>
      <c r="H105" s="905"/>
      <c r="I105" s="906"/>
      <c r="J105" s="932"/>
      <c r="K105" s="908"/>
      <c r="L105" s="908"/>
      <c r="M105" s="909"/>
      <c r="N105" s="911"/>
      <c r="O105" s="911"/>
      <c r="P105" s="933"/>
      <c r="Q105" s="934"/>
      <c r="R105" s="914"/>
      <c r="S105" s="934"/>
      <c r="T105" s="915"/>
      <c r="U105" s="915"/>
      <c r="V105" s="935"/>
      <c r="W105" s="936"/>
      <c r="X105" s="918"/>
      <c r="Y105" s="937"/>
      <c r="Z105" s="920"/>
      <c r="AA105" s="921"/>
      <c r="AB105" s="922"/>
      <c r="AC105" s="920"/>
      <c r="AD105" s="921"/>
      <c r="AE105" s="922"/>
      <c r="AF105" s="920"/>
      <c r="AG105" s="921"/>
      <c r="AH105" s="922"/>
      <c r="AI105" s="920"/>
      <c r="AJ105" s="921"/>
      <c r="AK105" s="922"/>
    </row>
    <row r="106" spans="1:37" ht="15.75" customHeight="1">
      <c r="A106" s="900"/>
      <c r="B106" s="182"/>
      <c r="C106" s="901"/>
      <c r="D106" s="902"/>
      <c r="E106" s="903"/>
      <c r="F106" s="904"/>
      <c r="G106" s="903"/>
      <c r="H106" s="905"/>
      <c r="I106" s="906"/>
      <c r="J106" s="932"/>
      <c r="K106" s="908"/>
      <c r="L106" s="908"/>
      <c r="M106" s="909"/>
      <c r="N106" s="911"/>
      <c r="O106" s="911"/>
      <c r="P106" s="933"/>
      <c r="Q106" s="934"/>
      <c r="R106" s="914"/>
      <c r="S106" s="934"/>
      <c r="T106" s="915"/>
      <c r="U106" s="915"/>
      <c r="V106" s="935"/>
      <c r="W106" s="936"/>
      <c r="X106" s="918"/>
      <c r="Y106" s="937"/>
      <c r="Z106" s="920"/>
      <c r="AA106" s="921"/>
      <c r="AB106" s="922"/>
      <c r="AC106" s="920"/>
      <c r="AD106" s="921"/>
      <c r="AE106" s="922"/>
      <c r="AF106" s="920"/>
      <c r="AG106" s="921"/>
      <c r="AH106" s="922"/>
      <c r="AI106" s="920"/>
      <c r="AJ106" s="921"/>
      <c r="AK106" s="922"/>
    </row>
    <row r="107" spans="1:37" ht="15.75" customHeight="1">
      <c r="A107" s="395"/>
      <c r="B107" s="182"/>
      <c r="C107" s="901"/>
      <c r="D107" s="902"/>
      <c r="E107" s="903"/>
      <c r="F107" s="904"/>
      <c r="G107" s="903"/>
      <c r="H107" s="905"/>
      <c r="I107" s="906"/>
      <c r="J107" s="932"/>
      <c r="K107" s="908"/>
      <c r="L107" s="908"/>
      <c r="M107" s="909"/>
      <c r="N107" s="911"/>
      <c r="O107" s="911"/>
      <c r="P107" s="933"/>
      <c r="Q107" s="934"/>
      <c r="R107" s="914"/>
      <c r="S107" s="934"/>
      <c r="T107" s="915"/>
      <c r="U107" s="915"/>
      <c r="V107" s="935"/>
      <c r="W107" s="936"/>
      <c r="X107" s="918"/>
      <c r="Y107" s="937"/>
      <c r="Z107" s="920"/>
      <c r="AA107" s="921"/>
      <c r="AB107" s="922"/>
      <c r="AC107" s="920"/>
      <c r="AD107" s="921"/>
      <c r="AE107" s="922"/>
      <c r="AF107" s="920"/>
      <c r="AG107" s="921"/>
      <c r="AH107" s="922"/>
      <c r="AI107" s="920"/>
      <c r="AJ107" s="921"/>
      <c r="AK107" s="922"/>
    </row>
    <row r="108" spans="1:37" ht="15.75" customHeight="1">
      <c r="A108" s="900"/>
      <c r="B108" s="182"/>
      <c r="C108" s="901"/>
      <c r="D108" s="930"/>
      <c r="E108" s="903"/>
      <c r="F108" s="904"/>
      <c r="G108" s="903"/>
      <c r="H108" s="905"/>
      <c r="I108" s="906"/>
      <c r="J108" s="932"/>
      <c r="K108" s="908"/>
      <c r="L108" s="908"/>
      <c r="M108" s="909"/>
      <c r="N108" s="911"/>
      <c r="O108" s="911"/>
      <c r="P108" s="933"/>
      <c r="Q108" s="934"/>
      <c r="R108" s="914"/>
      <c r="S108" s="934"/>
      <c r="T108" s="915"/>
      <c r="U108" s="915"/>
      <c r="V108" s="935"/>
      <c r="W108" s="936"/>
      <c r="X108" s="918"/>
      <c r="Y108" s="937"/>
      <c r="Z108" s="920"/>
      <c r="AA108" s="921"/>
      <c r="AB108" s="922"/>
      <c r="AC108" s="920"/>
      <c r="AD108" s="921"/>
      <c r="AE108" s="922"/>
      <c r="AF108" s="920"/>
      <c r="AG108" s="921"/>
      <c r="AH108" s="922"/>
      <c r="AI108" s="920"/>
      <c r="AJ108" s="921"/>
      <c r="AK108" s="922"/>
    </row>
    <row r="109" spans="1:37" ht="15.75" customHeight="1">
      <c r="A109" s="395"/>
      <c r="B109" s="182"/>
      <c r="C109" s="901"/>
      <c r="D109" s="902"/>
      <c r="E109" s="903"/>
      <c r="F109" s="904"/>
      <c r="G109" s="903"/>
      <c r="H109" s="905"/>
      <c r="I109" s="906"/>
      <c r="J109" s="932"/>
      <c r="K109" s="908"/>
      <c r="L109" s="908"/>
      <c r="M109" s="909"/>
      <c r="N109" s="911"/>
      <c r="O109" s="911"/>
      <c r="P109" s="933"/>
      <c r="Q109" s="934"/>
      <c r="R109" s="914"/>
      <c r="S109" s="934"/>
      <c r="T109" s="915"/>
      <c r="U109" s="915"/>
      <c r="V109" s="935"/>
      <c r="W109" s="936"/>
      <c r="X109" s="918"/>
      <c r="Y109" s="937"/>
      <c r="Z109" s="920"/>
      <c r="AA109" s="921"/>
      <c r="AB109" s="922"/>
      <c r="AC109" s="920"/>
      <c r="AD109" s="921"/>
      <c r="AE109" s="922"/>
      <c r="AF109" s="920"/>
      <c r="AG109" s="921"/>
      <c r="AH109" s="922"/>
      <c r="AI109" s="920"/>
      <c r="AJ109" s="921"/>
      <c r="AK109" s="922"/>
    </row>
    <row r="110" spans="1:37" ht="15.75" customHeight="1">
      <c r="A110" s="900"/>
      <c r="B110" s="182"/>
      <c r="C110" s="901"/>
      <c r="D110" s="930"/>
      <c r="E110" s="903"/>
      <c r="F110" s="904"/>
      <c r="G110" s="903"/>
      <c r="H110" s="905"/>
      <c r="I110" s="906"/>
      <c r="J110" s="932"/>
      <c r="K110" s="908"/>
      <c r="L110" s="908"/>
      <c r="M110" s="909"/>
      <c r="N110" s="911"/>
      <c r="O110" s="911"/>
      <c r="P110" s="933"/>
      <c r="Q110" s="934"/>
      <c r="R110" s="914"/>
      <c r="S110" s="934"/>
      <c r="T110" s="915"/>
      <c r="U110" s="915"/>
      <c r="V110" s="935"/>
      <c r="W110" s="936"/>
      <c r="X110" s="918"/>
      <c r="Y110" s="937"/>
      <c r="Z110" s="920"/>
      <c r="AA110" s="921"/>
      <c r="AB110" s="922"/>
      <c r="AC110" s="920"/>
      <c r="AD110" s="921"/>
      <c r="AE110" s="922"/>
      <c r="AF110" s="920"/>
      <c r="AG110" s="921"/>
      <c r="AH110" s="922"/>
      <c r="AI110" s="920"/>
      <c r="AJ110" s="921"/>
      <c r="AK110" s="922"/>
    </row>
    <row r="111" spans="1:37" ht="15.75" customHeight="1">
      <c r="A111" s="395"/>
      <c r="B111" s="182"/>
      <c r="C111" s="901"/>
      <c r="D111" s="930"/>
      <c r="E111" s="903"/>
      <c r="F111" s="904"/>
      <c r="G111" s="903"/>
      <c r="H111" s="905"/>
      <c r="I111" s="906"/>
      <c r="J111" s="932"/>
      <c r="K111" s="908"/>
      <c r="L111" s="908"/>
      <c r="M111" s="909"/>
      <c r="N111" s="911"/>
      <c r="O111" s="911"/>
      <c r="P111" s="933"/>
      <c r="Q111" s="934"/>
      <c r="R111" s="914"/>
      <c r="S111" s="934"/>
      <c r="T111" s="915"/>
      <c r="U111" s="915"/>
      <c r="V111" s="935"/>
      <c r="W111" s="936"/>
      <c r="X111" s="918"/>
      <c r="Y111" s="937"/>
      <c r="Z111" s="920"/>
      <c r="AA111" s="921"/>
      <c r="AB111" s="922"/>
      <c r="AC111" s="920"/>
      <c r="AD111" s="921"/>
      <c r="AE111" s="922"/>
      <c r="AF111" s="920"/>
      <c r="AG111" s="921"/>
      <c r="AH111" s="922"/>
      <c r="AI111" s="920"/>
      <c r="AJ111" s="921"/>
      <c r="AK111" s="922"/>
    </row>
    <row r="112" spans="1:37" ht="15.75" customHeight="1">
      <c r="A112" s="900"/>
      <c r="B112" s="182"/>
      <c r="C112" s="901"/>
      <c r="D112" s="902"/>
      <c r="E112" s="903"/>
      <c r="F112" s="904"/>
      <c r="G112" s="903"/>
      <c r="H112" s="905"/>
      <c r="I112" s="906"/>
      <c r="J112" s="932"/>
      <c r="K112" s="908"/>
      <c r="L112" s="908"/>
      <c r="M112" s="909"/>
      <c r="N112" s="911"/>
      <c r="O112" s="911"/>
      <c r="P112" s="933"/>
      <c r="Q112" s="934"/>
      <c r="R112" s="914"/>
      <c r="S112" s="934"/>
      <c r="T112" s="915"/>
      <c r="U112" s="915"/>
      <c r="V112" s="935"/>
      <c r="W112" s="936"/>
      <c r="X112" s="918"/>
      <c r="Y112" s="937"/>
      <c r="Z112" s="920"/>
      <c r="AA112" s="921"/>
      <c r="AB112" s="922"/>
      <c r="AC112" s="920"/>
      <c r="AD112" s="921"/>
      <c r="AE112" s="922"/>
      <c r="AF112" s="920"/>
      <c r="AG112" s="921"/>
      <c r="AH112" s="922"/>
      <c r="AI112" s="920"/>
      <c r="AJ112" s="921"/>
      <c r="AK112" s="922"/>
    </row>
    <row r="113" spans="1:37" ht="15.75" customHeight="1">
      <c r="A113" s="395"/>
      <c r="B113" s="182"/>
      <c r="C113" s="901"/>
      <c r="D113" s="902"/>
      <c r="E113" s="904"/>
      <c r="F113" s="904"/>
      <c r="G113" s="904"/>
      <c r="H113" s="906"/>
      <c r="I113" s="943"/>
      <c r="J113" s="923"/>
      <c r="K113" s="908"/>
      <c r="L113" s="908"/>
      <c r="M113" s="924"/>
      <c r="N113" s="910"/>
      <c r="O113" s="911"/>
      <c r="P113" s="925"/>
      <c r="Q113" s="926"/>
      <c r="R113" s="914"/>
      <c r="S113" s="926"/>
      <c r="T113" s="915"/>
      <c r="U113" s="915"/>
      <c r="V113" s="916"/>
      <c r="W113" s="927"/>
      <c r="X113" s="918"/>
      <c r="Y113" s="928"/>
      <c r="Z113" s="920"/>
      <c r="AA113" s="921"/>
      <c r="AB113" s="929"/>
      <c r="AC113" s="920"/>
      <c r="AD113" s="921"/>
      <c r="AE113" s="929"/>
      <c r="AF113" s="920"/>
      <c r="AG113" s="921"/>
      <c r="AH113" s="929"/>
      <c r="AI113" s="920"/>
      <c r="AJ113" s="921"/>
      <c r="AK113" s="929"/>
    </row>
    <row r="114" spans="1:37" ht="15.75" customHeight="1">
      <c r="A114" s="900"/>
      <c r="B114" s="182"/>
      <c r="C114" s="901"/>
      <c r="D114" s="930"/>
      <c r="E114" s="904"/>
      <c r="F114" s="904"/>
      <c r="G114" s="904"/>
      <c r="H114" s="906"/>
      <c r="I114" s="943"/>
      <c r="J114" s="923"/>
      <c r="K114" s="908"/>
      <c r="L114" s="908"/>
      <c r="M114" s="924"/>
      <c r="N114" s="910"/>
      <c r="O114" s="911"/>
      <c r="P114" s="925"/>
      <c r="Q114" s="926"/>
      <c r="R114" s="914"/>
      <c r="S114" s="926"/>
      <c r="T114" s="915"/>
      <c r="U114" s="915"/>
      <c r="V114" s="916"/>
      <c r="W114" s="927"/>
      <c r="X114" s="918"/>
      <c r="Y114" s="928"/>
      <c r="Z114" s="920"/>
      <c r="AA114" s="921"/>
      <c r="AB114" s="929"/>
      <c r="AC114" s="920"/>
      <c r="AD114" s="921"/>
      <c r="AE114" s="929"/>
      <c r="AF114" s="920"/>
      <c r="AG114" s="921"/>
      <c r="AH114" s="929"/>
      <c r="AI114" s="920"/>
      <c r="AJ114" s="921"/>
      <c r="AK114" s="929"/>
    </row>
    <row r="115" spans="1:37" ht="15.75" customHeight="1">
      <c r="A115" s="395"/>
      <c r="B115" s="182"/>
      <c r="C115" s="901"/>
      <c r="D115" s="930"/>
      <c r="E115" s="904"/>
      <c r="F115" s="904"/>
      <c r="G115" s="904"/>
      <c r="H115" s="906"/>
      <c r="I115" s="943"/>
      <c r="J115" s="923"/>
      <c r="K115" s="908"/>
      <c r="L115" s="908"/>
      <c r="M115" s="924"/>
      <c r="N115" s="910"/>
      <c r="O115" s="911"/>
      <c r="P115" s="925"/>
      <c r="Q115" s="926"/>
      <c r="R115" s="914"/>
      <c r="S115" s="926"/>
      <c r="T115" s="915"/>
      <c r="U115" s="915"/>
      <c r="V115" s="916"/>
      <c r="W115" s="927"/>
      <c r="X115" s="918"/>
      <c r="Y115" s="928"/>
      <c r="Z115" s="920"/>
      <c r="AA115" s="921"/>
      <c r="AB115" s="929"/>
      <c r="AC115" s="920"/>
      <c r="AD115" s="921"/>
      <c r="AE115" s="929"/>
      <c r="AF115" s="920"/>
      <c r="AG115" s="921"/>
      <c r="AH115" s="929"/>
      <c r="AI115" s="920"/>
      <c r="AJ115" s="921"/>
      <c r="AK115" s="929"/>
    </row>
    <row r="116" spans="1:37" ht="15.75" customHeight="1">
      <c r="A116" s="900"/>
      <c r="B116" s="182"/>
      <c r="C116" s="901"/>
      <c r="D116" s="902"/>
      <c r="E116" s="904"/>
      <c r="F116" s="904"/>
      <c r="G116" s="904"/>
      <c r="H116" s="906"/>
      <c r="I116" s="943"/>
      <c r="J116" s="923"/>
      <c r="K116" s="908"/>
      <c r="L116" s="908"/>
      <c r="M116" s="924"/>
      <c r="N116" s="910"/>
      <c r="O116" s="911"/>
      <c r="P116" s="925"/>
      <c r="Q116" s="926"/>
      <c r="R116" s="914"/>
      <c r="S116" s="926"/>
      <c r="T116" s="915"/>
      <c r="U116" s="915"/>
      <c r="V116" s="916"/>
      <c r="W116" s="927"/>
      <c r="X116" s="918"/>
      <c r="Y116" s="928"/>
      <c r="Z116" s="920"/>
      <c r="AA116" s="921"/>
      <c r="AB116" s="929"/>
      <c r="AC116" s="920"/>
      <c r="AD116" s="921"/>
      <c r="AE116" s="929"/>
      <c r="AF116" s="920"/>
      <c r="AG116" s="921"/>
      <c r="AH116" s="929"/>
      <c r="AI116" s="920"/>
      <c r="AJ116" s="921"/>
      <c r="AK116" s="929"/>
    </row>
    <row r="117" spans="1:37" ht="15.75" customHeight="1">
      <c r="A117" s="395"/>
      <c r="B117" s="182"/>
      <c r="C117" s="901"/>
      <c r="D117" s="902"/>
      <c r="E117" s="904"/>
      <c r="F117" s="904"/>
      <c r="G117" s="904"/>
      <c r="H117" s="906"/>
      <c r="I117" s="943"/>
      <c r="J117" s="923"/>
      <c r="K117" s="908"/>
      <c r="L117" s="908"/>
      <c r="M117" s="924"/>
      <c r="N117" s="910"/>
      <c r="O117" s="911"/>
      <c r="P117" s="925"/>
      <c r="Q117" s="926"/>
      <c r="R117" s="914"/>
      <c r="S117" s="926"/>
      <c r="T117" s="915"/>
      <c r="U117" s="915"/>
      <c r="V117" s="916"/>
      <c r="W117" s="927"/>
      <c r="X117" s="918"/>
      <c r="Y117" s="928"/>
      <c r="Z117" s="920"/>
      <c r="AA117" s="921"/>
      <c r="AB117" s="929"/>
      <c r="AC117" s="920"/>
      <c r="AD117" s="921"/>
      <c r="AE117" s="929"/>
      <c r="AF117" s="920"/>
      <c r="AG117" s="921"/>
      <c r="AH117" s="929"/>
      <c r="AI117" s="920"/>
      <c r="AJ117" s="921"/>
      <c r="AK117" s="929"/>
    </row>
    <row r="118" spans="1:37" ht="15.75" customHeight="1">
      <c r="A118" s="900"/>
      <c r="B118" s="182"/>
      <c r="C118" s="901"/>
      <c r="D118" s="902"/>
      <c r="E118" s="904"/>
      <c r="F118" s="904"/>
      <c r="G118" s="904"/>
      <c r="H118" s="906"/>
      <c r="I118" s="943"/>
      <c r="J118" s="923"/>
      <c r="K118" s="908"/>
      <c r="L118" s="908"/>
      <c r="M118" s="924"/>
      <c r="N118" s="910"/>
      <c r="O118" s="911"/>
      <c r="P118" s="925"/>
      <c r="Q118" s="926"/>
      <c r="R118" s="914"/>
      <c r="S118" s="926"/>
      <c r="T118" s="915"/>
      <c r="U118" s="915"/>
      <c r="V118" s="916"/>
      <c r="W118" s="927"/>
      <c r="X118" s="918"/>
      <c r="Y118" s="928"/>
      <c r="Z118" s="920"/>
      <c r="AA118" s="921"/>
      <c r="AB118" s="929"/>
      <c r="AC118" s="920"/>
      <c r="AD118" s="921"/>
      <c r="AE118" s="929"/>
      <c r="AF118" s="920"/>
      <c r="AG118" s="921"/>
      <c r="AH118" s="929"/>
      <c r="AI118" s="920"/>
      <c r="AJ118" s="921"/>
      <c r="AK118" s="929"/>
    </row>
    <row r="119" spans="1:37" ht="15.75" customHeight="1">
      <c r="A119" s="395"/>
      <c r="B119" s="182"/>
      <c r="C119" s="901"/>
      <c r="D119" s="930"/>
      <c r="E119" s="904"/>
      <c r="F119" s="904"/>
      <c r="G119" s="904"/>
      <c r="H119" s="906"/>
      <c r="I119" s="943"/>
      <c r="J119" s="923"/>
      <c r="K119" s="908"/>
      <c r="L119" s="908"/>
      <c r="M119" s="924"/>
      <c r="N119" s="910"/>
      <c r="O119" s="911"/>
      <c r="P119" s="925"/>
      <c r="Q119" s="926"/>
      <c r="R119" s="914"/>
      <c r="S119" s="926"/>
      <c r="T119" s="915"/>
      <c r="U119" s="915"/>
      <c r="V119" s="916"/>
      <c r="W119" s="927"/>
      <c r="X119" s="918"/>
      <c r="Y119" s="928"/>
      <c r="Z119" s="920"/>
      <c r="AA119" s="921"/>
      <c r="AB119" s="929"/>
      <c r="AC119" s="920"/>
      <c r="AD119" s="921"/>
      <c r="AE119" s="929"/>
      <c r="AF119" s="920"/>
      <c r="AG119" s="921"/>
      <c r="AH119" s="929"/>
      <c r="AI119" s="920"/>
      <c r="AJ119" s="921"/>
      <c r="AK119" s="929"/>
    </row>
    <row r="120" spans="1:37" ht="15.75" customHeight="1">
      <c r="B120" s="275"/>
      <c r="C120" s="853"/>
      <c r="D120" s="944"/>
      <c r="E120" s="945"/>
      <c r="F120" s="945"/>
      <c r="G120" s="945"/>
      <c r="H120" s="946"/>
      <c r="I120" s="947"/>
      <c r="J120" s="948"/>
      <c r="K120" s="949"/>
      <c r="L120" s="950"/>
      <c r="M120" s="951"/>
      <c r="N120" s="952"/>
      <c r="O120" s="953"/>
      <c r="P120" s="954"/>
      <c r="Q120" s="955"/>
      <c r="R120" s="956"/>
      <c r="S120" s="957"/>
      <c r="T120" s="958"/>
      <c r="U120" s="959"/>
      <c r="V120" s="960"/>
      <c r="W120" s="961"/>
      <c r="X120" s="962"/>
      <c r="Y120" s="963"/>
      <c r="Z120" s="961"/>
      <c r="AA120" s="964"/>
      <c r="AB120" s="963"/>
      <c r="AC120" s="961"/>
      <c r="AD120" s="964"/>
      <c r="AE120" s="963"/>
      <c r="AF120" s="961"/>
      <c r="AG120" s="964"/>
      <c r="AH120" s="963"/>
      <c r="AI120" s="961"/>
      <c r="AJ120" s="964"/>
      <c r="AK120" s="963"/>
    </row>
    <row r="121" spans="1:37" ht="15.75" customHeight="1">
      <c r="B121" s="275"/>
    </row>
    <row r="122" spans="1:37" ht="15.75" customHeight="1">
      <c r="B122" s="275"/>
    </row>
    <row r="123" spans="1:37" ht="15.75" customHeight="1">
      <c r="B123" s="275"/>
      <c r="C123" s="965"/>
    </row>
    <row r="124" spans="1:37" ht="15.75" customHeight="1">
      <c r="B124" s="275"/>
      <c r="C124" s="966"/>
      <c r="L124" s="967"/>
      <c r="M124" s="967"/>
      <c r="N124" s="967"/>
      <c r="O124" s="968"/>
      <c r="P124" s="1218" t="s">
        <v>2158</v>
      </c>
      <c r="Q124" s="1208"/>
      <c r="R124" s="1218" t="s">
        <v>2159</v>
      </c>
      <c r="S124" s="1208"/>
    </row>
    <row r="125" spans="1:37" ht="15.75" customHeight="1">
      <c r="B125" s="275"/>
      <c r="C125" s="969"/>
      <c r="D125" s="970" t="s">
        <v>2909</v>
      </c>
      <c r="E125" s="970" t="s">
        <v>22</v>
      </c>
      <c r="F125" s="970" t="s">
        <v>23</v>
      </c>
      <c r="G125" s="970" t="s">
        <v>2910</v>
      </c>
      <c r="H125" s="970" t="s">
        <v>25</v>
      </c>
      <c r="I125" s="970" t="s">
        <v>26</v>
      </c>
      <c r="L125" s="971" t="s">
        <v>2911</v>
      </c>
      <c r="M125" s="972" t="s">
        <v>2909</v>
      </c>
      <c r="N125" s="972" t="s">
        <v>23</v>
      </c>
      <c r="O125" s="972" t="s">
        <v>22</v>
      </c>
      <c r="P125" s="972" t="s">
        <v>5</v>
      </c>
      <c r="Q125" s="972" t="s">
        <v>2160</v>
      </c>
      <c r="R125" s="972" t="s">
        <v>5</v>
      </c>
      <c r="S125" s="972" t="s">
        <v>2912</v>
      </c>
    </row>
    <row r="126" spans="1:37" ht="15.75" customHeight="1">
      <c r="B126" s="275"/>
      <c r="C126" s="175"/>
      <c r="D126" s="175"/>
      <c r="E126" s="175"/>
      <c r="F126" s="175"/>
      <c r="G126" s="175"/>
      <c r="H126" s="175"/>
      <c r="I126" s="175"/>
      <c r="L126" s="175" t="str">
        <f ca="1">IFERROR(__xludf.DUMMYFUNCTION("QUERY(KI!$C$6:$W$200, ""select E,F,P,Q,R,S,T,U where (G='""&amp;$C$124&amp;""' or H='""&amp;$C$124&amp;""' or I='""&amp;$C$124&amp;""' or J='""&amp;$C$124&amp;""' or K='""&amp;$C$124&amp;""' or L='""&amp;$C$124&amp;""' or M='""&amp;$C$124&amp;""' or N='""&amp;$C$124&amp;""') and C&lt;&gt;''"", 0)"),"Chatbot Lisa (Hemodialisa) versi 2.0 berbasis LLM+RAG")</f>
        <v>Chatbot Lisa (Hemodialisa) versi 2.0 berbasis LLM+RAG</v>
      </c>
      <c r="M126" s="175" t="str">
        <f ca="1">IFERROR(__xludf.DUMMYFUNCTION("""COMPUTED_VALUE"""),"Pengolahan Bahasa Alami (Natural Language Processing)")</f>
        <v>Pengolahan Bahasa Alami (Natural Language Processing)</v>
      </c>
      <c r="N126" s="175"/>
      <c r="O126" s="175" t="str">
        <f ca="1">IFERROR(__xludf.DUMMYFUNCTION("""COMPUTED_VALUE"""),"Lyla Ruslana Aini S.Kom.")</f>
        <v>Lyla Ruslana Aini S.Kom.</v>
      </c>
      <c r="P126" s="175" t="str">
        <f ca="1">IFERROR(__xludf.DUMMYFUNCTION("""COMPUTED_VALUE"""),"Terdaftar DJKI")</f>
        <v>Terdaftar DJKI</v>
      </c>
      <c r="Q126" s="973" t="str">
        <f ca="1">IFERROR(__xludf.DUMMYFUNCTION("""COMPUTED_VALUE"""),"Hak Cipta")</f>
        <v>Hak Cipta</v>
      </c>
      <c r="R126" s="175" t="str">
        <f ca="1">IFERROR(__xludf.DUMMYFUNCTION("""COMPUTED_VALUE"""),"EC002025048065")</f>
        <v>EC002025048065</v>
      </c>
      <c r="S126" s="973">
        <f ca="1">IFERROR(__xludf.DUMMYFUNCTION("""COMPUTED_VALUE"""),45786)</f>
        <v>45786</v>
      </c>
    </row>
    <row r="127" spans="1:37" ht="15.75" customHeight="1">
      <c r="B127" s="275"/>
      <c r="C127" s="175"/>
      <c r="D127" s="175"/>
      <c r="E127" s="175"/>
      <c r="F127" s="175"/>
      <c r="G127" s="175"/>
      <c r="H127" s="175"/>
      <c r="I127" s="175"/>
      <c r="L127" s="175" t="str">
        <f ca="1">IFERROR(__xludf.DUMMYFUNCTION("""COMPUTED_VALUE"""),"Sistem Big Data Bahasa dan Sastra Lisan Perbatasan (BAHASAN)")</f>
        <v>Sistem Big Data Bahasa dan Sastra Lisan Perbatasan (BAHASAN)</v>
      </c>
      <c r="M127" s="175" t="str">
        <f ca="1">IFERROR(__xludf.DUMMYFUNCTION("""COMPUTED_VALUE"""),"Rekayasa Pengetahuan dan Data (Knowledge and Data Engineering)")</f>
        <v>Rekayasa Pengetahuan dan Data (Knowledge and Data Engineering)</v>
      </c>
      <c r="N127" s="175"/>
      <c r="O127" s="175" t="str">
        <f ca="1">IFERROR(__xludf.DUMMYFUNCTION("""COMPUTED_VALUE"""),"Yusup Irawan, Dedy Ari Asfar, Irmayani, Herpanus, Muhammad Pramulya, Lilian Slow")</f>
        <v>Yusup Irawan, Dedy Ari Asfar, Irmayani, Herpanus, Muhammad Pramulya, Lilian Slow</v>
      </c>
      <c r="P127" s="175" t="str">
        <f ca="1">IFERROR(__xludf.DUMMYFUNCTION("""COMPUTED_VALUE"""),"Tersertifikasi")</f>
        <v>Tersertifikasi</v>
      </c>
      <c r="Q127" s="973" t="str">
        <f ca="1">IFERROR(__xludf.DUMMYFUNCTION("""COMPUTED_VALUE"""),"Hak Cipta")</f>
        <v>Hak Cipta</v>
      </c>
      <c r="R127" s="175" t="str">
        <f ca="1">IFERROR(__xludf.DUMMYFUNCTION("""COMPUTED_VALUE"""),"EC002025055955")</f>
        <v>EC002025055955</v>
      </c>
      <c r="S127" s="973"/>
    </row>
    <row r="128" spans="1:37" ht="15.75" customHeight="1">
      <c r="B128" s="275"/>
      <c r="C128" s="175"/>
      <c r="D128" s="175"/>
      <c r="E128" s="175"/>
      <c r="F128" s="175"/>
      <c r="G128" s="175"/>
      <c r="H128" s="175"/>
      <c r="I128" s="175"/>
      <c r="L128" s="175" t="str">
        <f ca="1">IFERROR(__xludf.DUMMYFUNCTION("""COMPUTED_VALUE"""),"Aset Game 2D/3D Indonesia Timur")</f>
        <v>Aset Game 2D/3D Indonesia Timur</v>
      </c>
      <c r="M128" s="175" t="str">
        <f ca="1">IFERROR(__xludf.DUMMYFUNCTION("""COMPUTED_VALUE"""),"Interaksi Manusia-Komputer dan Visualisasi (Human Computer Interaction and Visualisation)")</f>
        <v>Interaksi Manusia-Komputer dan Visualisasi (Human Computer Interaction and Visualisation)</v>
      </c>
      <c r="N128" s="175"/>
      <c r="O128" s="175" t="str">
        <f ca="1">IFERROR(__xludf.DUMMYFUNCTION("""COMPUTED_VALUE"""),"Dian Andriana,  Riky Taufik Afif, Yayat Sudaryat, Arief Budiman, Nisrina Qatrunnada, Adya Saladina Athaya, Moh. Reffy Aditya Dharma,  Gian Daffa Sonjaya, Nurhidayani Sulfiany, Arief Aflah,  Agus Setiawan, Purmaningrum Maeni, Erna Nurmalinda, Muammar Mocht"&amp;"ar, Boy Irwan Budiman, Rakha Fadilah, Sarah Faradiba, Firas Shaquille Zharfan, Muhammad Fadhil Hamdani")</f>
        <v>Dian Andriana,  Riky Taufik Afif, Yayat Sudaryat, Arief Budiman, Nisrina Qatrunnada, Adya Saladina Athaya, Moh. Reffy Aditya Dharma,  Gian Daffa Sonjaya, Nurhidayani Sulfiany, Arief Aflah,  Agus Setiawan, Purmaningrum Maeni, Erna Nurmalinda, Muammar Mochtar, Boy Irwan Budiman, Rakha Fadilah, Sarah Faradiba, Firas Shaquille Zharfan, Muhammad Fadhil Hamdani</v>
      </c>
      <c r="P128" s="175" t="str">
        <f ca="1">IFERROR(__xludf.DUMMYFUNCTION("""COMPUTED_VALUE"""),"Tersertifikasi")</f>
        <v>Tersertifikasi</v>
      </c>
      <c r="Q128" s="973" t="str">
        <f ca="1">IFERROR(__xludf.DUMMYFUNCTION("""COMPUTED_VALUE"""),"Hak Cipta")</f>
        <v>Hak Cipta</v>
      </c>
      <c r="R128" s="175" t="str">
        <f ca="1">IFERROR(__xludf.DUMMYFUNCTION("""COMPUTED_VALUE"""),"EC002025055947")</f>
        <v>EC002025055947</v>
      </c>
      <c r="S128" s="973"/>
    </row>
    <row r="129" spans="2:19" ht="15.75" customHeight="1">
      <c r="B129" s="275"/>
      <c r="C129" s="175"/>
      <c r="D129" s="175"/>
      <c r="E129" s="175"/>
      <c r="F129" s="175"/>
      <c r="G129" s="175"/>
      <c r="H129" s="175"/>
      <c r="I129" s="175"/>
      <c r="L129" s="175" t="str">
        <f ca="1">IFERROR(__xludf.DUMMYFUNCTION("""COMPUTED_VALUE"""),"PLATFORM KTP ELEKTRONIK BERBASIS JAVA CARD DAN METODE PEMBUATAN APPLET JAVA CARD YANG TERKANDUNG PADANYA")</f>
        <v>PLATFORM KTP ELEKTRONIK BERBASIS JAVA CARD DAN METODE PEMBUATAN APPLET JAVA CARD YANG TERKANDUNG PADANYA</v>
      </c>
      <c r="M129" s="175" t="str">
        <f ca="1">IFERROR(__xludf.DUMMYFUNCTION("""COMPUTED_VALUE"""),"Pengolahan Bahasa Alami (Natural Language Processing)")</f>
        <v>Pengolahan Bahasa Alami (Natural Language Processing)</v>
      </c>
      <c r="N129" s="175"/>
      <c r="O129" s="175" t="str">
        <f ca="1">IFERROR(__xludf.DUMMYFUNCTION("""COMPUTED_VALUE"""),"Dwidharma Priyasta Tasurun, Yudi Purwantoro, 
Wahyu Cesar, Rully Kusumajaya, Afrias Sarotama, Fito Wigunanto Herminawan, Yanti Susanti, Widyanti, Melyana, Eka Setianingsih, Juliati Junde, Michael Andreas Purwoadi, Gembong Wibowanto, Firson Satriasta.")</f>
        <v>Dwidharma Priyasta Tasurun, Yudi Purwantoro, 
Wahyu Cesar, Rully Kusumajaya, Afrias Sarotama, Fito Wigunanto Herminawan, Yanti Susanti, Widyanti, Melyana, Eka Setianingsih, Juliati Junde, Michael Andreas Purwoadi, Gembong Wibowanto, Firson Satriasta.</v>
      </c>
      <c r="P129" s="175" t="str">
        <f ca="1">IFERROR(__xludf.DUMMYFUNCTION("""COMPUTED_VALUE"""),"Tersertifikasi")</f>
        <v>Tersertifikasi</v>
      </c>
      <c r="Q129" s="973" t="str">
        <f ca="1">IFERROR(__xludf.DUMMYFUNCTION("""COMPUTED_VALUE"""),"Paten")</f>
        <v>Paten</v>
      </c>
      <c r="R129" s="175" t="str">
        <f ca="1">IFERROR(__xludf.DUMMYFUNCTION("""COMPUTED_VALUE"""),"P00201800779")</f>
        <v>P00201800779</v>
      </c>
      <c r="S129" s="973">
        <f ca="1">IFERROR(__xludf.DUMMYFUNCTION("""COMPUTED_VALUE"""),43132)</f>
        <v>43132</v>
      </c>
    </row>
    <row r="130" spans="2:19" ht="15.75" customHeight="1">
      <c r="B130" s="275"/>
      <c r="C130" s="175"/>
      <c r="D130" s="175"/>
      <c r="E130" s="175"/>
      <c r="F130" s="175"/>
      <c r="G130" s="175"/>
      <c r="H130" s="175"/>
      <c r="I130" s="175"/>
      <c r="L130" s="175" t="str">
        <f ca="1">IFERROR(__xludf.DUMMYFUNCTION("""COMPUTED_VALUE"""),"Dataset Prediksi Parameter Keselamatan Termal-Hidraulik Kritis pada Peristiwa Station Blackout (SBO) di PLTN AP1000")</f>
        <v>Dataset Prediksi Parameter Keselamatan Termal-Hidraulik Kritis pada Peristiwa Station Blackout (SBO) di PLTN AP1000</v>
      </c>
      <c r="M130" s="175" t="str">
        <f ca="1">IFERROR(__xludf.DUMMYFUNCTION("""COMPUTED_VALUE"""),"Rekayasa Pengetahuan dan Data (Knowledge and Data Engineering)")</f>
        <v>Rekayasa Pengetahuan dan Data (Knowledge and Data Engineering)</v>
      </c>
      <c r="N130" s="175"/>
      <c r="O130" s="175" t="str">
        <f ca="1">IFERROR(__xludf.DUMMYFUNCTION("""COMPUTED_VALUE"""),"Andi Sofrany Ekariansyah, Sudarno, Deswandri, Anggraini Ratih Kumaraningrum, Ratih Luhuring Tyas, Restu Maerani")</f>
        <v>Andi Sofrany Ekariansyah, Sudarno, Deswandri, Anggraini Ratih Kumaraningrum, Ratih Luhuring Tyas, Restu Maerani</v>
      </c>
      <c r="P130" s="175" t="str">
        <f ca="1">IFERROR(__xludf.DUMMYFUNCTION("""COMPUTED_VALUE"""),"Terdaftar DJKI")</f>
        <v>Terdaftar DJKI</v>
      </c>
      <c r="Q130" s="973" t="str">
        <f ca="1">IFERROR(__xludf.DUMMYFUNCTION("""COMPUTED_VALUE"""),"Hak Cipta")</f>
        <v>Hak Cipta</v>
      </c>
      <c r="R130" s="175" t="str">
        <f ca="1">IFERROR(__xludf.DUMMYFUNCTION("""COMPUTED_VALUE"""),"EC002025132934")</f>
        <v>EC002025132934</v>
      </c>
      <c r="S130" s="973"/>
    </row>
    <row r="131" spans="2:19" ht="15.75" customHeight="1">
      <c r="B131" s="275"/>
      <c r="C131" s="175"/>
      <c r="D131" s="175"/>
      <c r="E131" s="175"/>
      <c r="F131" s="175"/>
      <c r="G131" s="175"/>
      <c r="H131" s="175"/>
      <c r="I131" s="175"/>
      <c r="L131" s="175" t="str">
        <f ca="1">IFERROR(__xludf.DUMMYFUNCTION("""COMPUTED_VALUE"""),"HortiHeat Tracker")</f>
        <v>HortiHeat Tracker</v>
      </c>
      <c r="M131" s="175" t="str">
        <f ca="1">IFERROR(__xludf.DUMMYFUNCTION("""COMPUTED_VALUE"""),"Rekayasa Pengetahuan dan Data (Knowledge and Data Engineering)")</f>
        <v>Rekayasa Pengetahuan dan Data (Knowledge and Data Engineering)</v>
      </c>
      <c r="N131" s="175"/>
      <c r="O131" s="175" t="str">
        <f ca="1">IFERROR(__xludf.DUMMYFUNCTION("""COMPUTED_VALUE"""),"Mathias Prathama")</f>
        <v>Mathias Prathama</v>
      </c>
      <c r="P131" s="175" t="str">
        <f ca="1">IFERROR(__xludf.DUMMYFUNCTION("""COMPUTED_VALUE"""),"Terdaftar DJKI")</f>
        <v>Terdaftar DJKI</v>
      </c>
      <c r="Q131" s="973" t="str">
        <f ca="1">IFERROR(__xludf.DUMMYFUNCTION("""COMPUTED_VALUE"""),"Hak Cipta")</f>
        <v>Hak Cipta</v>
      </c>
      <c r="R131" s="175" t="str">
        <f ca="1">IFERROR(__xludf.DUMMYFUNCTION("""COMPUTED_VALUE"""),"EC002025132930")</f>
        <v>EC002025132930</v>
      </c>
      <c r="S131" s="973"/>
    </row>
    <row r="132" spans="2:19" ht="15.75" customHeight="1">
      <c r="B132" s="275"/>
      <c r="C132" s="175"/>
      <c r="D132" s="175"/>
      <c r="E132" s="175"/>
      <c r="F132" s="175"/>
      <c r="G132" s="175"/>
      <c r="H132" s="175"/>
      <c r="I132" s="175"/>
      <c r="L132" s="175" t="str">
        <f ca="1">IFERROR(__xludf.DUMMYFUNCTION("""COMPUTED_VALUE"""),"LIKOE - A Simple Liquefaction Analysis Tool")</f>
        <v>LIKOE - A Simple Liquefaction Analysis Tool</v>
      </c>
      <c r="M132" s="175" t="str">
        <f ca="1">IFERROR(__xludf.DUMMYFUNCTION("""COMPUTED_VALUE"""),"Pengolahan Bahasa Alami (Natural Language Processing)")</f>
        <v>Pengolahan Bahasa Alami (Natural Language Processing)</v>
      </c>
      <c r="N132" s="175"/>
      <c r="O132" s="175" t="str">
        <f ca="1">IFERROR(__xludf.DUMMYFUNCTION("""COMPUTED_VALUE"""),"Wa Ode Sumartini, Volvariella Volvacea, Adi Susilo")</f>
        <v>Wa Ode Sumartini, Volvariella Volvacea, Adi Susilo</v>
      </c>
      <c r="P132" s="175" t="str">
        <f ca="1">IFERROR(__xludf.DUMMYFUNCTION("""COMPUTED_VALUE"""),"Terdaftar DJKI")</f>
        <v>Terdaftar DJKI</v>
      </c>
      <c r="Q132" s="973" t="str">
        <f ca="1">IFERROR(__xludf.DUMMYFUNCTION("""COMPUTED_VALUE"""),"Hak Cipta")</f>
        <v>Hak Cipta</v>
      </c>
      <c r="R132" s="175" t="str">
        <f ca="1">IFERROR(__xludf.DUMMYFUNCTION("""COMPUTED_VALUE"""),"EC002025132933")</f>
        <v>EC002025132933</v>
      </c>
      <c r="S132" s="973">
        <f ca="1">IFERROR(__xludf.DUMMYFUNCTION("""COMPUTED_VALUE"""),45873)</f>
        <v>45873</v>
      </c>
    </row>
    <row r="133" spans="2:19" ht="15.75" customHeight="1">
      <c r="B133" s="275"/>
      <c r="C133" s="175"/>
      <c r="D133" s="175"/>
      <c r="E133" s="175"/>
      <c r="F133" s="175"/>
      <c r="G133" s="175"/>
      <c r="H133" s="175"/>
      <c r="I133" s="175"/>
      <c r="L133" s="175" t="str">
        <f ca="1">IFERROR(__xludf.DUMMYFUNCTION("""COMPUTED_VALUE"""),"TerraClassify")</f>
        <v>TerraClassify</v>
      </c>
      <c r="M133" s="175" t="str">
        <f ca="1">IFERROR(__xludf.DUMMYFUNCTION("""COMPUTED_VALUE"""),"Pengolahan Bahasa Alami (Natural Language Processing)")</f>
        <v>Pengolahan Bahasa Alami (Natural Language Processing)</v>
      </c>
      <c r="N133" s="175"/>
      <c r="O133" s="175" t="str">
        <f ca="1">IFERROR(__xludf.DUMMYFUNCTION("""COMPUTED_VALUE"""),"Rachmawan Atmaji Perdana, S.Kom., Mohammad Hamdani, S.T., M.TI, Tanzi Mubaroq Santoso, S.Kom., Risnandar, Ph.D, Fara Ayuningtyas, S.Kom., Monica Dwi Wahyu Sumunaringrum, ST.")</f>
        <v>Rachmawan Atmaji Perdana, S.Kom., Mohammad Hamdani, S.T., M.TI, Tanzi Mubaroq Santoso, S.Kom., Risnandar, Ph.D, Fara Ayuningtyas, S.Kom., Monica Dwi Wahyu Sumunaringrum, ST.</v>
      </c>
      <c r="P133" s="175" t="str">
        <f ca="1">IFERROR(__xludf.DUMMYFUNCTION("""COMPUTED_VALUE"""),"Terdaftar DJKI")</f>
        <v>Terdaftar DJKI</v>
      </c>
      <c r="Q133" s="973" t="str">
        <f ca="1">IFERROR(__xludf.DUMMYFUNCTION("""COMPUTED_VALUE"""),"Hak Cipta")</f>
        <v>Hak Cipta</v>
      </c>
      <c r="R133" s="175" t="str">
        <f ca="1">IFERROR(__xludf.DUMMYFUNCTION("""COMPUTED_VALUE"""),"EC002025142803,")</f>
        <v>EC002025142803,</v>
      </c>
      <c r="S133" s="973">
        <f ca="1">IFERROR(__xludf.DUMMYFUNCTION("""COMPUTED_VALUE"""),45929)</f>
        <v>45929</v>
      </c>
    </row>
    <row r="134" spans="2:19" ht="15.75" customHeight="1">
      <c r="B134" s="275"/>
      <c r="C134" s="175"/>
      <c r="D134" s="175"/>
      <c r="E134" s="175"/>
      <c r="F134" s="175"/>
      <c r="G134" s="175"/>
      <c r="H134" s="175"/>
      <c r="I134" s="175"/>
      <c r="L134" s="175" t="str">
        <f ca="1">IFERROR(__xludf.DUMMYFUNCTION("""COMPUTED_VALUE"""),"Aplikasi Pemrosesan Data SAR Sentinel-1 untuk Analysis Ready Data (ARD) Time Series dalam Pemantauan Periodik Lahan Sawah")</f>
        <v>Aplikasi Pemrosesan Data SAR Sentinel-1 untuk Analysis Ready Data (ARD) Time Series dalam Pemantauan Periodik Lahan Sawah</v>
      </c>
      <c r="M134" s="175" t="str">
        <f ca="1">IFERROR(__xludf.DUMMYFUNCTION("""COMPUTED_VALUE"""),"Pemerintahan Digital (Digital Government)")</f>
        <v>Pemerintahan Digital (Digital Government)</v>
      </c>
      <c r="N134" s="175"/>
      <c r="O134" s="175" t="str">
        <f ca="1">IFERROR(__xludf.DUMMYFUNCTION("""COMPUTED_VALUE"""),"Dede Dirgahayu Domiri
I Made Parsa
Hilda Ayu Pratikasiwi
Siti Nadia Nurhidayah
R. Johannes Manalu
Kurdianto
Yanuar Ryan Irawan")</f>
        <v>Dede Dirgahayu Domiri
I Made Parsa
Hilda Ayu Pratikasiwi
Siti Nadia Nurhidayah
R. Johannes Manalu
Kurdianto
Yanuar Ryan Irawan</v>
      </c>
      <c r="P134" s="175" t="str">
        <f ca="1">IFERROR(__xludf.DUMMYFUNCTION("""COMPUTED_VALUE"""),"Terdaftar DJKI")</f>
        <v>Terdaftar DJKI</v>
      </c>
      <c r="Q134" s="973" t="str">
        <f ca="1">IFERROR(__xludf.DUMMYFUNCTION("""COMPUTED_VALUE"""),"Hak Cipta")</f>
        <v>Hak Cipta</v>
      </c>
      <c r="R134" s="175" t="str">
        <f ca="1">IFERROR(__xludf.DUMMYFUNCTION("""COMPUTED_VALUE"""),"EC002025142801")</f>
        <v>EC002025142801</v>
      </c>
      <c r="S134" s="973"/>
    </row>
    <row r="135" spans="2:19" ht="15.75" customHeight="1">
      <c r="B135" s="275"/>
      <c r="C135" s="175"/>
      <c r="D135" s="175"/>
      <c r="E135" s="175"/>
      <c r="F135" s="175"/>
      <c r="G135" s="175"/>
      <c r="H135" s="175"/>
      <c r="I135" s="175"/>
      <c r="L135" s="175" t="str">
        <f ca="1">IFERROR(__xludf.DUMMYFUNCTION("""COMPUTED_VALUE"""),"Collab Identifier")</f>
        <v>Collab Identifier</v>
      </c>
      <c r="M135" s="175" t="str">
        <f ca="1">IFERROR(__xludf.DUMMYFUNCTION("""COMPUTED_VALUE"""),"Interaksi Manusia-Komputer dan Visualisasi (Human Computer Interaction and Visualisation)")</f>
        <v>Interaksi Manusia-Komputer dan Visualisasi (Human Computer Interaction and Visualisation)</v>
      </c>
      <c r="N135" s="175"/>
      <c r="O135" s="175" t="str">
        <f ca="1">IFERROR(__xludf.DUMMYFUNCTION("""COMPUTED_VALUE"""),"Dimas Bratakusumah; 
Dian Raisa Gumilar; 
Diash Firdaus; 
Yusup
Miftahuddin")</f>
        <v>Dimas Bratakusumah; 
Dian Raisa Gumilar; 
Diash Firdaus; 
Yusup
Miftahuddin</v>
      </c>
      <c r="P135" s="175" t="str">
        <f ca="1">IFERROR(__xludf.DUMMYFUNCTION("""COMPUTED_VALUE"""),"Tersertifikasi")</f>
        <v>Tersertifikasi</v>
      </c>
      <c r="Q135" s="973" t="str">
        <f ca="1">IFERROR(__xludf.DUMMYFUNCTION("""COMPUTED_VALUE"""),"Hak Cipta")</f>
        <v>Hak Cipta</v>
      </c>
      <c r="R135" s="175" t="str">
        <f ca="1">IFERROR(__xludf.DUMMYFUNCTION("""COMPUTED_VALUE"""),"EC002025156074")</f>
        <v>EC002025156074</v>
      </c>
      <c r="S135" s="973">
        <f ca="1">IFERROR(__xludf.DUMMYFUNCTION("""COMPUTED_VALUE"""),45824)</f>
        <v>45824</v>
      </c>
    </row>
    <row r="136" spans="2:19" ht="15.75" customHeight="1">
      <c r="B136" s="275"/>
      <c r="C136" s="175"/>
      <c r="D136" s="175"/>
      <c r="E136" s="175"/>
      <c r="F136" s="175"/>
      <c r="G136" s="175"/>
      <c r="H136" s="175"/>
      <c r="I136" s="175"/>
      <c r="L136" s="175" t="str">
        <f ca="1">IFERROR(__xludf.DUMMYFUNCTION("""COMPUTED_VALUE"""),"Dataset Citra Satelit Sentinel-1 (VH dan RPI) Komposit 15 Harian untuk Pemodelan Fase Pertumbuhan Padi Nasional tahun 2025")</f>
        <v>Dataset Citra Satelit Sentinel-1 (VH dan RPI) Komposit 15 Harian untuk Pemodelan Fase Pertumbuhan Padi Nasional tahun 2025</v>
      </c>
      <c r="M136" s="175" t="str">
        <f ca="1">IFERROR(__xludf.DUMMYFUNCTION("""COMPUTED_VALUE"""),"Pemerintahan Digital (Digital Government)")</f>
        <v>Pemerintahan Digital (Digital Government)</v>
      </c>
      <c r="N136" s="175"/>
      <c r="O136" s="175"/>
      <c r="P136" s="175" t="str">
        <f ca="1">IFERROR(__xludf.DUMMYFUNCTION("""COMPUTED_VALUE"""),"Terdaftar DJKI")</f>
        <v>Terdaftar DJKI</v>
      </c>
      <c r="Q136" s="973" t="str">
        <f ca="1">IFERROR(__xludf.DUMMYFUNCTION("""COMPUTED_VALUE"""),"Hak Cipta")</f>
        <v>Hak Cipta</v>
      </c>
      <c r="R136" s="175" t="str">
        <f ca="1">IFERROR(__xludf.DUMMYFUNCTION("""COMPUTED_VALUE"""),"EC002025209704")</f>
        <v>EC002025209704</v>
      </c>
      <c r="S136" s="973"/>
    </row>
    <row r="137" spans="2:19" ht="15.75" customHeight="1">
      <c r="B137" s="275"/>
      <c r="C137" s="175"/>
      <c r="D137" s="175"/>
      <c r="E137" s="175"/>
      <c r="F137" s="175"/>
      <c r="G137" s="175"/>
      <c r="H137" s="175"/>
      <c r="I137" s="175"/>
      <c r="L137" s="175" t="str">
        <f ca="1">IFERROR(__xludf.DUMMYFUNCTION("""COMPUTED_VALUE"""),"Sistem Prediksi Potensi Bullying melalui Pola Emosi berbasis SuaraMenggunakan Deep Learning")</f>
        <v>Sistem Prediksi Potensi Bullying melalui Pola Emosi berbasis SuaraMenggunakan Deep Learning</v>
      </c>
      <c r="M137" s="175" t="str">
        <f ca="1">IFERROR(__xludf.DUMMYFUNCTION("""COMPUTED_VALUE"""),"Pengolahan Bahasa Alami (Natural Language Processing)")</f>
        <v>Pengolahan Bahasa Alami (Natural Language Processing)</v>
      </c>
      <c r="N137" s="175"/>
      <c r="O137" s="175" t="str">
        <f ca="1">IFERROR(__xludf.DUMMYFUNCTION("""COMPUTED_VALUE"""),"PUTU HARRY GUNAWAN
YESY DIAH ROSITA
Yohana Wuri Satwika
Arfin Nurma Halida
RIFKI WIJAYA
Insan Ramadhan
TJOKORDA AGUNG BUDIWIRAYUDA
Rully Kusumajaya
I NYOMAN MANUTAMA SURYAJAGADHITA
ANANDA ARTI WIDIGDO
BRYAN DHANIEL")</f>
        <v>PUTU HARRY GUNAWAN
YESY DIAH ROSITA
Yohana Wuri Satwika
Arfin Nurma Halida
RIFKI WIJAYA
Insan Ramadhan
TJOKORDA AGUNG BUDIWIRAYUDA
Rully Kusumajaya
I NYOMAN MANUTAMA SURYAJAGADHITA
ANANDA ARTI WIDIGDO
BRYAN DHANIEL</v>
      </c>
      <c r="P137" s="175" t="str">
        <f ca="1">IFERROR(__xludf.DUMMYFUNCTION("""COMPUTED_VALUE"""),"Terdaftar DJKI")</f>
        <v>Terdaftar DJKI</v>
      </c>
      <c r="Q137" s="973" t="str">
        <f ca="1">IFERROR(__xludf.DUMMYFUNCTION("""COMPUTED_VALUE"""),"Hak Cipta")</f>
        <v>Hak Cipta</v>
      </c>
      <c r="R137" s="175" t="str">
        <f ca="1">IFERROR(__xludf.DUMMYFUNCTION("""COMPUTED_VALUE"""),"EC002025149137")</f>
        <v>EC002025149137</v>
      </c>
      <c r="S137" s="973">
        <f ca="1">IFERROR(__xludf.DUMMYFUNCTION("""COMPUTED_VALUE"""),45938)</f>
        <v>45938</v>
      </c>
    </row>
    <row r="138" spans="2:19" ht="15.75" customHeight="1">
      <c r="B138" s="275"/>
      <c r="C138" s="175"/>
      <c r="D138" s="175"/>
      <c r="E138" s="175"/>
      <c r="F138" s="175"/>
      <c r="G138" s="175"/>
      <c r="H138" s="175"/>
      <c r="I138" s="175"/>
      <c r="L138" s="175" t="str">
        <f ca="1">IFERROR(__xludf.DUMMYFUNCTION("""COMPUTED_VALUE"""),"METODE PELAPISAN Ni-P-La UNTUK MENINGKATKAN KETAHANAN KOROSI PADA PADUAN ALUMINIUM")</f>
        <v>METODE PELAPISAN Ni-P-La UNTUK MENINGKATKAN KETAHANAN KOROSI PADA PADUAN ALUMINIUM</v>
      </c>
      <c r="M138" s="175" t="str">
        <f ca="1">IFERROR(__xludf.DUMMYFUNCTION("""COMPUTED_VALUE"""),"Rekayasa Pengetahuan dan Data (Knowledge and Data Engineering)")</f>
        <v>Rekayasa Pengetahuan dan Data (Knowledge and Data Engineering)</v>
      </c>
      <c r="N138" s="175"/>
      <c r="O138" s="175" t="str">
        <f ca="1">IFERROR(__xludf.DUMMYFUNCTION("""COMPUTED_VALUE"""),"Rahayu Kusumastuti; Gadang Priyotomo; Arini Nikitasari; Siska Prifiharni; Siti Musabikha; Yulinda Lestari; Ahmad Royani; Sriyono; Jan Setiawan; Joko Triwardono
")</f>
        <v xml:space="preserve">Rahayu Kusumastuti; Gadang Priyotomo; Arini Nikitasari; Siska Prifiharni; Siti Musabikha; Yulinda Lestari; Ahmad Royani; Sriyono; Jan Setiawan; Joko Triwardono
</v>
      </c>
      <c r="P138" s="175" t="str">
        <f ca="1">IFERROR(__xludf.DUMMYFUNCTION("""COMPUTED_VALUE"""),"Terdaftar DJKI")</f>
        <v>Terdaftar DJKI</v>
      </c>
      <c r="Q138" s="973" t="str">
        <f ca="1">IFERROR(__xludf.DUMMYFUNCTION("""COMPUTED_VALUE"""),"Paten")</f>
        <v>Paten</v>
      </c>
      <c r="R138" s="175" t="str">
        <f ca="1">IFERROR(__xludf.DUMMYFUNCTION("""COMPUTED_VALUE"""),"S00202508941")</f>
        <v>S00202508941</v>
      </c>
      <c r="S138" s="973">
        <f ca="1">IFERROR(__xludf.DUMMYFUNCTION("""COMPUTED_VALUE"""),45916)</f>
        <v>45916</v>
      </c>
    </row>
    <row r="139" spans="2:19" ht="15.75" customHeight="1">
      <c r="B139" s="275"/>
      <c r="C139" s="175"/>
      <c r="D139" s="175"/>
      <c r="E139" s="175"/>
      <c r="F139" s="175"/>
      <c r="G139" s="175"/>
      <c r="H139" s="175"/>
      <c r="I139" s="175"/>
      <c r="L139" s="175" t="str">
        <f ca="1">IFERROR(__xludf.DUMMYFUNCTION("""COMPUTED_VALUE"""),"Program Komputer Perangkat Spatial Decision Support System (SDSS) Site Selection Rumah Tahan Gempa, Tahan Api, Cepat Bangun, dan Murah (SDSS Site-RTM)")</f>
        <v>Program Komputer Perangkat Spatial Decision Support System (SDSS) Site Selection Rumah Tahan Gempa, Tahan Api, Cepat Bangun, dan Murah (SDSS Site-RTM)</v>
      </c>
      <c r="M139" s="175" t="str">
        <f ca="1">IFERROR(__xludf.DUMMYFUNCTION("""COMPUTED_VALUE"""),"Pengolahan Bahasa Alami (Natural Language Processing)")</f>
        <v>Pengolahan Bahasa Alami (Natural Language Processing)</v>
      </c>
      <c r="N139" s="175"/>
      <c r="O139" s="175" t="str">
        <f ca="1">IFERROR(__xludf.DUMMYFUNCTION("""COMPUTED_VALUE"""),"Dewayany Sutrisno        
Robby Arifandri        
Hari Prayogi        
Muhammad Iqbal Habibie        
Ati Rahadiati        
Udrekh        
Trevi Jayanti Puspasari        
Sukahar Eka Adi Saputra    
Amien Widodo")</f>
        <v>Dewayany Sutrisno        
Robby Arifandri        
Hari Prayogi        
Muhammad Iqbal Habibie        
Ati Rahadiati        
Udrekh        
Trevi Jayanti Puspasari        
Sukahar Eka Adi Saputra    
Amien Widodo</v>
      </c>
      <c r="P139" s="175" t="str">
        <f ca="1">IFERROR(__xludf.DUMMYFUNCTION("""COMPUTED_VALUE"""),"Terdaftar DJKI")</f>
        <v>Terdaftar DJKI</v>
      </c>
      <c r="Q139" s="973" t="str">
        <f ca="1">IFERROR(__xludf.DUMMYFUNCTION("""COMPUTED_VALUE"""),"Hak Cipta")</f>
        <v>Hak Cipta</v>
      </c>
      <c r="R139" s="175" t="str">
        <f ca="1">IFERROR(__xludf.DUMMYFUNCTION("""COMPUTED_VALUE"""),"EC002025119060")</f>
        <v>EC002025119060</v>
      </c>
      <c r="S139" s="973"/>
    </row>
    <row r="140" spans="2:19" ht="15.75" customHeight="1">
      <c r="B140" s="275"/>
      <c r="C140" s="175"/>
      <c r="D140" s="175"/>
      <c r="E140" s="175"/>
      <c r="F140" s="175"/>
      <c r="G140" s="175"/>
      <c r="H140" s="175"/>
      <c r="I140" s="175"/>
      <c r="L140" s="175" t="str">
        <f ca="1">IFERROR(__xludf.DUMMYFUNCTION("""COMPUTED_VALUE"""),"Software Simulasi Pendeteksian Teletsunami Berbasis Algoritma DLPT (Detection with Lengthening Prediction Time)")</f>
        <v>Software Simulasi Pendeteksian Teletsunami Berbasis Algoritma DLPT (Detection with Lengthening Prediction Time)</v>
      </c>
      <c r="M140" s="175" t="str">
        <f ca="1">IFERROR(__xludf.DUMMYFUNCTION("""COMPUTED_VALUE"""),"Pengolahan Bahasa Alami (Natural Language Processing)")</f>
        <v>Pengolahan Bahasa Alami (Natural Language Processing)</v>
      </c>
      <c r="N140" s="175"/>
      <c r="O140" s="175" t="str">
        <f ca="1">IFERROR(__xludf.DUMMYFUNCTION("""COMPUTED_VALUE"""),"Fara Ayuningtyas
 Miranti Jatnika Riski
 Siti Shaleha
 Monica Dwi Wahyu
")</f>
        <v xml:space="preserve">Fara Ayuningtyas
 Miranti Jatnika Riski
 Siti Shaleha
 Monica Dwi Wahyu
</v>
      </c>
      <c r="P140" s="175" t="str">
        <f ca="1">IFERROR(__xludf.DUMMYFUNCTION("""COMPUTED_VALUE"""),"Terdaftar DJKI")</f>
        <v>Terdaftar DJKI</v>
      </c>
      <c r="Q140" s="973" t="str">
        <f ca="1">IFERROR(__xludf.DUMMYFUNCTION("""COMPUTED_VALUE"""),"Hak Cipta")</f>
        <v>Hak Cipta</v>
      </c>
      <c r="R140" s="175" t="str">
        <f ca="1">IFERROR(__xludf.DUMMYFUNCTION("""COMPUTED_VALUE"""),"EC002025156084")</f>
        <v>EC002025156084</v>
      </c>
      <c r="S140" s="973"/>
    </row>
    <row r="141" spans="2:19" ht="15.75" customHeight="1">
      <c r="B141" s="275"/>
      <c r="C141" s="175"/>
      <c r="D141" s="175"/>
      <c r="E141" s="175"/>
      <c r="F141" s="175"/>
      <c r="G141" s="175"/>
      <c r="H141" s="175"/>
      <c r="I141" s="175"/>
      <c r="L141" s="175" t="str">
        <f ca="1">IFERROR(__xludf.DUMMYFUNCTION("""COMPUTED_VALUE"""),"DESAIN ASET VISUAL GAME 2D MANGGARAI NUSA TENGGARA TIMUR")</f>
        <v>DESAIN ASET VISUAL GAME 2D MANGGARAI NUSA TENGGARA TIMUR</v>
      </c>
      <c r="M141" s="175" t="str">
        <f ca="1">IFERROR(__xludf.DUMMYFUNCTION("""COMPUTED_VALUE"""),"Interaksi Manusia-Komputer dan Visualisasi (Human Computer Interaction and Visualisation)")</f>
        <v>Interaksi Manusia-Komputer dan Visualisasi (Human Computer Interaction and Visualisation)</v>
      </c>
      <c r="N141" s="175"/>
      <c r="O141" s="175" t="str">
        <f ca="1">IFERROR(__xludf.DUMMYFUNCTION("""COMPUTED_VALUE""")," 1 MOH. REFFY ADITYA DHARMA (TelU)
 2 ARIEF BUDIMAN (TelU)
 3 RIKY TAUFIK AFIF (TelU)")</f>
        <v xml:space="preserve"> 1 MOH. REFFY ADITYA DHARMA (TelU)
 2 ARIEF BUDIMAN (TelU)
 3 RIKY TAUFIK AFIF (TelU)</v>
      </c>
      <c r="P141" s="175" t="str">
        <f ca="1">IFERROR(__xludf.DUMMYFUNCTION("""COMPUTED_VALUE"""),"Tersertifikasi")</f>
        <v>Tersertifikasi</v>
      </c>
      <c r="Q141" s="973" t="str">
        <f ca="1">IFERROR(__xludf.DUMMYFUNCTION("""COMPUTED_VALUE"""),"Hak Cipta")</f>
        <v>Hak Cipta</v>
      </c>
      <c r="R141" s="175" t="str">
        <f ca="1">IFERROR(__xludf.DUMMYFUNCTION("""COMPUTED_VALUE"""),"EC002025068412")</f>
        <v>EC002025068412</v>
      </c>
      <c r="S141" s="973">
        <f ca="1">IFERROR(__xludf.DUMMYFUNCTION("""COMPUTED_VALUE"""),45825)</f>
        <v>45825</v>
      </c>
    </row>
    <row r="142" spans="2:19" ht="15.75" customHeight="1">
      <c r="B142" s="275"/>
      <c r="C142" s="175"/>
      <c r="D142" s="175"/>
      <c r="E142" s="175"/>
      <c r="F142" s="175"/>
      <c r="G142" s="175"/>
      <c r="H142" s="175"/>
      <c r="I142" s="175"/>
      <c r="L142" s="175" t="str">
        <f ca="1">IFERROR(__xludf.DUMMYFUNCTION("""COMPUTED_VALUE"""),"POSLingua-IDEN")</f>
        <v>POSLingua-IDEN</v>
      </c>
      <c r="M142" s="175" t="str">
        <f ca="1">IFERROR(__xludf.DUMMYFUNCTION("""COMPUTED_VALUE"""),"Pengolahan Bahasa Alami (Natural Language Processing)")</f>
        <v>Pengolahan Bahasa Alami (Natural Language Processing)</v>
      </c>
      <c r="N142" s="175"/>
      <c r="O142" s="175"/>
      <c r="P142" s="175" t="str">
        <f ca="1">IFERROR(__xludf.DUMMYFUNCTION("""COMPUTED_VALUE"""),"Terdaftar DJKI")</f>
        <v>Terdaftar DJKI</v>
      </c>
      <c r="Q142" s="973" t="str">
        <f ca="1">IFERROR(__xludf.DUMMYFUNCTION("""COMPUTED_VALUE"""),"Hak Cipta")</f>
        <v>Hak Cipta</v>
      </c>
      <c r="R142" s="175" t="str">
        <f ca="1">IFERROR(__xludf.DUMMYFUNCTION("""COMPUTED_VALUE"""),"EC002025187798")</f>
        <v>EC002025187798</v>
      </c>
      <c r="S142" s="973">
        <f ca="1">IFERROR(__xludf.DUMMYFUNCTION("""COMPUTED_VALUE"""),45950)</f>
        <v>45950</v>
      </c>
    </row>
    <row r="143" spans="2:19" ht="15.75" customHeight="1">
      <c r="B143" s="275"/>
      <c r="C143" s="175"/>
      <c r="D143" s="175"/>
      <c r="E143" s="175"/>
      <c r="F143" s="175"/>
      <c r="G143" s="175"/>
      <c r="H143" s="175"/>
      <c r="I143" s="175"/>
      <c r="L143" s="175" t="str">
        <f ca="1">IFERROR(__xludf.DUMMYFUNCTION("""COMPUTED_VALUE"""),"Sistem Deteksi Berita Palsu dengan XAI dan Model Transformer Bahasa Indonesia")</f>
        <v>Sistem Deteksi Berita Palsu dengan XAI dan Model Transformer Bahasa Indonesia</v>
      </c>
      <c r="M143" s="175" t="str">
        <f ca="1">IFERROR(__xludf.DUMMYFUNCTION("""COMPUTED_VALUE"""),"Pengolahan Bahasa Alami (Natural Language Processing)")</f>
        <v>Pengolahan Bahasa Alami (Natural Language Processing)</v>
      </c>
      <c r="N143" s="175"/>
      <c r="O143" s="175" t="str">
        <f ca="1">IFERROR(__xludf.DUMMYFUNCTION("""COMPUTED_VALUE"""),"Nakhwa Azizah 
Syifa Putri Fadhilla
Timotius Devin
Jansen")</f>
        <v>Nakhwa Azizah 
Syifa Putri Fadhilla
Timotius Devin
Jansen</v>
      </c>
      <c r="P143" s="175" t="str">
        <f ca="1">IFERROR(__xludf.DUMMYFUNCTION("""COMPUTED_VALUE"""),"Tersertifikasi")</f>
        <v>Tersertifikasi</v>
      </c>
      <c r="Q143" s="973" t="str">
        <f ca="1">IFERROR(__xludf.DUMMYFUNCTION("""COMPUTED_VALUE"""),"Hak Cipta")</f>
        <v>Hak Cipta</v>
      </c>
      <c r="R143" s="175" t="str">
        <f ca="1">IFERROR(__xludf.DUMMYFUNCTION("""COMPUTED_VALUE"""),"EC002025209700")</f>
        <v>EC002025209700</v>
      </c>
      <c r="S143" s="973">
        <f ca="1">IFERROR(__xludf.DUMMYFUNCTION("""COMPUTED_VALUE"""),45915)</f>
        <v>45915</v>
      </c>
    </row>
    <row r="144" spans="2:19" ht="15.75" customHeight="1">
      <c r="B144" s="275"/>
      <c r="C144" s="175"/>
      <c r="D144" s="175"/>
      <c r="E144" s="175"/>
      <c r="F144" s="175"/>
      <c r="G144" s="175"/>
      <c r="H144" s="175"/>
      <c r="I144" s="175"/>
      <c r="L144" s="175" t="str">
        <f ca="1">IFERROR(__xludf.DUMMYFUNCTION("""COMPUTED_VALUE"""),"Sinkron-AIR: Chatbot Berbasis Large Language Model (LLM) untuk Sinkronisasi Dokumen Hukum Keamanan Laut")</f>
        <v>Sinkron-AIR: Chatbot Berbasis Large Language Model (LLM) untuk Sinkronisasi Dokumen Hukum Keamanan Laut</v>
      </c>
      <c r="M144" s="175" t="str">
        <f ca="1">IFERROR(__xludf.DUMMYFUNCTION("""COMPUTED_VALUE"""),"Pengolahan Bahasa Alami (Natural Language Processing)")</f>
        <v>Pengolahan Bahasa Alami (Natural Language Processing)</v>
      </c>
      <c r="N144" s="175"/>
      <c r="O144" s="175" t="str">
        <f ca="1">IFERROR(__xludf.DUMMYFUNCTION("""COMPUTED_VALUE"""),"Emilia Yustiningrum, Sri Gilang Muhammad Sultan Rahma Putra, Amelya Gustina, Sutan Sorik, Rifki Sadikin, Amarulla Octavian")</f>
        <v>Emilia Yustiningrum, Sri Gilang Muhammad Sultan Rahma Putra, Amelya Gustina, Sutan Sorik, Rifki Sadikin, Amarulla Octavian</v>
      </c>
      <c r="P144" s="175" t="str">
        <f ca="1">IFERROR(__xludf.DUMMYFUNCTION("""COMPUTED_VALUE"""),"Terdaftar DJKI")</f>
        <v>Terdaftar DJKI</v>
      </c>
      <c r="Q144" s="973" t="str">
        <f ca="1">IFERROR(__xludf.DUMMYFUNCTION("""COMPUTED_VALUE"""),"Hak Cipta")</f>
        <v>Hak Cipta</v>
      </c>
      <c r="R144" s="175" t="str">
        <f ca="1">IFERROR(__xludf.DUMMYFUNCTION("""COMPUTED_VALUE"""),"EC002025206593")</f>
        <v>EC002025206593</v>
      </c>
      <c r="S144" s="973"/>
    </row>
    <row r="145" spans="2:19" ht="15.75" customHeight="1">
      <c r="B145" s="275"/>
      <c r="C145" s="175"/>
      <c r="D145" s="175"/>
      <c r="E145" s="175"/>
      <c r="F145" s="175"/>
      <c r="G145" s="175"/>
      <c r="H145" s="175"/>
      <c r="I145" s="175"/>
      <c r="L145" s="175" t="str">
        <f ca="1">IFERROR(__xludf.DUMMYFUNCTION("""COMPUTED_VALUE"""),"Program Antarmuka untuk Klasifikasi Tingkatan Agtron Biji Kopi Panggang")</f>
        <v>Program Antarmuka untuk Klasifikasi Tingkatan Agtron Biji Kopi Panggang</v>
      </c>
      <c r="M145" s="175" t="str">
        <f ca="1">IFERROR(__xludf.DUMMYFUNCTION("""COMPUTED_VALUE"""),"Temu Kembali Informasi (Information Retrieval) ")</f>
        <v xml:space="preserve">Temu Kembali Informasi (Information Retrieval) </v>
      </c>
      <c r="N145" s="175"/>
      <c r="O145" s="175" t="str">
        <f ca="1">IFERROR(__xludf.DUMMYFUNCTION("""COMPUTED_VALUE"""),"Taufik Ibnu Salim; Jony Winaryo Wibowo; Aris Munandar")</f>
        <v>Taufik Ibnu Salim; Jony Winaryo Wibowo; Aris Munandar</v>
      </c>
      <c r="P145" s="175" t="str">
        <f ca="1">IFERROR(__xludf.DUMMYFUNCTION("""COMPUTED_VALUE"""),"Tersertifikasi")</f>
        <v>Tersertifikasi</v>
      </c>
      <c r="Q145" s="973" t="str">
        <f ca="1">IFERROR(__xludf.DUMMYFUNCTION("""COMPUTED_VALUE"""),"Hak Cipta")</f>
        <v>Hak Cipta</v>
      </c>
      <c r="R145" s="175" t="str">
        <f ca="1">IFERROR(__xludf.DUMMYFUNCTION("""COMPUTED_VALUE"""),"EC002025187808")</f>
        <v>EC002025187808</v>
      </c>
      <c r="S145" s="973">
        <f ca="1">IFERROR(__xludf.DUMMYFUNCTION("""COMPUTED_VALUE"""),45932)</f>
        <v>45932</v>
      </c>
    </row>
    <row r="146" spans="2:19" ht="15.75" customHeight="1">
      <c r="B146" s="275"/>
      <c r="C146" s="175"/>
      <c r="D146" s="175"/>
      <c r="E146" s="175"/>
      <c r="F146" s="175"/>
      <c r="G146" s="175"/>
      <c r="H146" s="175"/>
      <c r="I146" s="175"/>
      <c r="L146" s="175" t="str">
        <f ca="1">IFERROR(__xludf.DUMMYFUNCTION("""COMPUTED_VALUE"""),"Dispenser Sistem Pengisian Kendaraan Listrik Roda 4 Arus Bolak Balik")</f>
        <v>Dispenser Sistem Pengisian Kendaraan Listrik Roda 4 Arus Bolak Balik</v>
      </c>
      <c r="M146" s="175" t="str">
        <f ca="1">IFERROR(__xludf.DUMMYFUNCTION("""COMPUTED_VALUE"""),"Rekayasa Pengetahuan dan Data (Knowledge and Data Engineering)")</f>
        <v>Rekayasa Pengetahuan dan Data (Knowledge and Data Engineering)</v>
      </c>
      <c r="N146" s="175"/>
      <c r="O146" s="175" t="str">
        <f ca="1">IFERROR(__xludf.DUMMYFUNCTION("""COMPUTED_VALUE"""),"Dr. Khotimatul Fauziah ST, MT; Dr. Eka Rakhman Priandana, ST, MT; Adisa Larasati, ST; Yuli Astriani, ST, M.Phil; Dionysius Aldion Renata, S.Kom, M.Sc; Prasetyo Aji, S.Si, M.Inf; Munadiyan Nurhuda, ST; Hafsah Halidah, ST, M.Sc; Agus Suhendra, A.Md; Dony Da"&amp;"mara, ST; Rahardito Dio Prastowo, ST; Dhea Amelia Rianjani, A.Md.; Zaenudin, SE; Zulramadhanie, ST; Fariz Maulana Rizanulhaq, ST; Ir. Ario Witjakso, MT; Ir. Riza, M.Eng; Ir. Ganesha Tri Chandrasa, M.Phil, M.Sc; Ir. Sudirman, MT; Suhraeni Syafei, ST; Dr. I"&amp;"r. Barman Tambunan, IPU, APU")</f>
        <v>Dr. Khotimatul Fauziah ST, MT; Dr. Eka Rakhman Priandana, ST, MT; Adisa Larasati, ST; Yuli Astriani, ST, M.Phil; Dionysius Aldion Renata, S.Kom, M.Sc; Prasetyo Aji, S.Si, M.Inf; Munadiyan Nurhuda, ST; Hafsah Halidah, ST, M.Sc; Agus Suhendra, A.Md; Dony Damara, ST; Rahardito Dio Prastowo, ST; Dhea Amelia Rianjani, A.Md.; Zaenudin, SE; Zulramadhanie, ST; Fariz Maulana Rizanulhaq, ST; Ir. Ario Witjakso, MT; Ir. Riza, M.Eng; Ir. Ganesha Tri Chandrasa, M.Phil, M.Sc; Ir. Sudirman, MT; Suhraeni Syafei, ST; Dr. Ir. Barman Tambunan, IPU, APU</v>
      </c>
      <c r="P146" s="175" t="str">
        <f ca="1">IFERROR(__xludf.DUMMYFUNCTION("""COMPUTED_VALUE"""),"Terdaftar DJKI")</f>
        <v>Terdaftar DJKI</v>
      </c>
      <c r="Q146" s="973" t="str">
        <f ca="1">IFERROR(__xludf.DUMMYFUNCTION("""COMPUTED_VALUE"""),"Desain Industri")</f>
        <v>Desain Industri</v>
      </c>
      <c r="R146" s="175" t="str">
        <f ca="1">IFERROR(__xludf.DUMMYFUNCTION("""COMPUTED_VALUE"""),"A00202201124")</f>
        <v>A00202201124</v>
      </c>
      <c r="S146" s="973">
        <f ca="1">IFERROR(__xludf.DUMMYFUNCTION("""COMPUTED_VALUE"""),44658)</f>
        <v>44658</v>
      </c>
    </row>
    <row r="147" spans="2:19" ht="15.75" customHeight="1">
      <c r="B147" s="275"/>
      <c r="C147" s="175"/>
      <c r="D147" s="175"/>
      <c r="E147" s="175"/>
      <c r="F147" s="175"/>
      <c r="G147" s="175"/>
      <c r="H147" s="175"/>
      <c r="I147" s="175"/>
      <c r="L147" s="175" t="str">
        <f ca="1">IFERROR(__xludf.DUMMYFUNCTION("""COMPUTED_VALUE"""),"SDGs Mapping Tools")</f>
        <v>SDGs Mapping Tools</v>
      </c>
      <c r="M147" s="175" t="str">
        <f ca="1">IFERROR(__xludf.DUMMYFUNCTION("""COMPUTED_VALUE"""),"Interaksi Manusia-Komputer dan Visualisasi (Human Computer Interaction and Visualisation)")</f>
        <v>Interaksi Manusia-Komputer dan Visualisasi (Human Computer Interaction and Visualisation)</v>
      </c>
      <c r="N147" s="175"/>
      <c r="O147" s="175" t="str">
        <f ca="1">IFERROR(__xludf.DUMMYFUNCTION("""COMPUTED_VALUE"""),"Bimo Kusumo Putro Wicaksono, Evan Adkara Christian Putra, Yusry Anandita Yulianti")</f>
        <v>Bimo Kusumo Putro Wicaksono, Evan Adkara Christian Putra, Yusry Anandita Yulianti</v>
      </c>
      <c r="P147" s="175" t="str">
        <f ca="1">IFERROR(__xludf.DUMMYFUNCTION("""COMPUTED_VALUE"""),"Tersertifikasi")</f>
        <v>Tersertifikasi</v>
      </c>
      <c r="Q147" s="973" t="str">
        <f ca="1">IFERROR(__xludf.DUMMYFUNCTION("""COMPUTED_VALUE"""),"Hak Cipta")</f>
        <v>Hak Cipta</v>
      </c>
      <c r="R147" s="175" t="str">
        <f ca="1">IFERROR(__xludf.DUMMYFUNCTION("""COMPUTED_VALUE"""),"EC002025206582")</f>
        <v>EC002025206582</v>
      </c>
      <c r="S147" s="973">
        <f ca="1">IFERROR(__xludf.DUMMYFUNCTION("""COMPUTED_VALUE"""),45899)</f>
        <v>45899</v>
      </c>
    </row>
    <row r="148" spans="2:19" ht="15.75" customHeight="1">
      <c r="B148" s="275"/>
      <c r="C148" s="175"/>
      <c r="D148" s="175"/>
      <c r="E148" s="175"/>
      <c r="F148" s="175"/>
      <c r="G148" s="175"/>
      <c r="H148" s="175"/>
      <c r="I148" s="175"/>
      <c r="L148" s="175" t="str">
        <f ca="1">IFERROR(__xludf.DUMMYFUNCTION("""COMPUTED_VALUE"""),"Pemodelan 3D KST Samaun Samadikun")</f>
        <v>Pemodelan 3D KST Samaun Samadikun</v>
      </c>
      <c r="M148" s="175" t="str">
        <f ca="1">IFERROR(__xludf.DUMMYFUNCTION("""COMPUTED_VALUE"""),"Interaksi Manusia-Komputer dan Visualisasi (Human Computer Interaction and Visualisation)")</f>
        <v>Interaksi Manusia-Komputer dan Visualisasi (Human Computer Interaction and Visualisation)</v>
      </c>
      <c r="N148" s="175"/>
      <c r="O148" s="175" t="str">
        <f ca="1">IFERROR(__xludf.DUMMYFUNCTION("""COMPUTED_VALUE"""),"Ayung Candra P., Raden Muhammad, Hariz Riski (UPI)")</f>
        <v>Ayung Candra P., Raden Muhammad, Hariz Riski (UPI)</v>
      </c>
      <c r="P148" s="175" t="str">
        <f ca="1">IFERROR(__xludf.DUMMYFUNCTION("""COMPUTED_VALUE"""),"Tersertifikasi")</f>
        <v>Tersertifikasi</v>
      </c>
      <c r="Q148" s="973" t="str">
        <f ca="1">IFERROR(__xludf.DUMMYFUNCTION("""COMPUTED_VALUE"""),"Hak Cipta")</f>
        <v>Hak Cipta</v>
      </c>
      <c r="R148" s="175" t="str">
        <f ca="1">IFERROR(__xludf.DUMMYFUNCTION("""COMPUTED_VALUE"""),"EC002025187861")</f>
        <v>EC002025187861</v>
      </c>
      <c r="S148" s="973">
        <f ca="1">IFERROR(__xludf.DUMMYFUNCTION("""COMPUTED_VALUE"""),45981)</f>
        <v>45981</v>
      </c>
    </row>
    <row r="149" spans="2:19" ht="15.75" customHeight="1">
      <c r="B149" s="275"/>
      <c r="C149" s="175"/>
      <c r="D149" s="175"/>
      <c r="E149" s="175"/>
      <c r="F149" s="175"/>
      <c r="G149" s="175"/>
      <c r="H149" s="175"/>
      <c r="I149" s="175"/>
      <c r="L149" s="175" t="str">
        <f ca="1">IFERROR(__xludf.DUMMYFUNCTION("""COMPUTED_VALUE"""),"Kalponik (Kalkulator Nutrisi Hidroponik) Digital kalkulator untuk penghitungan pupuk hidroponik AB Mix berdasarkan nilai N-total yang berbasis aplikasi Android")</f>
        <v>Kalponik (Kalkulator Nutrisi Hidroponik) Digital kalkulator untuk penghitungan pupuk hidroponik AB Mix berdasarkan nilai N-total yang berbasis aplikasi Android</v>
      </c>
      <c r="M149" s="175" t="str">
        <f ca="1">IFERROR(__xludf.DUMMYFUNCTION("""COMPUTED_VALUE"""),"Interaksi Manusia-Komputer dan Visualisasi (Human Computer Interaction and Visualisation)")</f>
        <v>Interaksi Manusia-Komputer dan Visualisasi (Human Computer Interaction and Visualisation)</v>
      </c>
      <c r="N149" s="175"/>
      <c r="O149" s="175" t="str">
        <f ca="1">IFERROR(__xludf.DUMMYFUNCTION("""COMPUTED_VALUE"""),"Mathias Prathama, Arief Nurrahman, Aristyo Hadikusuma, Tonny K. Moekasan, Wiwin Setiawati, Nikardi Gunadi, Neni Gunaeni, Eli Korlina Edisaputra, Yadi Suryadi, Bagus Kukuh Udiarto, Irna Surya Bidara")</f>
        <v>Mathias Prathama, Arief Nurrahman, Aristyo Hadikusuma, Tonny K. Moekasan, Wiwin Setiawati, Nikardi Gunadi, Neni Gunaeni, Eli Korlina Edisaputra, Yadi Suryadi, Bagus Kukuh Udiarto, Irna Surya Bidara</v>
      </c>
      <c r="P149" s="175" t="str">
        <f ca="1">IFERROR(__xludf.DUMMYFUNCTION("""COMPUTED_VALUE"""),"Terdaftar DJKI")</f>
        <v>Terdaftar DJKI</v>
      </c>
      <c r="Q149" s="973" t="str">
        <f ca="1">IFERROR(__xludf.DUMMYFUNCTION("""COMPUTED_VALUE"""),"Hak Cipta")</f>
        <v>Hak Cipta</v>
      </c>
      <c r="R149" s="175" t="str">
        <f ca="1">IFERROR(__xludf.DUMMYFUNCTION("""COMPUTED_VALUE"""),"EC002025187800")</f>
        <v>EC002025187800</v>
      </c>
      <c r="S149" s="973">
        <f ca="1">IFERROR(__xludf.DUMMYFUNCTION("""COMPUTED_VALUE"""),45981)</f>
        <v>45981</v>
      </c>
    </row>
    <row r="150" spans="2:19" ht="15.75" customHeight="1">
      <c r="B150" s="275"/>
      <c r="C150" s="175"/>
      <c r="D150" s="175"/>
      <c r="E150" s="175"/>
      <c r="F150" s="175"/>
      <c r="G150" s="175"/>
      <c r="H150" s="175"/>
      <c r="I150" s="175"/>
      <c r="L150" s="175" t="str">
        <f ca="1">IFERROR(__xludf.DUMMYFUNCTION("""COMPUTED_VALUE"""),"DESAIN ASET VISUAL GAME 3D RUMAH ADAT NUSA TENGGARA TIMUR")</f>
        <v>DESAIN ASET VISUAL GAME 3D RUMAH ADAT NUSA TENGGARA TIMUR</v>
      </c>
      <c r="M150" s="175" t="str">
        <f ca="1">IFERROR(__xludf.DUMMYFUNCTION("""COMPUTED_VALUE"""),"Interaksi Manusia-Komputer dan Visualisasi (Human Computer Interaction and Visualisation)")</f>
        <v>Interaksi Manusia-Komputer dan Visualisasi (Human Computer Interaction and Visualisation)</v>
      </c>
      <c r="N150" s="175"/>
      <c r="O150" s="175" t="str">
        <f ca="1">IFERROR(__xludf.DUMMYFUNCTION("""COMPUTED_VALUE"""),"ARIEF AFLAH, ARIEF BUDIMAN, RIKY TAUFIK AFIF
")</f>
        <v xml:space="preserve">ARIEF AFLAH, ARIEF BUDIMAN, RIKY TAUFIK AFIF
</v>
      </c>
      <c r="P150" s="175" t="str">
        <f ca="1">IFERROR(__xludf.DUMMYFUNCTION("""COMPUTED_VALUE"""),"Terdaftar DJKI")</f>
        <v>Terdaftar DJKI</v>
      </c>
      <c r="Q150" s="973" t="str">
        <f ca="1">IFERROR(__xludf.DUMMYFUNCTION("""COMPUTED_VALUE"""),"Hak Cipta")</f>
        <v>Hak Cipta</v>
      </c>
      <c r="R150" s="175" t="str">
        <f ca="1">IFERROR(__xludf.DUMMYFUNCTION("""COMPUTED_VALUE"""),"EC002025068377")</f>
        <v>EC002025068377</v>
      </c>
      <c r="S150" s="973">
        <f ca="1">IFERROR(__xludf.DUMMYFUNCTION("""COMPUTED_VALUE"""),45825)</f>
        <v>45825</v>
      </c>
    </row>
    <row r="151" spans="2:19" ht="15.75" customHeight="1">
      <c r="B151" s="275"/>
      <c r="C151" s="175"/>
      <c r="D151" s="175"/>
      <c r="E151" s="175"/>
      <c r="F151" s="175"/>
      <c r="G151" s="175"/>
      <c r="H151" s="175"/>
      <c r="I151" s="175"/>
      <c r="L151" s="175" t="str">
        <f ca="1">IFERROR(__xludf.DUMMYFUNCTION("""COMPUTED_VALUE"""),"WebLabFon-ID versi 1.0")</f>
        <v>WebLabFon-ID versi 1.0</v>
      </c>
      <c r="M151" s="175" t="str">
        <f ca="1">IFERROR(__xludf.DUMMYFUNCTION("""COMPUTED_VALUE"""),"Pengolahan Bahasa Alami (Natural Language Processing)")</f>
        <v>Pengolahan Bahasa Alami (Natural Language Processing)</v>
      </c>
      <c r="N151" s="175"/>
      <c r="O151" s="175"/>
      <c r="P151" s="175" t="str">
        <f ca="1">IFERROR(__xludf.DUMMYFUNCTION("""COMPUTED_VALUE"""),"Tersertifikasi")</f>
        <v>Tersertifikasi</v>
      </c>
      <c r="Q151" s="973" t="str">
        <f ca="1">IFERROR(__xludf.DUMMYFUNCTION("""COMPUTED_VALUE"""),"Hak Cipta")</f>
        <v>Hak Cipta</v>
      </c>
      <c r="R151" s="175" t="str">
        <f ca="1">IFERROR(__xludf.DUMMYFUNCTION("""COMPUTED_VALUE"""),"EC002025187790")</f>
        <v>EC002025187790</v>
      </c>
      <c r="S151" s="973">
        <f ca="1">IFERROR(__xludf.DUMMYFUNCTION("""COMPUTED_VALUE"""),45898)</f>
        <v>45898</v>
      </c>
    </row>
    <row r="152" spans="2:19" ht="15.75" customHeight="1">
      <c r="B152" s="275"/>
      <c r="C152" s="175"/>
      <c r="D152" s="175"/>
      <c r="E152" s="175"/>
      <c r="F152" s="175"/>
      <c r="G152" s="175"/>
      <c r="H152" s="175"/>
      <c r="I152" s="175"/>
      <c r="L152" s="175" t="str">
        <f ca="1">IFERROR(__xludf.DUMMYFUNCTION("""COMPUTED_VALUE"""),"Backend-LabFon-ID versi 1.0")</f>
        <v>Backend-LabFon-ID versi 1.0</v>
      </c>
      <c r="M152" s="175" t="str">
        <f ca="1">IFERROR(__xludf.DUMMYFUNCTION("""COMPUTED_VALUE"""),"Pengolahan Bahasa Alami (Natural Language Processing)")</f>
        <v>Pengolahan Bahasa Alami (Natural Language Processing)</v>
      </c>
      <c r="N152" s="175"/>
      <c r="O152" s="175"/>
      <c r="P152" s="175" t="str">
        <f ca="1">IFERROR(__xludf.DUMMYFUNCTION("""COMPUTED_VALUE"""),"Terdaftar DJKI")</f>
        <v>Terdaftar DJKI</v>
      </c>
      <c r="Q152" s="973" t="str">
        <f ca="1">IFERROR(__xludf.DUMMYFUNCTION("""COMPUTED_VALUE"""),"Hak Cipta")</f>
        <v>Hak Cipta</v>
      </c>
      <c r="R152" s="175" t="str">
        <f ca="1">IFERROR(__xludf.DUMMYFUNCTION("""COMPUTED_VALUE"""),"EC002025187830")</f>
        <v>EC002025187830</v>
      </c>
      <c r="S152" s="973">
        <f ca="1">IFERROR(__xludf.DUMMYFUNCTION("""COMPUTED_VALUE"""),45981)</f>
        <v>45981</v>
      </c>
    </row>
    <row r="153" spans="2:19" ht="15.75" customHeight="1">
      <c r="B153" s="275"/>
      <c r="C153" s="175"/>
      <c r="D153" s="175"/>
      <c r="E153" s="175"/>
      <c r="F153" s="175"/>
      <c r="G153" s="175"/>
      <c r="H153" s="175"/>
      <c r="I153" s="175"/>
      <c r="L153" s="175" t="str">
        <f ca="1">IFERROR(__xludf.DUMMYFUNCTION("""COMPUTED_VALUE"""),"InaCOVED (Indonesian Corpus for COVID-19 Event Detection) on Online News 2.0")</f>
        <v>InaCOVED (Indonesian Corpus for COVID-19 Event Detection) on Online News 2.0</v>
      </c>
      <c r="M153" s="175" t="str">
        <f ca="1">IFERROR(__xludf.DUMMYFUNCTION("""COMPUTED_VALUE"""),"Temu Kembali Informasi (Information Retrieval) ")</f>
        <v xml:space="preserve">Temu Kembali Informasi (Information Retrieval) </v>
      </c>
      <c r="N153" s="175"/>
      <c r="O153" s="175" t="str">
        <f ca="1">IFERROR(__xludf.DUMMYFUNCTION("""COMPUTED_VALUE"""),"Nur Annisa Putri Rezkia, Nazla Dzaalika Ainaya, Erin Elfitriani, Anita Caroline Gunawan, Dian Kurniasari, Aang Nuryaman, Netti Herawati")</f>
        <v>Nur Annisa Putri Rezkia, Nazla Dzaalika Ainaya, Erin Elfitriani, Anita Caroline Gunawan, Dian Kurniasari, Aang Nuryaman, Netti Herawati</v>
      </c>
      <c r="P153" s="175" t="str">
        <f ca="1">IFERROR(__xludf.DUMMYFUNCTION("""COMPUTED_VALUE"""),"Tersertifikasi")</f>
        <v>Tersertifikasi</v>
      </c>
      <c r="Q153" s="973" t="str">
        <f ca="1">IFERROR(__xludf.DUMMYFUNCTION("""COMPUTED_VALUE"""),"Hak Cipta")</f>
        <v>Hak Cipta</v>
      </c>
      <c r="R153" s="175" t="str">
        <f ca="1">IFERROR(__xludf.DUMMYFUNCTION("""COMPUTED_VALUE"""),"EC002025209705")</f>
        <v>EC002025209705</v>
      </c>
      <c r="S153" s="973">
        <f ca="1">IFERROR(__xludf.DUMMYFUNCTION("""COMPUTED_VALUE"""),46001)</f>
        <v>46001</v>
      </c>
    </row>
    <row r="154" spans="2:19" ht="15.75" customHeight="1">
      <c r="B154" s="275"/>
      <c r="C154" s="175"/>
      <c r="D154" s="175"/>
      <c r="E154" s="175"/>
      <c r="F154" s="175"/>
      <c r="G154" s="175"/>
      <c r="H154" s="175"/>
      <c r="I154" s="175"/>
      <c r="L154" s="175" t="str">
        <f ca="1">IFERROR(__xludf.DUMMYFUNCTION("""COMPUTED_VALUE"""),"iHoya Versi Mobile : Aplikasi Identifikasi Spesies Tanaman Hoya Indonesia")</f>
        <v>iHoya Versi Mobile : Aplikasi Identifikasi Spesies Tanaman Hoya Indonesia</v>
      </c>
      <c r="M154" s="175" t="str">
        <f ca="1">IFERROR(__xludf.DUMMYFUNCTION("""COMPUTED_VALUE"""),"Rekayasa Pengetahuan dan Data (Knowledge and Data Engineering)")</f>
        <v>Rekayasa Pengetahuan dan Data (Knowledge and Data Engineering)</v>
      </c>
      <c r="N154" s="175"/>
      <c r="O154" s="175"/>
      <c r="P154" s="175" t="str">
        <f ca="1">IFERROR(__xludf.DUMMYFUNCTION("""COMPUTED_VALUE"""),"Tersertifikasi")</f>
        <v>Tersertifikasi</v>
      </c>
      <c r="Q154" s="973" t="str">
        <f ca="1">IFERROR(__xludf.DUMMYFUNCTION("""COMPUTED_VALUE"""),"Hak Cipta")</f>
        <v>Hak Cipta</v>
      </c>
      <c r="R154" s="175" t="str">
        <f ca="1">IFERROR(__xludf.DUMMYFUNCTION("""COMPUTED_VALUE"""),"EC002025187802")</f>
        <v>EC002025187802</v>
      </c>
      <c r="S154" s="973"/>
    </row>
    <row r="155" spans="2:19" ht="15.75" customHeight="1">
      <c r="B155" s="275"/>
      <c r="C155" s="175"/>
      <c r="D155" s="175"/>
      <c r="E155" s="175"/>
      <c r="F155" s="175"/>
      <c r="G155" s="175"/>
      <c r="H155" s="175"/>
      <c r="I155" s="175"/>
      <c r="L155" s="175" t="str">
        <f ca="1">IFERROR(__xludf.DUMMYFUNCTION("""COMPUTED_VALUE"""),"Aplikasi Analisis Pengaruh Iklim terhadap Sebaran Tuberkulosis")</f>
        <v>Aplikasi Analisis Pengaruh Iklim terhadap Sebaran Tuberkulosis</v>
      </c>
      <c r="M155" s="175" t="str">
        <f ca="1">IFERROR(__xludf.DUMMYFUNCTION("""COMPUTED_VALUE"""),"Temu Kembali Informasi (Information Retrieval) ")</f>
        <v xml:space="preserve">Temu Kembali Informasi (Information Retrieval) </v>
      </c>
      <c r="N155" s="175"/>
      <c r="O155" s="175" t="str">
        <f ca="1">IFERROR(__xludf.DUMMYFUNCTION("""COMPUTED_VALUE"""),"Rifani Bhakti Natari, Muhammad Hafizh Izzaturrahim")</f>
        <v>Rifani Bhakti Natari, Muhammad Hafizh Izzaturrahim</v>
      </c>
      <c r="P155" s="175" t="str">
        <f ca="1">IFERROR(__xludf.DUMMYFUNCTION("""COMPUTED_VALUE"""),"Tersertifikasi")</f>
        <v>Tersertifikasi</v>
      </c>
      <c r="Q155" s="973" t="str">
        <f ca="1">IFERROR(__xludf.DUMMYFUNCTION("""COMPUTED_VALUE"""),"Hak Cipta")</f>
        <v>Hak Cipta</v>
      </c>
      <c r="R155" s="175" t="str">
        <f ca="1">IFERROR(__xludf.DUMMYFUNCTION("""COMPUTED_VALUE"""),"EC002025187795")</f>
        <v>EC002025187795</v>
      </c>
      <c r="S155" s="973"/>
    </row>
    <row r="156" spans="2:19" ht="15.75" customHeight="1">
      <c r="B156" s="275"/>
      <c r="C156" s="175"/>
      <c r="D156" s="175"/>
      <c r="E156" s="175"/>
      <c r="F156" s="175"/>
      <c r="G156" s="175"/>
      <c r="H156" s="175"/>
      <c r="I156" s="175"/>
      <c r="L156" s="175" t="str">
        <f ca="1">IFERROR(__xludf.DUMMYFUNCTION("""COMPUTED_VALUE"""),"AUDITIN: Aplikasi Penilaian Keamanan Informasi Berdasarkan ISO 27001")</f>
        <v>AUDITIN: Aplikasi Penilaian Keamanan Informasi Berdasarkan ISO 27001</v>
      </c>
      <c r="M156" s="175"/>
      <c r="N156" s="175"/>
      <c r="O156" s="175" t="str">
        <f ca="1">IFERROR(__xludf.DUMMYFUNCTION("""COMPUTED_VALUE"""),"Samsudiat
Cahyono Nugroho
Raden Muhammad Taufik Yuniantoro
Andri Saputra
Yudi Adityawarman
Budhi Riyanto
Lakmi Makarti
Al Hafiz Akbar Maulana Siagian
Shidiq Al Hakim")</f>
        <v>Samsudiat
Cahyono Nugroho
Raden Muhammad Taufik Yuniantoro
Andri Saputra
Yudi Adityawarman
Budhi Riyanto
Lakmi Makarti
Al Hafiz Akbar Maulana Siagian
Shidiq Al Hakim</v>
      </c>
      <c r="P156" s="175" t="str">
        <f ca="1">IFERROR(__xludf.DUMMYFUNCTION("""COMPUTED_VALUE"""),"Tersertifikasi")</f>
        <v>Tersertifikasi</v>
      </c>
      <c r="Q156" s="973" t="str">
        <f ca="1">IFERROR(__xludf.DUMMYFUNCTION("""COMPUTED_VALUE"""),"Hak Cipta")</f>
        <v>Hak Cipta</v>
      </c>
      <c r="R156" s="175" t="str">
        <f ca="1">IFERROR(__xludf.DUMMYFUNCTION("""COMPUTED_VALUE"""),"EC002025187825")</f>
        <v>EC002025187825</v>
      </c>
      <c r="S156" s="973"/>
    </row>
    <row r="157" spans="2:19" ht="15.75" customHeight="1">
      <c r="B157" s="275"/>
      <c r="C157" s="175"/>
      <c r="D157" s="175"/>
      <c r="E157" s="175"/>
      <c r="F157" s="175"/>
      <c r="G157" s="175"/>
      <c r="H157" s="175"/>
      <c r="I157" s="175"/>
      <c r="L157" s="175" t="str">
        <f ca="1">IFERROR(__xludf.DUMMYFUNCTION("""COMPUTED_VALUE"""),"PlanktoScan")</f>
        <v>PlanktoScan</v>
      </c>
      <c r="M157" s="175" t="str">
        <f ca="1">IFERROR(__xludf.DUMMYFUNCTION("""COMPUTED_VALUE"""),"Interaksi Manusia-Komputer dan Visualisasi (Human Computer Interaction and Visualisation)")</f>
        <v>Interaksi Manusia-Komputer dan Visualisasi (Human Computer Interaction and Visualisation)</v>
      </c>
      <c r="N157" s="175"/>
      <c r="O157" s="175"/>
      <c r="P157" s="175" t="str">
        <f ca="1">IFERROR(__xludf.DUMMYFUNCTION("""COMPUTED_VALUE"""),"Tersertifikasi")</f>
        <v>Tersertifikasi</v>
      </c>
      <c r="Q157" s="973" t="str">
        <f ca="1">IFERROR(__xludf.DUMMYFUNCTION("""COMPUTED_VALUE"""),"Hak Cipta")</f>
        <v>Hak Cipta</v>
      </c>
      <c r="R157" s="175" t="str">
        <f ca="1">IFERROR(__xludf.DUMMYFUNCTION("""COMPUTED_VALUE"""),"EC002025209701")</f>
        <v>EC002025209701</v>
      </c>
      <c r="S157" s="973">
        <f ca="1">IFERROR(__xludf.DUMMYFUNCTION("""COMPUTED_VALUE"""),45894)</f>
        <v>45894</v>
      </c>
    </row>
    <row r="158" spans="2:19" ht="15.75" customHeight="1">
      <c r="B158" s="275"/>
      <c r="C158" s="175"/>
      <c r="D158" s="175"/>
      <c r="E158" s="175"/>
      <c r="F158" s="175"/>
      <c r="G158" s="175"/>
      <c r="H158" s="175"/>
      <c r="I158" s="175"/>
      <c r="L158" s="175" t="str">
        <f ca="1">IFERROR(__xludf.DUMMYFUNCTION("""COMPUTED_VALUE"""),"Avatar Pedagogis berbasis budaya")</f>
        <v>Avatar Pedagogis berbasis budaya</v>
      </c>
      <c r="M158" s="175" t="str">
        <f ca="1">IFERROR(__xludf.DUMMYFUNCTION("""COMPUTED_VALUE"""),"Interaksi Manusia-Komputer dan Visualisasi (Human Computer Interaction and Visualisation)")</f>
        <v>Interaksi Manusia-Komputer dan Visualisasi (Human Computer Interaction and Visualisation)</v>
      </c>
      <c r="N158" s="175"/>
      <c r="O158" s="175" t="str">
        <f ca="1">IFERROR(__xludf.DUMMYFUNCTION("""COMPUTED_VALUE"""),"Ratu Berliana Nursabrina Shiddiq, Tiara Radinska Deanda")</f>
        <v>Ratu Berliana Nursabrina Shiddiq, Tiara Radinska Deanda</v>
      </c>
      <c r="P158" s="175" t="str">
        <f ca="1">IFERROR(__xludf.DUMMYFUNCTION("""COMPUTED_VALUE"""),"Tersertifikasi")</f>
        <v>Tersertifikasi</v>
      </c>
      <c r="Q158" s="973" t="str">
        <f ca="1">IFERROR(__xludf.DUMMYFUNCTION("""COMPUTED_VALUE"""),"Hak Cipta")</f>
        <v>Hak Cipta</v>
      </c>
      <c r="R158" s="175" t="str">
        <f ca="1">IFERROR(__xludf.DUMMYFUNCTION("""COMPUTED_VALUE"""),"EC002025206594")</f>
        <v>EC002025206594</v>
      </c>
      <c r="S158" s="973">
        <f ca="1">IFERROR(__xludf.DUMMYFUNCTION("""COMPUTED_VALUE"""),45999)</f>
        <v>45999</v>
      </c>
    </row>
    <row r="159" spans="2:19" ht="15.75" customHeight="1">
      <c r="B159" s="275"/>
      <c r="C159" s="175"/>
      <c r="D159" s="175"/>
      <c r="E159" s="175"/>
      <c r="F159" s="175"/>
      <c r="G159" s="175"/>
      <c r="H159" s="175"/>
      <c r="I159" s="175"/>
      <c r="L159" s="175" t="str">
        <f ca="1">IFERROR(__xludf.DUMMYFUNCTION("""COMPUTED_VALUE"""),"Sistem Informasi Antisipasi Penyebaran Penyakit (SIAPP)")</f>
        <v>Sistem Informasi Antisipasi Penyebaran Penyakit (SIAPP)</v>
      </c>
      <c r="M159" s="175" t="str">
        <f ca="1">IFERROR(__xludf.DUMMYFUNCTION("""COMPUTED_VALUE"""),"Temu Kembali Informasi (Information Retrieval) ")</f>
        <v xml:space="preserve">Temu Kembali Informasi (Information Retrieval) </v>
      </c>
      <c r="N159" s="175"/>
      <c r="O159" s="175"/>
      <c r="P159" s="175" t="str">
        <f ca="1">IFERROR(__xludf.DUMMYFUNCTION("""COMPUTED_VALUE"""),"Terdaftar DJKI")</f>
        <v>Terdaftar DJKI</v>
      </c>
      <c r="Q159" s="973" t="str">
        <f ca="1">IFERROR(__xludf.DUMMYFUNCTION("""COMPUTED_VALUE"""),"Hak Cipta")</f>
        <v>Hak Cipta</v>
      </c>
      <c r="R159" s="175" t="str">
        <f ca="1">IFERROR(__xludf.DUMMYFUNCTION("""COMPUTED_VALUE"""),"EC002025212503")</f>
        <v>EC002025212503</v>
      </c>
      <c r="S159" s="973">
        <f ca="1">IFERROR(__xludf.DUMMYFUNCTION("""COMPUTED_VALUE"""),46003)</f>
        <v>46003</v>
      </c>
    </row>
    <row r="160" spans="2:19" ht="15.75" customHeight="1">
      <c r="B160" s="275"/>
      <c r="C160" s="175"/>
      <c r="D160" s="175"/>
      <c r="E160" s="175"/>
      <c r="F160" s="175"/>
      <c r="G160" s="175"/>
      <c r="H160" s="175"/>
      <c r="I160" s="175"/>
      <c r="L160" s="853" t="str">
        <f ca="1">IFERROR(__xludf.DUMMYFUNCTION("""COMPUTED_VALUE"""),"RekomendasiMenu: Aplikasi Rekomendasi Menu Makanan Sesuai Kebutuhan Nutrisi Masyarakat Indonesia")</f>
        <v>RekomendasiMenu: Aplikasi Rekomendasi Menu Makanan Sesuai Kebutuhan Nutrisi Masyarakat Indonesia</v>
      </c>
      <c r="M160" s="853" t="str">
        <f ca="1">IFERROR(__xludf.DUMMYFUNCTION("""COMPUTED_VALUE"""),"Rekayasa Pengetahuan dan Data (Knowledge and Data Engineering)")</f>
        <v>Rekayasa Pengetahuan dan Data (Knowledge and Data Engineering)</v>
      </c>
      <c r="N160" s="853"/>
      <c r="O160" s="853" t="str">
        <f ca="1">IFERROR(__xludf.DUMMYFUNCTION("""COMPUTED_VALUE"""),"Al Hafiz Akbar Maulana Siagian, Ph.D.
Ammar Widhianta, S.Kom.
Dr. Diana Tri Susetianingtias, S.Kom., MMSI
Dr. Rodiah, ST., MMSI.
Dr. Shidiq Al Hakim, M.Eng.
Dr. Trini Saptariani, S.Kom., MMSI.
Niken Fitria Apriani, S.Kom., M.Kom.")</f>
        <v>Al Hafiz Akbar Maulana Siagian, Ph.D.
Ammar Widhianta, S.Kom.
Dr. Diana Tri Susetianingtias, S.Kom., MMSI
Dr. Rodiah, ST., MMSI.
Dr. Shidiq Al Hakim, M.Eng.
Dr. Trini Saptariani, S.Kom., MMSI.
Niken Fitria Apriani, S.Kom., M.Kom.</v>
      </c>
      <c r="P160" s="853" t="str">
        <f ca="1">IFERROR(__xludf.DUMMYFUNCTION("""COMPUTED_VALUE"""),"Terdaftar DJKI")</f>
        <v>Terdaftar DJKI</v>
      </c>
      <c r="Q160" s="853" t="str">
        <f ca="1">IFERROR(__xludf.DUMMYFUNCTION("""COMPUTED_VALUE"""),"Hak Cipta")</f>
        <v>Hak Cipta</v>
      </c>
      <c r="R160" s="853" t="str">
        <f ca="1">IFERROR(__xludf.DUMMYFUNCTION("""COMPUTED_VALUE"""),"EC002025209715")</f>
        <v>EC002025209715</v>
      </c>
      <c r="S160" s="974"/>
    </row>
    <row r="161" spans="2:19" ht="15.75" customHeight="1">
      <c r="B161" s="275"/>
      <c r="C161" s="175"/>
      <c r="D161" s="175"/>
      <c r="E161" s="175"/>
      <c r="F161" s="175"/>
      <c r="G161" s="175"/>
      <c r="H161" s="175"/>
      <c r="I161" s="175"/>
      <c r="L161" s="853" t="str">
        <f ca="1">IFERROR(__xludf.DUMMYFUNCTION("""COMPUTED_VALUE"""),"Hydrological Modeling - Based Decision Support System (HMB-DSS) versi 1.0")</f>
        <v>Hydrological Modeling - Based Decision Support System (HMB-DSS) versi 1.0</v>
      </c>
      <c r="M161" s="853" t="str">
        <f ca="1">IFERROR(__xludf.DUMMYFUNCTION("""COMPUTED_VALUE"""),"Rekayasa Pengetahuan dan Data (Knowledge and Data Engineering)")</f>
        <v>Rekayasa Pengetahuan dan Data (Knowledge and Data Engineering)</v>
      </c>
      <c r="N161" s="853"/>
      <c r="O161" s="853" t="str">
        <f ca="1">IFERROR(__xludf.DUMMYFUNCTION("""COMPUTED_VALUE"""),"Dr. Apip, M.Eng
Dewi Verawati, S.T.
Atiqotun Fitriyah, S.TP., M.Agr, PhD
Siti Aisyah, S.Si, M.Si
Widya Ningrum, M.Si
Hendro Wibowo, M.Sc
Dr. Luki Subehi, M.Sc")</f>
        <v>Dr. Apip, M.Eng
Dewi Verawati, S.T.
Atiqotun Fitriyah, S.TP., M.Agr, PhD
Siti Aisyah, S.Si, M.Si
Widya Ningrum, M.Si
Hendro Wibowo, M.Sc
Dr. Luki Subehi, M.Sc</v>
      </c>
      <c r="P161" s="853" t="str">
        <f ca="1">IFERROR(__xludf.DUMMYFUNCTION("""COMPUTED_VALUE"""),"Terdaftar DJKI")</f>
        <v>Terdaftar DJKI</v>
      </c>
      <c r="Q161" s="853" t="str">
        <f ca="1">IFERROR(__xludf.DUMMYFUNCTION("""COMPUTED_VALUE"""),"Hak Cipta")</f>
        <v>Hak Cipta</v>
      </c>
      <c r="R161" s="853" t="str">
        <f ca="1">IFERROR(__xludf.DUMMYFUNCTION("""COMPUTED_VALUE"""),"EC002025206578")</f>
        <v>EC002025206578</v>
      </c>
      <c r="S161" s="974"/>
    </row>
    <row r="162" spans="2:19" ht="15.75" customHeight="1">
      <c r="B162" s="275"/>
      <c r="C162" s="175"/>
      <c r="D162" s="175"/>
      <c r="E162" s="175"/>
      <c r="F162" s="175"/>
      <c r="G162" s="175"/>
      <c r="H162" s="175"/>
      <c r="I162" s="175"/>
    </row>
    <row r="163" spans="2:19" ht="15.75" customHeight="1">
      <c r="B163" s="275"/>
      <c r="C163" s="175"/>
      <c r="D163" s="175"/>
      <c r="E163" s="175"/>
      <c r="F163" s="175"/>
      <c r="G163" s="175"/>
      <c r="H163" s="175"/>
      <c r="I163" s="175"/>
    </row>
    <row r="164" spans="2:19" ht="15.75" customHeight="1">
      <c r="B164" s="275"/>
      <c r="C164" s="175"/>
      <c r="D164" s="175"/>
      <c r="E164" s="175"/>
      <c r="F164" s="175"/>
      <c r="G164" s="175"/>
      <c r="H164" s="175"/>
      <c r="I164" s="175"/>
    </row>
    <row r="165" spans="2:19" ht="15.75" customHeight="1">
      <c r="B165" s="275"/>
      <c r="C165" s="175"/>
      <c r="D165" s="175"/>
      <c r="E165" s="175"/>
      <c r="F165" s="175"/>
      <c r="G165" s="175"/>
      <c r="H165" s="175"/>
      <c r="I165" s="175"/>
    </row>
    <row r="166" spans="2:19" ht="15.75" customHeight="1">
      <c r="B166" s="275"/>
      <c r="C166" s="175"/>
      <c r="D166" s="175"/>
      <c r="E166" s="175"/>
      <c r="F166" s="175"/>
      <c r="G166" s="175"/>
      <c r="H166" s="175"/>
      <c r="I166" s="175"/>
    </row>
    <row r="167" spans="2:19" ht="15.75" customHeight="1">
      <c r="B167" s="275"/>
      <c r="C167" s="175"/>
      <c r="D167" s="175"/>
      <c r="E167" s="175"/>
      <c r="F167" s="175"/>
      <c r="G167" s="175"/>
      <c r="H167" s="175"/>
      <c r="I167" s="175"/>
    </row>
    <row r="168" spans="2:19" ht="15.75" customHeight="1">
      <c r="B168" s="275"/>
      <c r="C168" s="175"/>
      <c r="D168" s="175"/>
      <c r="E168" s="175"/>
      <c r="F168" s="175"/>
      <c r="G168" s="175"/>
      <c r="H168" s="175"/>
      <c r="I168" s="175"/>
    </row>
    <row r="169" spans="2:19" ht="15.75" customHeight="1">
      <c r="B169" s="275"/>
      <c r="C169" s="175"/>
      <c r="D169" s="175"/>
      <c r="E169" s="175"/>
      <c r="F169" s="175"/>
      <c r="G169" s="175"/>
      <c r="H169" s="175"/>
      <c r="I169" s="175"/>
    </row>
    <row r="170" spans="2:19" ht="15.75" customHeight="1">
      <c r="B170" s="275"/>
      <c r="C170" s="175"/>
      <c r="D170" s="175"/>
      <c r="E170" s="175"/>
      <c r="F170" s="175"/>
      <c r="G170" s="175"/>
      <c r="H170" s="175"/>
      <c r="I170" s="175"/>
    </row>
    <row r="171" spans="2:19" ht="15.75" customHeight="1">
      <c r="B171" s="275"/>
      <c r="C171" s="175"/>
      <c r="D171" s="175"/>
      <c r="E171" s="175"/>
      <c r="F171" s="175"/>
      <c r="G171" s="175"/>
      <c r="H171" s="175"/>
      <c r="I171" s="175"/>
    </row>
    <row r="172" spans="2:19" ht="15.75" customHeight="1">
      <c r="B172" s="275"/>
      <c r="C172" s="175"/>
      <c r="D172" s="175"/>
      <c r="E172" s="175"/>
      <c r="F172" s="175"/>
      <c r="G172" s="175"/>
      <c r="H172" s="175"/>
      <c r="I172" s="175"/>
    </row>
    <row r="173" spans="2:19" ht="15.75" customHeight="1">
      <c r="B173" s="275"/>
      <c r="C173" s="175"/>
      <c r="D173" s="175"/>
      <c r="E173" s="175"/>
      <c r="F173" s="175"/>
      <c r="G173" s="175"/>
      <c r="H173" s="175"/>
      <c r="I173" s="175"/>
    </row>
    <row r="174" spans="2:19" ht="15.75" customHeight="1">
      <c r="B174" s="275"/>
      <c r="C174" s="175"/>
      <c r="D174" s="175"/>
      <c r="E174" s="175"/>
      <c r="F174" s="175"/>
      <c r="G174" s="175"/>
      <c r="H174" s="175"/>
      <c r="I174" s="175"/>
    </row>
    <row r="175" spans="2:19" ht="15.75" customHeight="1">
      <c r="B175" s="275"/>
      <c r="C175" s="175"/>
      <c r="D175" s="175"/>
      <c r="E175" s="175"/>
      <c r="F175" s="175"/>
      <c r="G175" s="175"/>
      <c r="H175" s="175"/>
      <c r="I175" s="175"/>
    </row>
    <row r="176" spans="2:19" ht="15.75" customHeight="1">
      <c r="B176" s="275"/>
      <c r="C176" s="175"/>
      <c r="D176" s="175"/>
      <c r="E176" s="175"/>
      <c r="F176" s="175"/>
      <c r="G176" s="175"/>
      <c r="H176" s="175"/>
      <c r="I176" s="175"/>
    </row>
    <row r="177" spans="2:9" ht="15.75" customHeight="1">
      <c r="B177" s="275"/>
      <c r="C177" s="175"/>
      <c r="D177" s="175"/>
      <c r="E177" s="175"/>
      <c r="F177" s="175"/>
      <c r="G177" s="175"/>
      <c r="H177" s="175"/>
      <c r="I177" s="175"/>
    </row>
    <row r="178" spans="2:9" ht="15.75" customHeight="1">
      <c r="B178" s="275"/>
      <c r="C178" s="175"/>
      <c r="D178" s="175"/>
      <c r="E178" s="175"/>
      <c r="F178" s="175"/>
      <c r="G178" s="175"/>
      <c r="H178" s="175"/>
      <c r="I178" s="175"/>
    </row>
    <row r="179" spans="2:9" ht="15.75" customHeight="1">
      <c r="B179" s="275"/>
      <c r="C179" s="175"/>
      <c r="D179" s="175"/>
      <c r="E179" s="175"/>
      <c r="F179" s="175"/>
      <c r="G179" s="175"/>
      <c r="H179" s="175"/>
      <c r="I179" s="175"/>
    </row>
    <row r="180" spans="2:9" ht="15.75" customHeight="1">
      <c r="B180" s="275"/>
      <c r="C180" s="175"/>
      <c r="D180" s="175"/>
      <c r="E180" s="175"/>
      <c r="F180" s="175"/>
      <c r="G180" s="175"/>
      <c r="H180" s="175"/>
      <c r="I180" s="175"/>
    </row>
    <row r="181" spans="2:9" ht="15.75" customHeight="1">
      <c r="B181" s="275"/>
      <c r="C181" s="175"/>
      <c r="D181" s="175"/>
      <c r="E181" s="175"/>
      <c r="F181" s="175"/>
      <c r="G181" s="175"/>
      <c r="H181" s="175"/>
      <c r="I181" s="175"/>
    </row>
    <row r="182" spans="2:9" ht="15.75" customHeight="1">
      <c r="B182" s="275"/>
      <c r="C182" s="175"/>
      <c r="D182" s="175"/>
      <c r="E182" s="175"/>
      <c r="F182" s="175"/>
      <c r="G182" s="175"/>
      <c r="H182" s="175"/>
      <c r="I182" s="175"/>
    </row>
    <row r="183" spans="2:9" ht="15.75" customHeight="1">
      <c r="B183" s="275"/>
      <c r="C183" s="175"/>
      <c r="D183" s="175"/>
      <c r="E183" s="175"/>
      <c r="F183" s="175"/>
      <c r="G183" s="175"/>
      <c r="H183" s="175"/>
      <c r="I183" s="175"/>
    </row>
    <row r="184" spans="2:9" ht="15.75" customHeight="1">
      <c r="B184" s="275"/>
      <c r="C184" s="175"/>
      <c r="D184" s="175"/>
      <c r="E184" s="175"/>
      <c r="F184" s="175"/>
      <c r="G184" s="175"/>
      <c r="H184" s="175"/>
      <c r="I184" s="175"/>
    </row>
    <row r="185" spans="2:9" ht="15.75" customHeight="1">
      <c r="B185" s="275"/>
      <c r="C185" s="175"/>
      <c r="D185" s="175"/>
      <c r="E185" s="175"/>
      <c r="F185" s="175"/>
      <c r="G185" s="175"/>
      <c r="H185" s="175"/>
      <c r="I185" s="175"/>
    </row>
    <row r="186" spans="2:9" ht="15.75" customHeight="1">
      <c r="B186" s="275"/>
      <c r="C186" s="175"/>
      <c r="D186" s="175"/>
      <c r="E186" s="175"/>
      <c r="F186" s="175"/>
      <c r="G186" s="175"/>
      <c r="H186" s="175"/>
      <c r="I186" s="175"/>
    </row>
    <row r="187" spans="2:9" ht="15.75" customHeight="1">
      <c r="B187" s="275"/>
      <c r="C187" s="175"/>
      <c r="D187" s="175"/>
      <c r="E187" s="175"/>
      <c r="F187" s="175"/>
      <c r="G187" s="175"/>
      <c r="H187" s="175"/>
      <c r="I187" s="175"/>
    </row>
    <row r="188" spans="2:9" ht="15.75" customHeight="1">
      <c r="B188" s="275"/>
      <c r="C188" s="175"/>
      <c r="D188" s="175"/>
      <c r="E188" s="175"/>
      <c r="F188" s="175"/>
      <c r="G188" s="175"/>
      <c r="H188" s="175"/>
      <c r="I188" s="175"/>
    </row>
    <row r="189" spans="2:9" ht="15.75" customHeight="1">
      <c r="B189" s="275"/>
      <c r="C189" s="175"/>
      <c r="D189" s="175"/>
      <c r="E189" s="175"/>
      <c r="F189" s="175"/>
      <c r="G189" s="175"/>
      <c r="H189" s="175"/>
      <c r="I189" s="175"/>
    </row>
    <row r="190" spans="2:9" ht="15.75" customHeight="1">
      <c r="B190" s="275"/>
      <c r="C190" s="175"/>
      <c r="D190" s="175"/>
      <c r="E190" s="175"/>
      <c r="F190" s="175"/>
      <c r="G190" s="175"/>
      <c r="H190" s="175"/>
      <c r="I190" s="175"/>
    </row>
    <row r="191" spans="2:9" ht="15.75" customHeight="1">
      <c r="B191" s="275"/>
      <c r="C191" s="175"/>
      <c r="D191" s="175"/>
      <c r="E191" s="175"/>
      <c r="F191" s="175"/>
      <c r="G191" s="175"/>
      <c r="H191" s="175"/>
      <c r="I191" s="175"/>
    </row>
    <row r="192" spans="2:9" ht="15.75" customHeight="1">
      <c r="B192" s="275"/>
      <c r="C192" s="175"/>
      <c r="D192" s="175"/>
      <c r="E192" s="175"/>
      <c r="F192" s="175"/>
      <c r="G192" s="175"/>
      <c r="H192" s="175"/>
      <c r="I192" s="175"/>
    </row>
    <row r="193" spans="2:9" ht="15.75" customHeight="1">
      <c r="B193" s="275"/>
      <c r="C193" s="175"/>
      <c r="D193" s="175"/>
      <c r="E193" s="175"/>
      <c r="F193" s="175"/>
      <c r="G193" s="175"/>
      <c r="H193" s="175"/>
      <c r="I193" s="175"/>
    </row>
    <row r="194" spans="2:9" ht="15.75" customHeight="1">
      <c r="B194" s="275"/>
      <c r="C194" s="175"/>
      <c r="D194" s="175"/>
      <c r="E194" s="175"/>
      <c r="F194" s="175"/>
      <c r="G194" s="175"/>
      <c r="H194" s="175"/>
      <c r="I194" s="175"/>
    </row>
    <row r="195" spans="2:9" ht="15.75" customHeight="1">
      <c r="B195" s="275"/>
      <c r="C195" s="175"/>
      <c r="D195" s="175"/>
      <c r="E195" s="175"/>
      <c r="F195" s="175"/>
      <c r="G195" s="175"/>
      <c r="H195" s="175"/>
      <c r="I195" s="175"/>
    </row>
    <row r="196" spans="2:9" ht="15.75" customHeight="1">
      <c r="B196" s="275"/>
      <c r="C196" s="175"/>
      <c r="D196" s="175"/>
      <c r="E196" s="175"/>
      <c r="F196" s="175"/>
      <c r="G196" s="175"/>
      <c r="H196" s="175"/>
      <c r="I196" s="175"/>
    </row>
    <row r="197" spans="2:9" ht="15.75" customHeight="1">
      <c r="B197" s="275"/>
      <c r="C197" s="175"/>
      <c r="D197" s="175"/>
      <c r="E197" s="175"/>
      <c r="F197" s="175"/>
      <c r="G197" s="175"/>
      <c r="H197" s="175"/>
      <c r="I197" s="175"/>
    </row>
    <row r="198" spans="2:9" ht="15.75" customHeight="1">
      <c r="B198" s="275"/>
      <c r="C198" s="175"/>
      <c r="D198" s="175"/>
      <c r="E198" s="175"/>
      <c r="F198" s="175"/>
      <c r="G198" s="175"/>
      <c r="H198" s="175"/>
      <c r="I198" s="175"/>
    </row>
    <row r="199" spans="2:9" ht="15.75" customHeight="1">
      <c r="B199" s="275"/>
      <c r="C199" s="175"/>
      <c r="D199" s="175"/>
      <c r="E199" s="175"/>
      <c r="F199" s="175"/>
      <c r="G199" s="175"/>
      <c r="H199" s="175"/>
      <c r="I199" s="175"/>
    </row>
    <row r="200" spans="2:9" ht="15.75" customHeight="1">
      <c r="B200" s="275"/>
      <c r="C200" s="175"/>
      <c r="D200" s="175"/>
      <c r="E200" s="175"/>
      <c r="F200" s="175"/>
      <c r="G200" s="175"/>
      <c r="H200" s="175"/>
      <c r="I200" s="175"/>
    </row>
    <row r="201" spans="2:9" ht="15.75" customHeight="1">
      <c r="B201" s="275"/>
      <c r="C201" s="175"/>
      <c r="D201" s="175"/>
      <c r="E201" s="175"/>
      <c r="F201" s="175"/>
      <c r="G201" s="175"/>
      <c r="H201" s="175"/>
      <c r="I201" s="175"/>
    </row>
    <row r="202" spans="2:9" ht="15.75" customHeight="1">
      <c r="B202" s="275"/>
      <c r="C202" s="175"/>
      <c r="D202" s="175"/>
      <c r="E202" s="175"/>
      <c r="F202" s="175"/>
      <c r="G202" s="175"/>
      <c r="H202" s="175"/>
      <c r="I202" s="175"/>
    </row>
    <row r="203" spans="2:9" ht="15.75" customHeight="1">
      <c r="B203" s="275"/>
      <c r="C203" s="175"/>
      <c r="D203" s="175"/>
      <c r="E203" s="175"/>
      <c r="F203" s="175"/>
      <c r="G203" s="175"/>
      <c r="H203" s="175"/>
      <c r="I203" s="175"/>
    </row>
    <row r="204" spans="2:9" ht="15.75" customHeight="1">
      <c r="B204" s="275"/>
      <c r="C204" s="175"/>
      <c r="D204" s="175"/>
      <c r="E204" s="175"/>
      <c r="F204" s="175"/>
      <c r="G204" s="175"/>
      <c r="H204" s="175"/>
      <c r="I204" s="175"/>
    </row>
    <row r="205" spans="2:9" ht="15.75" customHeight="1">
      <c r="B205" s="275"/>
      <c r="C205" s="175"/>
      <c r="D205" s="175"/>
      <c r="E205" s="175"/>
      <c r="F205" s="175"/>
      <c r="G205" s="175"/>
      <c r="H205" s="175"/>
      <c r="I205" s="175"/>
    </row>
    <row r="206" spans="2:9" ht="15.75" customHeight="1">
      <c r="B206" s="275"/>
      <c r="C206" s="175"/>
      <c r="D206" s="175"/>
      <c r="E206" s="175"/>
      <c r="F206" s="175"/>
      <c r="G206" s="175"/>
      <c r="H206" s="175"/>
      <c r="I206" s="175"/>
    </row>
    <row r="207" spans="2:9" ht="15.75" customHeight="1">
      <c r="B207" s="275"/>
    </row>
    <row r="208" spans="2:9" ht="15.75" customHeight="1">
      <c r="B208" s="275"/>
    </row>
    <row r="209" spans="2:2" ht="15.75" customHeight="1">
      <c r="B209" s="275"/>
    </row>
    <row r="210" spans="2:2" ht="15.75" customHeight="1">
      <c r="B210" s="275"/>
    </row>
    <row r="211" spans="2:2" ht="15.75" customHeight="1">
      <c r="B211" s="275"/>
    </row>
    <row r="212" spans="2:2" ht="15.75" customHeight="1">
      <c r="B212" s="275"/>
    </row>
    <row r="213" spans="2:2" ht="15.75" customHeight="1">
      <c r="B213" s="275"/>
    </row>
    <row r="214" spans="2:2" ht="15.75" customHeight="1">
      <c r="B214" s="275"/>
    </row>
    <row r="215" spans="2:2" ht="15.75" customHeight="1">
      <c r="B215" s="275"/>
    </row>
    <row r="216" spans="2:2" ht="15.75" customHeight="1">
      <c r="B216" s="275"/>
    </row>
    <row r="217" spans="2:2" ht="15.75" customHeight="1">
      <c r="B217" s="275"/>
    </row>
    <row r="218" spans="2:2" ht="15.75" customHeight="1">
      <c r="B218" s="275"/>
    </row>
    <row r="219" spans="2:2" ht="15.75" customHeight="1">
      <c r="B219" s="275"/>
    </row>
    <row r="220" spans="2:2" ht="15.75" customHeight="1">
      <c r="B220" s="275"/>
    </row>
    <row r="221" spans="2:2" ht="15.75" customHeight="1">
      <c r="B221" s="275"/>
    </row>
    <row r="222" spans="2:2" ht="15.75" customHeight="1">
      <c r="B222" s="275"/>
    </row>
    <row r="223" spans="2:2" ht="15.75" customHeight="1">
      <c r="B223" s="275"/>
    </row>
    <row r="224" spans="2:2" ht="15.75" customHeight="1">
      <c r="B224" s="275"/>
    </row>
    <row r="225" spans="2:2" ht="15.75" customHeight="1">
      <c r="B225" s="275"/>
    </row>
    <row r="226" spans="2:2" ht="15.75" customHeight="1">
      <c r="B226" s="275"/>
    </row>
    <row r="227" spans="2:2" ht="15.75" customHeight="1">
      <c r="B227" s="275"/>
    </row>
    <row r="228" spans="2:2" ht="15.75" customHeight="1">
      <c r="B228" s="275"/>
    </row>
    <row r="229" spans="2:2" ht="15.75" customHeight="1">
      <c r="B229" s="275"/>
    </row>
    <row r="230" spans="2:2" ht="15.75" customHeight="1">
      <c r="B230" s="275"/>
    </row>
    <row r="231" spans="2:2" ht="15.75" customHeight="1">
      <c r="B231" s="275"/>
    </row>
    <row r="232" spans="2:2" ht="15.75" customHeight="1">
      <c r="B232" s="275"/>
    </row>
    <row r="233" spans="2:2" ht="15.75" customHeight="1">
      <c r="B233" s="275"/>
    </row>
    <row r="234" spans="2:2" ht="15.75" customHeight="1">
      <c r="B234" s="275"/>
    </row>
    <row r="235" spans="2:2" ht="15.75" customHeight="1">
      <c r="B235" s="275"/>
    </row>
    <row r="236" spans="2:2" ht="15.75" customHeight="1">
      <c r="B236" s="275"/>
    </row>
    <row r="237" spans="2:2" ht="15.75" customHeight="1">
      <c r="B237" s="275"/>
    </row>
    <row r="238" spans="2:2" ht="15.75" customHeight="1">
      <c r="B238" s="275"/>
    </row>
    <row r="239" spans="2:2" ht="15.75" customHeight="1">
      <c r="B239" s="275"/>
    </row>
    <row r="240" spans="2:2" ht="15.75" customHeight="1">
      <c r="B240" s="275"/>
    </row>
    <row r="241" spans="2:2" ht="15.75" customHeight="1">
      <c r="B241" s="275"/>
    </row>
    <row r="242" spans="2:2" ht="15.75" customHeight="1">
      <c r="B242" s="275"/>
    </row>
    <row r="243" spans="2:2" ht="15.75" customHeight="1">
      <c r="B243" s="275"/>
    </row>
    <row r="244" spans="2:2" ht="15.75" customHeight="1">
      <c r="B244" s="275"/>
    </row>
    <row r="245" spans="2:2" ht="15.75" customHeight="1">
      <c r="B245" s="275"/>
    </row>
    <row r="246" spans="2:2" ht="15.75" customHeight="1">
      <c r="B246" s="275"/>
    </row>
    <row r="247" spans="2:2" ht="15.75" customHeight="1">
      <c r="B247" s="275"/>
    </row>
    <row r="248" spans="2:2" ht="15.75" customHeight="1">
      <c r="B248" s="275"/>
    </row>
    <row r="249" spans="2:2" ht="15.75" customHeight="1">
      <c r="B249" s="275"/>
    </row>
    <row r="250" spans="2:2" ht="15.75" customHeight="1">
      <c r="B250" s="275"/>
    </row>
    <row r="251" spans="2:2" ht="15.75" customHeight="1">
      <c r="B251" s="275"/>
    </row>
    <row r="252" spans="2:2" ht="15.75" customHeight="1">
      <c r="B252" s="275"/>
    </row>
    <row r="253" spans="2:2" ht="15.75" customHeight="1">
      <c r="B253" s="275"/>
    </row>
    <row r="254" spans="2:2" ht="15.75" customHeight="1">
      <c r="B254" s="275"/>
    </row>
    <row r="255" spans="2:2" ht="15.75" customHeight="1">
      <c r="B255" s="275"/>
    </row>
    <row r="256" spans="2:2" ht="15.75" customHeight="1">
      <c r="B256" s="275"/>
    </row>
    <row r="257" spans="2:2" ht="15.75" customHeight="1">
      <c r="B257" s="275"/>
    </row>
    <row r="258" spans="2:2" ht="15.75" customHeight="1">
      <c r="B258" s="275"/>
    </row>
    <row r="259" spans="2:2" ht="15.75" customHeight="1">
      <c r="B259" s="275"/>
    </row>
    <row r="260" spans="2:2" ht="15.75" customHeight="1">
      <c r="B260" s="275"/>
    </row>
    <row r="261" spans="2:2" ht="15.75" customHeight="1">
      <c r="B261" s="275"/>
    </row>
    <row r="262" spans="2:2" ht="15.75" customHeight="1">
      <c r="B262" s="275"/>
    </row>
    <row r="263" spans="2:2" ht="15.75" customHeight="1">
      <c r="B263" s="275"/>
    </row>
    <row r="264" spans="2:2" ht="15.75" customHeight="1">
      <c r="B264" s="275"/>
    </row>
    <row r="265" spans="2:2" ht="15.75" customHeight="1">
      <c r="B265" s="275"/>
    </row>
    <row r="266" spans="2:2" ht="15.75" customHeight="1">
      <c r="B266" s="275"/>
    </row>
    <row r="267" spans="2:2" ht="15.75" customHeight="1">
      <c r="B267" s="275"/>
    </row>
    <row r="268" spans="2:2" ht="15.75" customHeight="1">
      <c r="B268" s="275"/>
    </row>
    <row r="269" spans="2:2" ht="15.75" customHeight="1">
      <c r="B269" s="275"/>
    </row>
    <row r="270" spans="2:2" ht="15.75" customHeight="1">
      <c r="B270" s="275"/>
    </row>
    <row r="271" spans="2:2" ht="15.75" customHeight="1">
      <c r="B271" s="275"/>
    </row>
    <row r="272" spans="2:2" ht="15.75" customHeight="1">
      <c r="B272" s="275"/>
    </row>
    <row r="273" spans="2:2" ht="15.75" customHeight="1">
      <c r="B273" s="275"/>
    </row>
    <row r="274" spans="2:2" ht="15.75" customHeight="1">
      <c r="B274" s="275"/>
    </row>
    <row r="275" spans="2:2" ht="15.75" customHeight="1">
      <c r="B275" s="275"/>
    </row>
    <row r="276" spans="2:2" ht="15.75" customHeight="1">
      <c r="B276" s="275"/>
    </row>
    <row r="277" spans="2:2" ht="15.75" customHeight="1">
      <c r="B277" s="275"/>
    </row>
    <row r="278" spans="2:2" ht="15.75" customHeight="1">
      <c r="B278" s="275"/>
    </row>
    <row r="279" spans="2:2" ht="15.75" customHeight="1">
      <c r="B279" s="275"/>
    </row>
    <row r="280" spans="2:2" ht="15.75" customHeight="1">
      <c r="B280" s="275"/>
    </row>
    <row r="281" spans="2:2" ht="15.75" customHeight="1">
      <c r="B281" s="275"/>
    </row>
    <row r="282" spans="2:2" ht="15.75" customHeight="1">
      <c r="B282" s="275"/>
    </row>
    <row r="283" spans="2:2" ht="15.75" customHeight="1">
      <c r="B283" s="275"/>
    </row>
    <row r="284" spans="2:2" ht="15.75" customHeight="1">
      <c r="B284" s="275"/>
    </row>
    <row r="285" spans="2:2" ht="15.75" customHeight="1">
      <c r="B285" s="275"/>
    </row>
    <row r="286" spans="2:2" ht="15.75" customHeight="1">
      <c r="B286" s="275"/>
    </row>
    <row r="287" spans="2:2" ht="15.75" customHeight="1">
      <c r="B287" s="275"/>
    </row>
    <row r="288" spans="2:2" ht="15.75" customHeight="1">
      <c r="B288" s="275"/>
    </row>
    <row r="289" spans="2:2" ht="15.75" customHeight="1">
      <c r="B289" s="275"/>
    </row>
    <row r="290" spans="2:2" ht="15.75" customHeight="1">
      <c r="B290" s="275"/>
    </row>
    <row r="291" spans="2:2" ht="15.75" customHeight="1">
      <c r="B291" s="275"/>
    </row>
    <row r="292" spans="2:2" ht="15.75" customHeight="1">
      <c r="B292" s="275"/>
    </row>
    <row r="293" spans="2:2" ht="15.75" customHeight="1">
      <c r="B293" s="275"/>
    </row>
    <row r="294" spans="2:2" ht="15.75" customHeight="1">
      <c r="B294" s="275"/>
    </row>
    <row r="295" spans="2:2" ht="15.75" customHeight="1">
      <c r="B295" s="275"/>
    </row>
    <row r="296" spans="2:2" ht="15.75" customHeight="1">
      <c r="B296" s="275"/>
    </row>
    <row r="297" spans="2:2" ht="15.75" customHeight="1">
      <c r="B297" s="275"/>
    </row>
    <row r="298" spans="2:2" ht="15.75" customHeight="1">
      <c r="B298" s="275"/>
    </row>
    <row r="299" spans="2:2" ht="15.75" customHeight="1">
      <c r="B299" s="275"/>
    </row>
    <row r="300" spans="2:2" ht="15.75" customHeight="1">
      <c r="B300" s="275"/>
    </row>
    <row r="301" spans="2:2" ht="15.75" customHeight="1">
      <c r="B301" s="275"/>
    </row>
    <row r="302" spans="2:2" ht="15.75" customHeight="1">
      <c r="B302" s="275"/>
    </row>
    <row r="303" spans="2:2" ht="15.75" customHeight="1">
      <c r="B303" s="275"/>
    </row>
    <row r="304" spans="2:2" ht="15.75" customHeight="1">
      <c r="B304" s="275"/>
    </row>
    <row r="305" spans="2:2" ht="15.75" customHeight="1">
      <c r="B305" s="275"/>
    </row>
    <row r="306" spans="2:2" ht="15.75" customHeight="1">
      <c r="B306" s="275"/>
    </row>
    <row r="307" spans="2:2" ht="15.75" customHeight="1">
      <c r="B307" s="275"/>
    </row>
    <row r="308" spans="2:2" ht="15.75" customHeight="1">
      <c r="B308" s="275"/>
    </row>
    <row r="309" spans="2:2" ht="15.75" customHeight="1">
      <c r="B309" s="275"/>
    </row>
    <row r="310" spans="2:2" ht="15.75" customHeight="1">
      <c r="B310" s="275"/>
    </row>
    <row r="311" spans="2:2" ht="15.75" customHeight="1">
      <c r="B311" s="275"/>
    </row>
    <row r="312" spans="2:2" ht="15.75" customHeight="1">
      <c r="B312" s="275"/>
    </row>
    <row r="313" spans="2:2" ht="15.75" customHeight="1">
      <c r="B313" s="275"/>
    </row>
    <row r="314" spans="2:2" ht="15.75" customHeight="1">
      <c r="B314" s="275"/>
    </row>
    <row r="315" spans="2:2" ht="15.75" customHeight="1">
      <c r="B315" s="275"/>
    </row>
    <row r="316" spans="2:2" ht="15.75" customHeight="1">
      <c r="B316" s="275"/>
    </row>
    <row r="317" spans="2:2" ht="15.75" customHeight="1">
      <c r="B317" s="275"/>
    </row>
    <row r="318" spans="2:2" ht="15.75" customHeight="1">
      <c r="B318" s="275"/>
    </row>
    <row r="319" spans="2:2" ht="15.75" customHeight="1">
      <c r="B319" s="275"/>
    </row>
    <row r="320" spans="2:2" ht="15.75" customHeight="1">
      <c r="B320" s="275"/>
    </row>
    <row r="321" spans="2:2" ht="15.75" customHeight="1">
      <c r="B321" s="275"/>
    </row>
    <row r="322" spans="2:2" ht="15.75" customHeight="1">
      <c r="B322" s="275"/>
    </row>
    <row r="323" spans="2:2" ht="15.75" customHeight="1">
      <c r="B323" s="275"/>
    </row>
    <row r="324" spans="2:2" ht="15.75" customHeight="1">
      <c r="B324" s="275"/>
    </row>
    <row r="325" spans="2:2" ht="15.75" customHeight="1">
      <c r="B325" s="275"/>
    </row>
    <row r="326" spans="2:2" ht="15.75" customHeight="1">
      <c r="B326" s="275"/>
    </row>
    <row r="327" spans="2:2" ht="15.75" customHeight="1">
      <c r="B327" s="275"/>
    </row>
    <row r="328" spans="2:2" ht="15.75" customHeight="1">
      <c r="B328" s="275"/>
    </row>
    <row r="329" spans="2:2" ht="15.75" customHeight="1">
      <c r="B329" s="275"/>
    </row>
    <row r="330" spans="2:2" ht="15.75" customHeight="1">
      <c r="B330" s="275"/>
    </row>
    <row r="331" spans="2:2" ht="15.75" customHeight="1">
      <c r="B331" s="275"/>
    </row>
    <row r="332" spans="2:2" ht="15.75" customHeight="1">
      <c r="B332" s="275"/>
    </row>
    <row r="333" spans="2:2" ht="15.75" customHeight="1">
      <c r="B333" s="275"/>
    </row>
    <row r="334" spans="2:2" ht="15.75" customHeight="1">
      <c r="B334" s="275"/>
    </row>
    <row r="335" spans="2:2" ht="15.75" customHeight="1">
      <c r="B335" s="275"/>
    </row>
    <row r="336" spans="2:2" ht="15.75" customHeight="1">
      <c r="B336" s="275"/>
    </row>
    <row r="337" spans="2:2" ht="15.75" customHeight="1">
      <c r="B337" s="275"/>
    </row>
    <row r="338" spans="2:2" ht="15.75" customHeight="1">
      <c r="B338" s="275"/>
    </row>
    <row r="339" spans="2:2" ht="15.75" customHeight="1">
      <c r="B339" s="275"/>
    </row>
    <row r="340" spans="2:2" ht="15.75" customHeight="1">
      <c r="B340" s="275"/>
    </row>
    <row r="341" spans="2:2" ht="15.75" customHeight="1">
      <c r="B341" s="275"/>
    </row>
    <row r="342" spans="2:2" ht="15.75" customHeight="1">
      <c r="B342" s="275"/>
    </row>
    <row r="343" spans="2:2" ht="15.75" customHeight="1">
      <c r="B343" s="275"/>
    </row>
    <row r="344" spans="2:2" ht="15.75" customHeight="1">
      <c r="B344" s="275"/>
    </row>
    <row r="345" spans="2:2" ht="15.75" customHeight="1">
      <c r="B345" s="275"/>
    </row>
    <row r="346" spans="2:2" ht="15.75" customHeight="1">
      <c r="B346" s="275"/>
    </row>
    <row r="347" spans="2:2" ht="15.75" customHeight="1">
      <c r="B347" s="275"/>
    </row>
    <row r="348" spans="2:2" ht="15.75" customHeight="1">
      <c r="B348" s="275"/>
    </row>
    <row r="349" spans="2:2" ht="15.75" customHeight="1">
      <c r="B349" s="275"/>
    </row>
    <row r="350" spans="2:2" ht="15.75" customHeight="1">
      <c r="B350" s="275"/>
    </row>
    <row r="351" spans="2:2" ht="15.75" customHeight="1">
      <c r="B351" s="275"/>
    </row>
    <row r="352" spans="2:2" ht="15.75" customHeight="1">
      <c r="B352" s="275"/>
    </row>
    <row r="353" spans="2:2" ht="15.75" customHeight="1">
      <c r="B353" s="275"/>
    </row>
    <row r="354" spans="2:2" ht="15.75" customHeight="1">
      <c r="B354" s="275"/>
    </row>
    <row r="355" spans="2:2" ht="15.75" customHeight="1">
      <c r="B355" s="275"/>
    </row>
    <row r="356" spans="2:2" ht="15.75" customHeight="1">
      <c r="B356" s="275"/>
    </row>
    <row r="357" spans="2:2" ht="15.75" customHeight="1">
      <c r="B357" s="275"/>
    </row>
    <row r="358" spans="2:2" ht="15.75" customHeight="1">
      <c r="B358" s="275"/>
    </row>
    <row r="359" spans="2:2" ht="15.75" customHeight="1">
      <c r="B359" s="275"/>
    </row>
    <row r="360" spans="2:2" ht="15.75" customHeight="1">
      <c r="B360" s="275"/>
    </row>
    <row r="361" spans="2:2" ht="15.75" customHeight="1">
      <c r="B361" s="275"/>
    </row>
    <row r="362" spans="2:2" ht="15.75" customHeight="1">
      <c r="B362" s="275"/>
    </row>
    <row r="363" spans="2:2" ht="15.75" customHeight="1">
      <c r="B363" s="275"/>
    </row>
    <row r="364" spans="2:2" ht="15.75" customHeight="1">
      <c r="B364" s="275"/>
    </row>
    <row r="365" spans="2:2" ht="15.75" customHeight="1">
      <c r="B365" s="275"/>
    </row>
    <row r="366" spans="2:2" ht="15.75" customHeight="1">
      <c r="B366" s="275"/>
    </row>
    <row r="367" spans="2:2" ht="15.75" customHeight="1">
      <c r="B367" s="275"/>
    </row>
    <row r="368" spans="2:2" ht="15.75" customHeight="1">
      <c r="B368" s="275"/>
    </row>
    <row r="369" spans="2:2" ht="15.75" customHeight="1">
      <c r="B369" s="275"/>
    </row>
    <row r="370" spans="2:2" ht="15.75" customHeight="1">
      <c r="B370" s="275"/>
    </row>
    <row r="371" spans="2:2" ht="15.75" customHeight="1">
      <c r="B371" s="275"/>
    </row>
    <row r="372" spans="2:2" ht="15.75" customHeight="1">
      <c r="B372" s="275"/>
    </row>
    <row r="373" spans="2:2" ht="15.75" customHeight="1">
      <c r="B373" s="275"/>
    </row>
    <row r="374" spans="2:2" ht="15.75" customHeight="1">
      <c r="B374" s="275"/>
    </row>
    <row r="375" spans="2:2" ht="15.75" customHeight="1">
      <c r="B375" s="275"/>
    </row>
    <row r="376" spans="2:2" ht="15.75" customHeight="1">
      <c r="B376" s="275"/>
    </row>
    <row r="377" spans="2:2" ht="15.75" customHeight="1">
      <c r="B377" s="275"/>
    </row>
    <row r="378" spans="2:2" ht="15.75" customHeight="1">
      <c r="B378" s="275"/>
    </row>
    <row r="379" spans="2:2" ht="15.75" customHeight="1">
      <c r="B379" s="275"/>
    </row>
    <row r="380" spans="2:2" ht="15.75" customHeight="1">
      <c r="B380" s="275"/>
    </row>
    <row r="381" spans="2:2" ht="15.75" customHeight="1">
      <c r="B381" s="275"/>
    </row>
    <row r="382" spans="2:2" ht="15.75" customHeight="1">
      <c r="B382" s="275"/>
    </row>
    <row r="383" spans="2:2" ht="15.75" customHeight="1">
      <c r="B383" s="275"/>
    </row>
    <row r="384" spans="2:2" ht="15.75" customHeight="1">
      <c r="B384" s="275"/>
    </row>
    <row r="385" spans="2:2" ht="15.75" customHeight="1">
      <c r="B385" s="275"/>
    </row>
    <row r="386" spans="2:2" ht="15.75" customHeight="1">
      <c r="B386" s="275"/>
    </row>
    <row r="387" spans="2:2" ht="15.75" customHeight="1">
      <c r="B387" s="275"/>
    </row>
    <row r="388" spans="2:2" ht="15.75" customHeight="1">
      <c r="B388" s="275"/>
    </row>
    <row r="389" spans="2:2" ht="15.75" customHeight="1">
      <c r="B389" s="275"/>
    </row>
    <row r="390" spans="2:2" ht="15.75" customHeight="1">
      <c r="B390" s="275"/>
    </row>
    <row r="391" spans="2:2" ht="15.75" customHeight="1">
      <c r="B391" s="275"/>
    </row>
    <row r="392" spans="2:2" ht="15.75" customHeight="1">
      <c r="B392" s="275"/>
    </row>
    <row r="393" spans="2:2" ht="15.75" customHeight="1">
      <c r="B393" s="275"/>
    </row>
    <row r="394" spans="2:2" ht="15.75" customHeight="1">
      <c r="B394" s="275"/>
    </row>
    <row r="395" spans="2:2" ht="15.75" customHeight="1">
      <c r="B395" s="275"/>
    </row>
    <row r="396" spans="2:2" ht="15.75" customHeight="1">
      <c r="B396" s="275"/>
    </row>
    <row r="397" spans="2:2" ht="15.75" customHeight="1">
      <c r="B397" s="275"/>
    </row>
    <row r="398" spans="2:2" ht="15.75" customHeight="1">
      <c r="B398" s="275"/>
    </row>
    <row r="399" spans="2:2" ht="15.75" customHeight="1">
      <c r="B399" s="275"/>
    </row>
    <row r="400" spans="2:2" ht="15.75" customHeight="1">
      <c r="B400" s="275"/>
    </row>
    <row r="401" spans="2:2" ht="15.75" customHeight="1">
      <c r="B401" s="275"/>
    </row>
    <row r="402" spans="2:2" ht="15.75" customHeight="1">
      <c r="B402" s="275"/>
    </row>
    <row r="403" spans="2:2" ht="15.75" customHeight="1">
      <c r="B403" s="275"/>
    </row>
    <row r="404" spans="2:2" ht="15.75" customHeight="1">
      <c r="B404" s="275"/>
    </row>
    <row r="405" spans="2:2" ht="15.75" customHeight="1">
      <c r="B405" s="275"/>
    </row>
    <row r="406" spans="2:2" ht="15.75" customHeight="1">
      <c r="B406" s="275"/>
    </row>
    <row r="407" spans="2:2" ht="15.75" customHeight="1">
      <c r="B407" s="275"/>
    </row>
    <row r="408" spans="2:2" ht="15.75" customHeight="1">
      <c r="B408" s="275"/>
    </row>
    <row r="409" spans="2:2" ht="15.75" customHeight="1">
      <c r="B409" s="275"/>
    </row>
    <row r="410" spans="2:2" ht="15.75" customHeight="1">
      <c r="B410" s="275"/>
    </row>
    <row r="411" spans="2:2" ht="15.75" customHeight="1">
      <c r="B411" s="275"/>
    </row>
    <row r="412" spans="2:2" ht="15.75" customHeight="1">
      <c r="B412" s="275"/>
    </row>
    <row r="413" spans="2:2" ht="15.75" customHeight="1">
      <c r="B413" s="275"/>
    </row>
    <row r="414" spans="2:2" ht="15.75" customHeight="1">
      <c r="B414" s="275"/>
    </row>
    <row r="415" spans="2:2" ht="15.75" customHeight="1">
      <c r="B415" s="275"/>
    </row>
    <row r="416" spans="2:2" ht="15.75" customHeight="1">
      <c r="B416" s="275"/>
    </row>
    <row r="417" spans="2:2" ht="15.75" customHeight="1">
      <c r="B417" s="275"/>
    </row>
    <row r="418" spans="2:2" ht="15.75" customHeight="1">
      <c r="B418" s="275"/>
    </row>
    <row r="419" spans="2:2" ht="15.75" customHeight="1">
      <c r="B419" s="275"/>
    </row>
    <row r="420" spans="2:2" ht="15.75" customHeight="1">
      <c r="B420" s="275"/>
    </row>
    <row r="421" spans="2:2" ht="15.75" customHeight="1">
      <c r="B421" s="275"/>
    </row>
    <row r="422" spans="2:2" ht="15.75" customHeight="1">
      <c r="B422" s="275"/>
    </row>
    <row r="423" spans="2:2" ht="15.75" customHeight="1">
      <c r="B423" s="275"/>
    </row>
    <row r="424" spans="2:2" ht="15.75" customHeight="1">
      <c r="B424" s="275"/>
    </row>
    <row r="425" spans="2:2" ht="15.75" customHeight="1">
      <c r="B425" s="275"/>
    </row>
    <row r="426" spans="2:2" ht="15.75" customHeight="1">
      <c r="B426" s="275"/>
    </row>
    <row r="427" spans="2:2" ht="15.75" customHeight="1">
      <c r="B427" s="275"/>
    </row>
    <row r="428" spans="2:2" ht="15.75" customHeight="1">
      <c r="B428" s="275"/>
    </row>
    <row r="429" spans="2:2" ht="15.75" customHeight="1">
      <c r="B429" s="275"/>
    </row>
    <row r="430" spans="2:2" ht="15.75" customHeight="1">
      <c r="B430" s="275"/>
    </row>
    <row r="431" spans="2:2" ht="15.75" customHeight="1">
      <c r="B431" s="275"/>
    </row>
    <row r="432" spans="2:2" ht="15.75" customHeight="1">
      <c r="B432" s="275"/>
    </row>
    <row r="433" spans="2:2" ht="15.75" customHeight="1">
      <c r="B433" s="275"/>
    </row>
    <row r="434" spans="2:2" ht="15.75" customHeight="1">
      <c r="B434" s="275"/>
    </row>
    <row r="435" spans="2:2" ht="15.75" customHeight="1">
      <c r="B435" s="275"/>
    </row>
    <row r="436" spans="2:2" ht="15.75" customHeight="1">
      <c r="B436" s="275"/>
    </row>
    <row r="437" spans="2:2" ht="15.75" customHeight="1">
      <c r="B437" s="275"/>
    </row>
    <row r="438" spans="2:2" ht="15.75" customHeight="1">
      <c r="B438" s="275"/>
    </row>
    <row r="439" spans="2:2" ht="15.75" customHeight="1">
      <c r="B439" s="275"/>
    </row>
    <row r="440" spans="2:2" ht="15.75" customHeight="1">
      <c r="B440" s="275"/>
    </row>
    <row r="441" spans="2:2" ht="15.75" customHeight="1">
      <c r="B441" s="275"/>
    </row>
    <row r="442" spans="2:2" ht="15.75" customHeight="1">
      <c r="B442" s="275"/>
    </row>
    <row r="443" spans="2:2" ht="15.75" customHeight="1">
      <c r="B443" s="275"/>
    </row>
    <row r="444" spans="2:2" ht="15.75" customHeight="1">
      <c r="B444" s="275"/>
    </row>
    <row r="445" spans="2:2" ht="15.75" customHeight="1">
      <c r="B445" s="275"/>
    </row>
    <row r="446" spans="2:2" ht="15.75" customHeight="1">
      <c r="B446" s="275"/>
    </row>
    <row r="447" spans="2:2" ht="15.75" customHeight="1">
      <c r="B447" s="275"/>
    </row>
    <row r="448" spans="2:2" ht="15.75" customHeight="1">
      <c r="B448" s="275"/>
    </row>
    <row r="449" spans="2:2" ht="15.75" customHeight="1">
      <c r="B449" s="275"/>
    </row>
    <row r="450" spans="2:2" ht="15.75" customHeight="1">
      <c r="B450" s="275"/>
    </row>
    <row r="451" spans="2:2" ht="15.75" customHeight="1">
      <c r="B451" s="275"/>
    </row>
    <row r="452" spans="2:2" ht="15.75" customHeight="1">
      <c r="B452" s="275"/>
    </row>
    <row r="453" spans="2:2" ht="15.75" customHeight="1">
      <c r="B453" s="275"/>
    </row>
    <row r="454" spans="2:2" ht="15.75" customHeight="1">
      <c r="B454" s="275"/>
    </row>
    <row r="455" spans="2:2" ht="15.75" customHeight="1">
      <c r="B455" s="275"/>
    </row>
    <row r="456" spans="2:2" ht="15.75" customHeight="1">
      <c r="B456" s="275"/>
    </row>
    <row r="457" spans="2:2" ht="15.75" customHeight="1">
      <c r="B457" s="275"/>
    </row>
    <row r="458" spans="2:2" ht="15.75" customHeight="1">
      <c r="B458" s="275"/>
    </row>
    <row r="459" spans="2:2" ht="15.75" customHeight="1">
      <c r="B459" s="275"/>
    </row>
    <row r="460" spans="2:2" ht="15.75" customHeight="1">
      <c r="B460" s="275"/>
    </row>
    <row r="461" spans="2:2" ht="15.75" customHeight="1">
      <c r="B461" s="275"/>
    </row>
    <row r="462" spans="2:2" ht="15.75" customHeight="1">
      <c r="B462" s="275"/>
    </row>
    <row r="463" spans="2:2" ht="15.75" customHeight="1">
      <c r="B463" s="275"/>
    </row>
    <row r="464" spans="2:2" ht="15.75" customHeight="1">
      <c r="B464" s="275"/>
    </row>
    <row r="465" spans="2:2" ht="15.75" customHeight="1">
      <c r="B465" s="275"/>
    </row>
    <row r="466" spans="2:2" ht="15.75" customHeight="1">
      <c r="B466" s="275"/>
    </row>
    <row r="467" spans="2:2" ht="15.75" customHeight="1">
      <c r="B467" s="275"/>
    </row>
    <row r="468" spans="2:2" ht="15.75" customHeight="1">
      <c r="B468" s="275"/>
    </row>
    <row r="469" spans="2:2" ht="15.75" customHeight="1">
      <c r="B469" s="275"/>
    </row>
    <row r="470" spans="2:2" ht="15.75" customHeight="1">
      <c r="B470" s="275"/>
    </row>
    <row r="471" spans="2:2" ht="15.75" customHeight="1">
      <c r="B471" s="275"/>
    </row>
    <row r="472" spans="2:2" ht="15.75" customHeight="1">
      <c r="B472" s="275"/>
    </row>
    <row r="473" spans="2:2" ht="15.75" customHeight="1">
      <c r="B473" s="275"/>
    </row>
    <row r="474" spans="2:2" ht="15.75" customHeight="1">
      <c r="B474" s="275"/>
    </row>
    <row r="475" spans="2:2" ht="15.75" customHeight="1">
      <c r="B475" s="275"/>
    </row>
    <row r="476" spans="2:2" ht="15.75" customHeight="1">
      <c r="B476" s="275"/>
    </row>
    <row r="477" spans="2:2" ht="15.75" customHeight="1">
      <c r="B477" s="275"/>
    </row>
    <row r="478" spans="2:2" ht="15.75" customHeight="1">
      <c r="B478" s="275"/>
    </row>
    <row r="479" spans="2:2" ht="15.75" customHeight="1">
      <c r="B479" s="275"/>
    </row>
    <row r="480" spans="2:2" ht="15.75" customHeight="1">
      <c r="B480" s="275"/>
    </row>
    <row r="481" spans="2:2" ht="15.75" customHeight="1">
      <c r="B481" s="275"/>
    </row>
    <row r="482" spans="2:2" ht="15.75" customHeight="1">
      <c r="B482" s="275"/>
    </row>
    <row r="483" spans="2:2" ht="15.75" customHeight="1">
      <c r="B483" s="275"/>
    </row>
    <row r="484" spans="2:2" ht="15.75" customHeight="1">
      <c r="B484" s="275"/>
    </row>
    <row r="485" spans="2:2" ht="15.75" customHeight="1">
      <c r="B485" s="275"/>
    </row>
    <row r="486" spans="2:2" ht="15.75" customHeight="1">
      <c r="B486" s="275"/>
    </row>
    <row r="487" spans="2:2" ht="15.75" customHeight="1">
      <c r="B487" s="275"/>
    </row>
    <row r="488" spans="2:2" ht="15.75" customHeight="1">
      <c r="B488" s="275"/>
    </row>
    <row r="489" spans="2:2" ht="15.75" customHeight="1">
      <c r="B489" s="275"/>
    </row>
    <row r="490" spans="2:2" ht="15.75" customHeight="1">
      <c r="B490" s="275"/>
    </row>
    <row r="491" spans="2:2" ht="15.75" customHeight="1">
      <c r="B491" s="275"/>
    </row>
    <row r="492" spans="2:2" ht="15.75" customHeight="1">
      <c r="B492" s="275"/>
    </row>
    <row r="493" spans="2:2" ht="15.75" customHeight="1">
      <c r="B493" s="275"/>
    </row>
    <row r="494" spans="2:2" ht="15.75" customHeight="1">
      <c r="B494" s="275"/>
    </row>
    <row r="495" spans="2:2" ht="15.75" customHeight="1">
      <c r="B495" s="275"/>
    </row>
    <row r="496" spans="2:2" ht="15.75" customHeight="1">
      <c r="B496" s="275"/>
    </row>
    <row r="497" spans="2:2" ht="15.75" customHeight="1">
      <c r="B497" s="275"/>
    </row>
    <row r="498" spans="2:2" ht="15.75" customHeight="1">
      <c r="B498" s="275"/>
    </row>
    <row r="499" spans="2:2" ht="15.75" customHeight="1">
      <c r="B499" s="275"/>
    </row>
    <row r="500" spans="2:2" ht="15.75" customHeight="1">
      <c r="B500" s="275"/>
    </row>
    <row r="501" spans="2:2" ht="15.75" customHeight="1">
      <c r="B501" s="275"/>
    </row>
    <row r="502" spans="2:2" ht="15.75" customHeight="1">
      <c r="B502" s="275"/>
    </row>
    <row r="503" spans="2:2" ht="15.75" customHeight="1">
      <c r="B503" s="275"/>
    </row>
    <row r="504" spans="2:2" ht="15.75" customHeight="1">
      <c r="B504" s="275"/>
    </row>
    <row r="505" spans="2:2" ht="15.75" customHeight="1">
      <c r="B505" s="275"/>
    </row>
    <row r="506" spans="2:2" ht="15.75" customHeight="1">
      <c r="B506" s="275"/>
    </row>
    <row r="507" spans="2:2" ht="15.75" customHeight="1">
      <c r="B507" s="275"/>
    </row>
    <row r="508" spans="2:2" ht="15.75" customHeight="1">
      <c r="B508" s="275"/>
    </row>
    <row r="509" spans="2:2" ht="15.75" customHeight="1">
      <c r="B509" s="275"/>
    </row>
    <row r="510" spans="2:2" ht="15.75" customHeight="1">
      <c r="B510" s="275"/>
    </row>
    <row r="511" spans="2:2" ht="15.75" customHeight="1">
      <c r="B511" s="275"/>
    </row>
    <row r="512" spans="2:2" ht="15.75" customHeight="1">
      <c r="B512" s="275"/>
    </row>
    <row r="513" spans="2:2" ht="15.75" customHeight="1">
      <c r="B513" s="275"/>
    </row>
    <row r="514" spans="2:2" ht="15.75" customHeight="1">
      <c r="B514" s="275"/>
    </row>
    <row r="515" spans="2:2" ht="15.75" customHeight="1">
      <c r="B515" s="275"/>
    </row>
    <row r="516" spans="2:2" ht="15.75" customHeight="1">
      <c r="B516" s="275"/>
    </row>
    <row r="517" spans="2:2" ht="15.75" customHeight="1">
      <c r="B517" s="275"/>
    </row>
    <row r="518" spans="2:2" ht="15.75" customHeight="1">
      <c r="B518" s="275"/>
    </row>
    <row r="519" spans="2:2" ht="15.75" customHeight="1">
      <c r="B519" s="275"/>
    </row>
    <row r="520" spans="2:2" ht="15.75" customHeight="1">
      <c r="B520" s="275"/>
    </row>
    <row r="521" spans="2:2" ht="15.75" customHeight="1">
      <c r="B521" s="275"/>
    </row>
    <row r="522" spans="2:2" ht="15.75" customHeight="1">
      <c r="B522" s="275"/>
    </row>
    <row r="523" spans="2:2" ht="15.75" customHeight="1">
      <c r="B523" s="275"/>
    </row>
    <row r="524" spans="2:2" ht="15.75" customHeight="1">
      <c r="B524" s="275"/>
    </row>
    <row r="525" spans="2:2" ht="15.75" customHeight="1">
      <c r="B525" s="275"/>
    </row>
    <row r="526" spans="2:2" ht="15.75" customHeight="1">
      <c r="B526" s="275"/>
    </row>
    <row r="527" spans="2:2" ht="15.75" customHeight="1">
      <c r="B527" s="275"/>
    </row>
    <row r="528" spans="2:2" ht="15.75" customHeight="1">
      <c r="B528" s="275"/>
    </row>
    <row r="529" spans="2:2" ht="15.75" customHeight="1">
      <c r="B529" s="275"/>
    </row>
    <row r="530" spans="2:2" ht="15.75" customHeight="1">
      <c r="B530" s="275"/>
    </row>
    <row r="531" spans="2:2" ht="15.75" customHeight="1">
      <c r="B531" s="275"/>
    </row>
    <row r="532" spans="2:2" ht="15.75" customHeight="1">
      <c r="B532" s="275"/>
    </row>
    <row r="533" spans="2:2" ht="15.75" customHeight="1">
      <c r="B533" s="275"/>
    </row>
    <row r="534" spans="2:2" ht="15.75" customHeight="1">
      <c r="B534" s="275"/>
    </row>
    <row r="535" spans="2:2" ht="15.75" customHeight="1">
      <c r="B535" s="275"/>
    </row>
    <row r="536" spans="2:2" ht="15.75" customHeight="1">
      <c r="B536" s="275"/>
    </row>
    <row r="537" spans="2:2" ht="15.75" customHeight="1">
      <c r="B537" s="275"/>
    </row>
    <row r="538" spans="2:2" ht="15.75" customHeight="1">
      <c r="B538" s="275"/>
    </row>
    <row r="539" spans="2:2" ht="15.75" customHeight="1">
      <c r="B539" s="275"/>
    </row>
    <row r="540" spans="2:2" ht="15.75" customHeight="1">
      <c r="B540" s="275"/>
    </row>
    <row r="541" spans="2:2" ht="15.75" customHeight="1">
      <c r="B541" s="275"/>
    </row>
    <row r="542" spans="2:2" ht="15.75" customHeight="1">
      <c r="B542" s="275"/>
    </row>
    <row r="543" spans="2:2" ht="15.75" customHeight="1">
      <c r="B543" s="275"/>
    </row>
    <row r="544" spans="2:2" ht="15.75" customHeight="1">
      <c r="B544" s="275"/>
    </row>
    <row r="545" spans="2:2" ht="15.75" customHeight="1">
      <c r="B545" s="275"/>
    </row>
    <row r="546" spans="2:2" ht="15.75" customHeight="1">
      <c r="B546" s="275"/>
    </row>
    <row r="547" spans="2:2" ht="15.75" customHeight="1">
      <c r="B547" s="275"/>
    </row>
    <row r="548" spans="2:2" ht="15.75" customHeight="1">
      <c r="B548" s="275"/>
    </row>
    <row r="549" spans="2:2" ht="15.75" customHeight="1">
      <c r="B549" s="275"/>
    </row>
    <row r="550" spans="2:2" ht="15.75" customHeight="1">
      <c r="B550" s="275"/>
    </row>
    <row r="551" spans="2:2" ht="15.75" customHeight="1">
      <c r="B551" s="275"/>
    </row>
    <row r="552" spans="2:2" ht="15.75" customHeight="1">
      <c r="B552" s="275"/>
    </row>
    <row r="553" spans="2:2" ht="15.75" customHeight="1">
      <c r="B553" s="275"/>
    </row>
    <row r="554" spans="2:2" ht="15.75" customHeight="1">
      <c r="B554" s="275"/>
    </row>
    <row r="555" spans="2:2" ht="15.75" customHeight="1">
      <c r="B555" s="275"/>
    </row>
    <row r="556" spans="2:2" ht="15.75" customHeight="1">
      <c r="B556" s="275"/>
    </row>
    <row r="557" spans="2:2" ht="15.75" customHeight="1">
      <c r="B557" s="275"/>
    </row>
    <row r="558" spans="2:2" ht="15.75" customHeight="1">
      <c r="B558" s="275"/>
    </row>
    <row r="559" spans="2:2" ht="15.75" customHeight="1">
      <c r="B559" s="275"/>
    </row>
    <row r="560" spans="2:2" ht="15.75" customHeight="1">
      <c r="B560" s="275"/>
    </row>
    <row r="561" spans="2:2" ht="15.75" customHeight="1">
      <c r="B561" s="275"/>
    </row>
    <row r="562" spans="2:2" ht="15.75" customHeight="1">
      <c r="B562" s="275"/>
    </row>
    <row r="563" spans="2:2" ht="15.75" customHeight="1">
      <c r="B563" s="275"/>
    </row>
    <row r="564" spans="2:2" ht="15.75" customHeight="1">
      <c r="B564" s="275"/>
    </row>
    <row r="565" spans="2:2" ht="15.75" customHeight="1">
      <c r="B565" s="275"/>
    </row>
    <row r="566" spans="2:2" ht="15.75" customHeight="1">
      <c r="B566" s="275"/>
    </row>
    <row r="567" spans="2:2" ht="15.75" customHeight="1">
      <c r="B567" s="275"/>
    </row>
    <row r="568" spans="2:2" ht="15.75" customHeight="1">
      <c r="B568" s="275"/>
    </row>
    <row r="569" spans="2:2" ht="15.75" customHeight="1">
      <c r="B569" s="275"/>
    </row>
    <row r="570" spans="2:2" ht="15.75" customHeight="1">
      <c r="B570" s="275"/>
    </row>
    <row r="571" spans="2:2" ht="15.75" customHeight="1">
      <c r="B571" s="275"/>
    </row>
    <row r="572" spans="2:2" ht="15.75" customHeight="1">
      <c r="B572" s="275"/>
    </row>
    <row r="573" spans="2:2" ht="15.75" customHeight="1">
      <c r="B573" s="275"/>
    </row>
    <row r="574" spans="2:2" ht="15.75" customHeight="1">
      <c r="B574" s="275"/>
    </row>
    <row r="575" spans="2:2" ht="15.75" customHeight="1">
      <c r="B575" s="275"/>
    </row>
    <row r="576" spans="2:2" ht="15.75" customHeight="1">
      <c r="B576" s="275"/>
    </row>
    <row r="577" spans="2:2" ht="15.75" customHeight="1">
      <c r="B577" s="275"/>
    </row>
    <row r="578" spans="2:2" ht="15.75" customHeight="1">
      <c r="B578" s="275"/>
    </row>
    <row r="579" spans="2:2" ht="15.75" customHeight="1">
      <c r="B579" s="275"/>
    </row>
    <row r="580" spans="2:2" ht="15.75" customHeight="1">
      <c r="B580" s="275"/>
    </row>
    <row r="581" spans="2:2" ht="15.75" customHeight="1">
      <c r="B581" s="275"/>
    </row>
    <row r="582" spans="2:2" ht="15.75" customHeight="1">
      <c r="B582" s="275"/>
    </row>
    <row r="583" spans="2:2" ht="15.75" customHeight="1">
      <c r="B583" s="275"/>
    </row>
    <row r="584" spans="2:2" ht="15.75" customHeight="1">
      <c r="B584" s="275"/>
    </row>
    <row r="585" spans="2:2" ht="15.75" customHeight="1">
      <c r="B585" s="275"/>
    </row>
    <row r="586" spans="2:2" ht="15.75" customHeight="1">
      <c r="B586" s="275"/>
    </row>
    <row r="587" spans="2:2" ht="15.75" customHeight="1">
      <c r="B587" s="275"/>
    </row>
    <row r="588" spans="2:2" ht="15.75" customHeight="1">
      <c r="B588" s="275"/>
    </row>
    <row r="589" spans="2:2" ht="15.75" customHeight="1">
      <c r="B589" s="275"/>
    </row>
    <row r="590" spans="2:2" ht="15.75" customHeight="1">
      <c r="B590" s="275"/>
    </row>
    <row r="591" spans="2:2" ht="15.75" customHeight="1">
      <c r="B591" s="275"/>
    </row>
    <row r="592" spans="2:2" ht="15.75" customHeight="1">
      <c r="B592" s="275"/>
    </row>
    <row r="593" spans="2:2" ht="15.75" customHeight="1">
      <c r="B593" s="275"/>
    </row>
    <row r="594" spans="2:2" ht="15.75" customHeight="1">
      <c r="B594" s="275"/>
    </row>
    <row r="595" spans="2:2" ht="15.75" customHeight="1">
      <c r="B595" s="275"/>
    </row>
    <row r="596" spans="2:2" ht="15.75" customHeight="1">
      <c r="B596" s="275"/>
    </row>
    <row r="597" spans="2:2" ht="15.75" customHeight="1">
      <c r="B597" s="275"/>
    </row>
    <row r="598" spans="2:2" ht="15.75" customHeight="1">
      <c r="B598" s="275"/>
    </row>
    <row r="599" spans="2:2" ht="15.75" customHeight="1">
      <c r="B599" s="275"/>
    </row>
    <row r="600" spans="2:2" ht="15.75" customHeight="1">
      <c r="B600" s="275"/>
    </row>
    <row r="601" spans="2:2" ht="15.75" customHeight="1">
      <c r="B601" s="275"/>
    </row>
    <row r="602" spans="2:2" ht="15.75" customHeight="1">
      <c r="B602" s="275"/>
    </row>
    <row r="603" spans="2:2" ht="15.75" customHeight="1">
      <c r="B603" s="275"/>
    </row>
    <row r="604" spans="2:2" ht="15.75" customHeight="1">
      <c r="B604" s="275"/>
    </row>
    <row r="605" spans="2:2" ht="15.75" customHeight="1">
      <c r="B605" s="275"/>
    </row>
    <row r="606" spans="2:2" ht="15.75" customHeight="1">
      <c r="B606" s="275"/>
    </row>
    <row r="607" spans="2:2" ht="15.75" customHeight="1">
      <c r="B607" s="275"/>
    </row>
    <row r="608" spans="2:2" ht="15.75" customHeight="1">
      <c r="B608" s="275"/>
    </row>
    <row r="609" spans="2:2" ht="15.75" customHeight="1">
      <c r="B609" s="275"/>
    </row>
    <row r="610" spans="2:2" ht="15.75" customHeight="1">
      <c r="B610" s="275"/>
    </row>
    <row r="611" spans="2:2" ht="15.75" customHeight="1">
      <c r="B611" s="275"/>
    </row>
    <row r="612" spans="2:2" ht="15.75" customHeight="1">
      <c r="B612" s="275"/>
    </row>
    <row r="613" spans="2:2" ht="15.75" customHeight="1">
      <c r="B613" s="275"/>
    </row>
    <row r="614" spans="2:2" ht="15.75" customHeight="1">
      <c r="B614" s="275"/>
    </row>
    <row r="615" spans="2:2" ht="15.75" customHeight="1">
      <c r="B615" s="275"/>
    </row>
    <row r="616" spans="2:2" ht="15.75" customHeight="1">
      <c r="B616" s="275"/>
    </row>
    <row r="617" spans="2:2" ht="15.75" customHeight="1">
      <c r="B617" s="275"/>
    </row>
    <row r="618" spans="2:2" ht="15.75" customHeight="1">
      <c r="B618" s="275"/>
    </row>
    <row r="619" spans="2:2" ht="15.75" customHeight="1">
      <c r="B619" s="275"/>
    </row>
    <row r="620" spans="2:2" ht="15.75" customHeight="1">
      <c r="B620" s="275"/>
    </row>
    <row r="621" spans="2:2" ht="15.75" customHeight="1">
      <c r="B621" s="275"/>
    </row>
    <row r="622" spans="2:2" ht="15.75" customHeight="1">
      <c r="B622" s="275"/>
    </row>
    <row r="623" spans="2:2" ht="15.75" customHeight="1">
      <c r="B623" s="275"/>
    </row>
    <row r="624" spans="2:2" ht="15.75" customHeight="1">
      <c r="B624" s="275"/>
    </row>
    <row r="625" spans="2:2" ht="15.75" customHeight="1">
      <c r="B625" s="275"/>
    </row>
    <row r="626" spans="2:2" ht="15.75" customHeight="1">
      <c r="B626" s="275"/>
    </row>
    <row r="627" spans="2:2" ht="15.75" customHeight="1">
      <c r="B627" s="275"/>
    </row>
    <row r="628" spans="2:2" ht="15.75" customHeight="1">
      <c r="B628" s="275"/>
    </row>
    <row r="629" spans="2:2" ht="15.75" customHeight="1">
      <c r="B629" s="275"/>
    </row>
    <row r="630" spans="2:2" ht="15.75" customHeight="1">
      <c r="B630" s="275"/>
    </row>
    <row r="631" spans="2:2" ht="15.75" customHeight="1">
      <c r="B631" s="275"/>
    </row>
    <row r="632" spans="2:2" ht="15.75" customHeight="1">
      <c r="B632" s="275"/>
    </row>
    <row r="633" spans="2:2" ht="15.75" customHeight="1">
      <c r="B633" s="275"/>
    </row>
    <row r="634" spans="2:2" ht="15.75" customHeight="1">
      <c r="B634" s="275"/>
    </row>
    <row r="635" spans="2:2" ht="15.75" customHeight="1">
      <c r="B635" s="275"/>
    </row>
    <row r="636" spans="2:2" ht="15.75" customHeight="1">
      <c r="B636" s="275"/>
    </row>
    <row r="637" spans="2:2" ht="15.75" customHeight="1">
      <c r="B637" s="275"/>
    </row>
    <row r="638" spans="2:2" ht="15.75" customHeight="1">
      <c r="B638" s="275"/>
    </row>
    <row r="639" spans="2:2" ht="15.75" customHeight="1">
      <c r="B639" s="275"/>
    </row>
    <row r="640" spans="2:2" ht="15.75" customHeight="1">
      <c r="B640" s="275"/>
    </row>
    <row r="641" spans="2:2" ht="15.75" customHeight="1">
      <c r="B641" s="275"/>
    </row>
    <row r="642" spans="2:2" ht="15.75" customHeight="1">
      <c r="B642" s="275"/>
    </row>
    <row r="643" spans="2:2" ht="15.75" customHeight="1">
      <c r="B643" s="275"/>
    </row>
    <row r="644" spans="2:2" ht="15.75" customHeight="1">
      <c r="B644" s="275"/>
    </row>
    <row r="645" spans="2:2" ht="15.75" customHeight="1">
      <c r="B645" s="275"/>
    </row>
    <row r="646" spans="2:2" ht="15.75" customHeight="1">
      <c r="B646" s="275"/>
    </row>
    <row r="647" spans="2:2" ht="15.75" customHeight="1">
      <c r="B647" s="275"/>
    </row>
    <row r="648" spans="2:2" ht="15.75" customHeight="1">
      <c r="B648" s="275"/>
    </row>
    <row r="649" spans="2:2" ht="15.75" customHeight="1">
      <c r="B649" s="275"/>
    </row>
    <row r="650" spans="2:2" ht="15.75" customHeight="1">
      <c r="B650" s="275"/>
    </row>
    <row r="651" spans="2:2" ht="15.75" customHeight="1">
      <c r="B651" s="275"/>
    </row>
    <row r="652" spans="2:2" ht="15.75" customHeight="1">
      <c r="B652" s="275"/>
    </row>
    <row r="653" spans="2:2" ht="15.75" customHeight="1">
      <c r="B653" s="275"/>
    </row>
    <row r="654" spans="2:2" ht="15.75" customHeight="1">
      <c r="B654" s="275"/>
    </row>
    <row r="655" spans="2:2" ht="15.75" customHeight="1">
      <c r="B655" s="275"/>
    </row>
    <row r="656" spans="2:2" ht="15.75" customHeight="1">
      <c r="B656" s="275"/>
    </row>
    <row r="657" spans="2:2" ht="15.75" customHeight="1">
      <c r="B657" s="275"/>
    </row>
    <row r="658" spans="2:2" ht="15.75" customHeight="1">
      <c r="B658" s="275"/>
    </row>
    <row r="659" spans="2:2" ht="15.75" customHeight="1">
      <c r="B659" s="275"/>
    </row>
    <row r="660" spans="2:2" ht="15.75" customHeight="1">
      <c r="B660" s="275"/>
    </row>
    <row r="661" spans="2:2" ht="15.75" customHeight="1">
      <c r="B661" s="275"/>
    </row>
    <row r="662" spans="2:2" ht="15.75" customHeight="1">
      <c r="B662" s="275"/>
    </row>
    <row r="663" spans="2:2" ht="15.75" customHeight="1">
      <c r="B663" s="275"/>
    </row>
    <row r="664" spans="2:2" ht="15.75" customHeight="1">
      <c r="B664" s="275"/>
    </row>
    <row r="665" spans="2:2" ht="15.75" customHeight="1">
      <c r="B665" s="275"/>
    </row>
    <row r="666" spans="2:2" ht="15.75" customHeight="1">
      <c r="B666" s="275"/>
    </row>
    <row r="667" spans="2:2" ht="15.75" customHeight="1">
      <c r="B667" s="275"/>
    </row>
    <row r="668" spans="2:2" ht="15.75" customHeight="1">
      <c r="B668" s="275"/>
    </row>
    <row r="669" spans="2:2" ht="15.75" customHeight="1">
      <c r="B669" s="275"/>
    </row>
    <row r="670" spans="2:2" ht="15.75" customHeight="1">
      <c r="B670" s="275"/>
    </row>
    <row r="671" spans="2:2" ht="15.75" customHeight="1">
      <c r="B671" s="275"/>
    </row>
    <row r="672" spans="2:2" ht="15.75" customHeight="1">
      <c r="B672" s="275"/>
    </row>
    <row r="673" spans="2:2" ht="15.75" customHeight="1">
      <c r="B673" s="275"/>
    </row>
    <row r="674" spans="2:2" ht="15.75" customHeight="1">
      <c r="B674" s="275"/>
    </row>
    <row r="675" spans="2:2" ht="15.75" customHeight="1">
      <c r="B675" s="275"/>
    </row>
    <row r="676" spans="2:2" ht="15.75" customHeight="1">
      <c r="B676" s="275"/>
    </row>
    <row r="677" spans="2:2" ht="15.75" customHeight="1">
      <c r="B677" s="275"/>
    </row>
    <row r="678" spans="2:2" ht="15.75" customHeight="1">
      <c r="B678" s="275"/>
    </row>
    <row r="679" spans="2:2" ht="15.75" customHeight="1">
      <c r="B679" s="275"/>
    </row>
    <row r="680" spans="2:2" ht="15.75" customHeight="1">
      <c r="B680" s="275"/>
    </row>
    <row r="681" spans="2:2" ht="15.75" customHeight="1">
      <c r="B681" s="275"/>
    </row>
    <row r="682" spans="2:2" ht="15.75" customHeight="1">
      <c r="B682" s="275"/>
    </row>
    <row r="683" spans="2:2" ht="15.75" customHeight="1">
      <c r="B683" s="275"/>
    </row>
    <row r="684" spans="2:2" ht="15.75" customHeight="1">
      <c r="B684" s="275"/>
    </row>
    <row r="685" spans="2:2" ht="15.75" customHeight="1">
      <c r="B685" s="275"/>
    </row>
    <row r="686" spans="2:2" ht="15.75" customHeight="1">
      <c r="B686" s="275"/>
    </row>
    <row r="687" spans="2:2" ht="15.75" customHeight="1">
      <c r="B687" s="275"/>
    </row>
    <row r="688" spans="2:2" ht="15.75" customHeight="1">
      <c r="B688" s="275"/>
    </row>
    <row r="689" spans="2:2" ht="15.75" customHeight="1">
      <c r="B689" s="275"/>
    </row>
    <row r="690" spans="2:2" ht="15.75" customHeight="1">
      <c r="B690" s="275"/>
    </row>
    <row r="691" spans="2:2" ht="15.75" customHeight="1">
      <c r="B691" s="275"/>
    </row>
    <row r="692" spans="2:2" ht="15.75" customHeight="1">
      <c r="B692" s="275"/>
    </row>
    <row r="693" spans="2:2" ht="15.75" customHeight="1">
      <c r="B693" s="275"/>
    </row>
    <row r="694" spans="2:2" ht="15.75" customHeight="1">
      <c r="B694" s="275"/>
    </row>
    <row r="695" spans="2:2" ht="15.75" customHeight="1">
      <c r="B695" s="275"/>
    </row>
    <row r="696" spans="2:2" ht="15.75" customHeight="1">
      <c r="B696" s="275"/>
    </row>
    <row r="697" spans="2:2" ht="15.75" customHeight="1">
      <c r="B697" s="275"/>
    </row>
    <row r="698" spans="2:2" ht="15.75" customHeight="1">
      <c r="B698" s="275"/>
    </row>
    <row r="699" spans="2:2" ht="15.75" customHeight="1">
      <c r="B699" s="275"/>
    </row>
    <row r="700" spans="2:2" ht="15.75" customHeight="1">
      <c r="B700" s="275"/>
    </row>
    <row r="701" spans="2:2" ht="15.75" customHeight="1">
      <c r="B701" s="275"/>
    </row>
    <row r="702" spans="2:2" ht="15.75" customHeight="1">
      <c r="B702" s="275"/>
    </row>
    <row r="703" spans="2:2" ht="15.75" customHeight="1">
      <c r="B703" s="275"/>
    </row>
    <row r="704" spans="2:2" ht="15.75" customHeight="1">
      <c r="B704" s="275"/>
    </row>
    <row r="705" spans="2:2" ht="15.75" customHeight="1">
      <c r="B705" s="275"/>
    </row>
    <row r="706" spans="2:2" ht="15.75" customHeight="1">
      <c r="B706" s="275"/>
    </row>
    <row r="707" spans="2:2" ht="15.75" customHeight="1">
      <c r="B707" s="275"/>
    </row>
    <row r="708" spans="2:2" ht="15.75" customHeight="1">
      <c r="B708" s="275"/>
    </row>
    <row r="709" spans="2:2" ht="15.75" customHeight="1">
      <c r="B709" s="275"/>
    </row>
    <row r="710" spans="2:2" ht="15.75" customHeight="1">
      <c r="B710" s="275"/>
    </row>
    <row r="711" spans="2:2" ht="15.75" customHeight="1">
      <c r="B711" s="275"/>
    </row>
    <row r="712" spans="2:2" ht="15.75" customHeight="1">
      <c r="B712" s="275"/>
    </row>
    <row r="713" spans="2:2" ht="15.75" customHeight="1">
      <c r="B713" s="275"/>
    </row>
    <row r="714" spans="2:2" ht="15.75" customHeight="1">
      <c r="B714" s="275"/>
    </row>
    <row r="715" spans="2:2" ht="15.75" customHeight="1">
      <c r="B715" s="275"/>
    </row>
    <row r="716" spans="2:2" ht="15.75" customHeight="1">
      <c r="B716" s="275"/>
    </row>
    <row r="717" spans="2:2" ht="15.75" customHeight="1">
      <c r="B717" s="275"/>
    </row>
    <row r="718" spans="2:2" ht="15.75" customHeight="1">
      <c r="B718" s="275"/>
    </row>
    <row r="719" spans="2:2" ht="15.75" customHeight="1">
      <c r="B719" s="275"/>
    </row>
    <row r="720" spans="2:2" ht="15.75" customHeight="1">
      <c r="B720" s="275"/>
    </row>
    <row r="721" spans="2:2" ht="15.75" customHeight="1">
      <c r="B721" s="275"/>
    </row>
    <row r="722" spans="2:2" ht="15.75" customHeight="1">
      <c r="B722" s="275"/>
    </row>
    <row r="723" spans="2:2" ht="15.75" customHeight="1">
      <c r="B723" s="275"/>
    </row>
    <row r="724" spans="2:2" ht="15.75" customHeight="1">
      <c r="B724" s="275"/>
    </row>
    <row r="725" spans="2:2" ht="15.75" customHeight="1">
      <c r="B725" s="275"/>
    </row>
    <row r="726" spans="2:2" ht="15.75" customHeight="1">
      <c r="B726" s="275"/>
    </row>
    <row r="727" spans="2:2" ht="15.75" customHeight="1">
      <c r="B727" s="275"/>
    </row>
    <row r="728" spans="2:2" ht="15.75" customHeight="1">
      <c r="B728" s="275"/>
    </row>
    <row r="729" spans="2:2" ht="15.75" customHeight="1">
      <c r="B729" s="275"/>
    </row>
    <row r="730" spans="2:2" ht="15.75" customHeight="1">
      <c r="B730" s="275"/>
    </row>
    <row r="731" spans="2:2" ht="15.75" customHeight="1">
      <c r="B731" s="275"/>
    </row>
    <row r="732" spans="2:2" ht="15.75" customHeight="1">
      <c r="B732" s="275"/>
    </row>
    <row r="733" spans="2:2" ht="15.75" customHeight="1">
      <c r="B733" s="275"/>
    </row>
    <row r="734" spans="2:2" ht="15.75" customHeight="1">
      <c r="B734" s="275"/>
    </row>
    <row r="735" spans="2:2" ht="15.75" customHeight="1">
      <c r="B735" s="275"/>
    </row>
    <row r="736" spans="2:2" ht="15.75" customHeight="1">
      <c r="B736" s="275"/>
    </row>
    <row r="737" spans="2:2" ht="15.75" customHeight="1">
      <c r="B737" s="275"/>
    </row>
    <row r="738" spans="2:2" ht="15.75" customHeight="1">
      <c r="B738" s="275"/>
    </row>
    <row r="739" spans="2:2" ht="15.75" customHeight="1">
      <c r="B739" s="275"/>
    </row>
    <row r="740" spans="2:2" ht="15.75" customHeight="1">
      <c r="B740" s="275"/>
    </row>
    <row r="741" spans="2:2" ht="15.75" customHeight="1">
      <c r="B741" s="275"/>
    </row>
    <row r="742" spans="2:2" ht="15.75" customHeight="1">
      <c r="B742" s="275"/>
    </row>
    <row r="743" spans="2:2" ht="15.75" customHeight="1">
      <c r="B743" s="275"/>
    </row>
    <row r="744" spans="2:2" ht="15.75" customHeight="1">
      <c r="B744" s="275"/>
    </row>
    <row r="745" spans="2:2" ht="15.75" customHeight="1">
      <c r="B745" s="275"/>
    </row>
    <row r="746" spans="2:2" ht="15.75" customHeight="1">
      <c r="B746" s="275"/>
    </row>
    <row r="747" spans="2:2" ht="15.75" customHeight="1">
      <c r="B747" s="275"/>
    </row>
    <row r="748" spans="2:2" ht="15.75" customHeight="1">
      <c r="B748" s="275"/>
    </row>
    <row r="749" spans="2:2" ht="15.75" customHeight="1">
      <c r="B749" s="275"/>
    </row>
    <row r="750" spans="2:2" ht="15.75" customHeight="1">
      <c r="B750" s="275"/>
    </row>
    <row r="751" spans="2:2" ht="15.75" customHeight="1">
      <c r="B751" s="275"/>
    </row>
    <row r="752" spans="2:2" ht="15.75" customHeight="1">
      <c r="B752" s="275"/>
    </row>
    <row r="753" spans="2:2" ht="15.75" customHeight="1">
      <c r="B753" s="275"/>
    </row>
    <row r="754" spans="2:2" ht="15.75" customHeight="1">
      <c r="B754" s="275"/>
    </row>
    <row r="755" spans="2:2" ht="15.75" customHeight="1">
      <c r="B755" s="275"/>
    </row>
    <row r="756" spans="2:2" ht="15.75" customHeight="1">
      <c r="B756" s="275"/>
    </row>
    <row r="757" spans="2:2" ht="15.75" customHeight="1">
      <c r="B757" s="275"/>
    </row>
    <row r="758" spans="2:2" ht="15.75" customHeight="1">
      <c r="B758" s="275"/>
    </row>
    <row r="759" spans="2:2" ht="15.75" customHeight="1">
      <c r="B759" s="275"/>
    </row>
    <row r="760" spans="2:2" ht="15.75" customHeight="1">
      <c r="B760" s="275"/>
    </row>
    <row r="761" spans="2:2" ht="15.75" customHeight="1">
      <c r="B761" s="275"/>
    </row>
    <row r="762" spans="2:2" ht="15.75" customHeight="1">
      <c r="B762" s="275"/>
    </row>
    <row r="763" spans="2:2" ht="15.75" customHeight="1">
      <c r="B763" s="275"/>
    </row>
    <row r="764" spans="2:2" ht="15.75" customHeight="1">
      <c r="B764" s="275"/>
    </row>
    <row r="765" spans="2:2" ht="15.75" customHeight="1">
      <c r="B765" s="275"/>
    </row>
    <row r="766" spans="2:2" ht="15.75" customHeight="1">
      <c r="B766" s="275"/>
    </row>
    <row r="767" spans="2:2" ht="15.75" customHeight="1">
      <c r="B767" s="275"/>
    </row>
    <row r="768" spans="2:2" ht="15.75" customHeight="1">
      <c r="B768" s="275"/>
    </row>
    <row r="769" spans="2:2" ht="15.75" customHeight="1">
      <c r="B769" s="275"/>
    </row>
    <row r="770" spans="2:2" ht="15.75" customHeight="1">
      <c r="B770" s="275"/>
    </row>
    <row r="771" spans="2:2" ht="15.75" customHeight="1">
      <c r="B771" s="275"/>
    </row>
    <row r="772" spans="2:2" ht="15.75" customHeight="1">
      <c r="B772" s="275"/>
    </row>
    <row r="773" spans="2:2" ht="15.75" customHeight="1">
      <c r="B773" s="275"/>
    </row>
    <row r="774" spans="2:2" ht="15.75" customHeight="1">
      <c r="B774" s="275"/>
    </row>
    <row r="775" spans="2:2" ht="15.75" customHeight="1">
      <c r="B775" s="275"/>
    </row>
    <row r="776" spans="2:2" ht="15.75" customHeight="1">
      <c r="B776" s="275"/>
    </row>
    <row r="777" spans="2:2" ht="15.75" customHeight="1">
      <c r="B777" s="275"/>
    </row>
    <row r="778" spans="2:2" ht="15.75" customHeight="1">
      <c r="B778" s="275"/>
    </row>
    <row r="779" spans="2:2" ht="15.75" customHeight="1">
      <c r="B779" s="275"/>
    </row>
    <row r="780" spans="2:2" ht="15.75" customHeight="1">
      <c r="B780" s="275"/>
    </row>
    <row r="781" spans="2:2" ht="15.75" customHeight="1">
      <c r="B781" s="275"/>
    </row>
    <row r="782" spans="2:2" ht="15.75" customHeight="1">
      <c r="B782" s="275"/>
    </row>
    <row r="783" spans="2:2" ht="15.75" customHeight="1">
      <c r="B783" s="275"/>
    </row>
    <row r="784" spans="2:2" ht="15.75" customHeight="1">
      <c r="B784" s="275"/>
    </row>
    <row r="785" spans="2:2" ht="15.75" customHeight="1">
      <c r="B785" s="275"/>
    </row>
    <row r="786" spans="2:2" ht="15.75" customHeight="1">
      <c r="B786" s="275"/>
    </row>
    <row r="787" spans="2:2" ht="15.75" customHeight="1">
      <c r="B787" s="275"/>
    </row>
    <row r="788" spans="2:2" ht="15.75" customHeight="1">
      <c r="B788" s="275"/>
    </row>
    <row r="789" spans="2:2" ht="15.75" customHeight="1">
      <c r="B789" s="275"/>
    </row>
    <row r="790" spans="2:2" ht="15.75" customHeight="1">
      <c r="B790" s="275"/>
    </row>
    <row r="791" spans="2:2" ht="15.75" customHeight="1">
      <c r="B791" s="275"/>
    </row>
    <row r="792" spans="2:2" ht="15.75" customHeight="1">
      <c r="B792" s="275"/>
    </row>
    <row r="793" spans="2:2" ht="15.75" customHeight="1">
      <c r="B793" s="275"/>
    </row>
    <row r="794" spans="2:2" ht="15.75" customHeight="1">
      <c r="B794" s="275"/>
    </row>
    <row r="795" spans="2:2" ht="15.75" customHeight="1">
      <c r="B795" s="275"/>
    </row>
    <row r="796" spans="2:2" ht="15.75" customHeight="1">
      <c r="B796" s="275"/>
    </row>
    <row r="797" spans="2:2" ht="15.75" customHeight="1">
      <c r="B797" s="275"/>
    </row>
    <row r="798" spans="2:2" ht="15.75" customHeight="1">
      <c r="B798" s="275"/>
    </row>
    <row r="799" spans="2:2" ht="15.75" customHeight="1">
      <c r="B799" s="275"/>
    </row>
    <row r="800" spans="2:2" ht="15.75" customHeight="1">
      <c r="B800" s="275"/>
    </row>
    <row r="801" spans="2:2" ht="15.75" customHeight="1">
      <c r="B801" s="275"/>
    </row>
    <row r="802" spans="2:2" ht="15.75" customHeight="1">
      <c r="B802" s="275"/>
    </row>
    <row r="803" spans="2:2" ht="15.75" customHeight="1">
      <c r="B803" s="275"/>
    </row>
    <row r="804" spans="2:2" ht="15.75" customHeight="1">
      <c r="B804" s="275"/>
    </row>
    <row r="805" spans="2:2" ht="15.75" customHeight="1">
      <c r="B805" s="275"/>
    </row>
    <row r="806" spans="2:2" ht="15.75" customHeight="1">
      <c r="B806" s="275"/>
    </row>
    <row r="807" spans="2:2" ht="15.75" customHeight="1">
      <c r="B807" s="275"/>
    </row>
    <row r="808" spans="2:2" ht="15.75" customHeight="1">
      <c r="B808" s="275"/>
    </row>
    <row r="809" spans="2:2" ht="15.75" customHeight="1">
      <c r="B809" s="275"/>
    </row>
    <row r="810" spans="2:2" ht="15.75" customHeight="1">
      <c r="B810" s="275"/>
    </row>
    <row r="811" spans="2:2" ht="15.75" customHeight="1">
      <c r="B811" s="275"/>
    </row>
    <row r="812" spans="2:2" ht="15.75" customHeight="1">
      <c r="B812" s="275"/>
    </row>
    <row r="813" spans="2:2" ht="15.75" customHeight="1">
      <c r="B813" s="275"/>
    </row>
    <row r="814" spans="2:2" ht="15.75" customHeight="1">
      <c r="B814" s="275"/>
    </row>
    <row r="815" spans="2:2" ht="15.75" customHeight="1">
      <c r="B815" s="275"/>
    </row>
    <row r="816" spans="2:2" ht="15.75" customHeight="1">
      <c r="B816" s="275"/>
    </row>
    <row r="817" spans="2:2" ht="15.75" customHeight="1">
      <c r="B817" s="275"/>
    </row>
    <row r="818" spans="2:2" ht="15.75" customHeight="1">
      <c r="B818" s="275"/>
    </row>
    <row r="819" spans="2:2" ht="15.75" customHeight="1">
      <c r="B819" s="275"/>
    </row>
    <row r="820" spans="2:2" ht="15.75" customHeight="1">
      <c r="B820" s="275"/>
    </row>
    <row r="821" spans="2:2" ht="15.75" customHeight="1">
      <c r="B821" s="275"/>
    </row>
    <row r="822" spans="2:2" ht="15.75" customHeight="1">
      <c r="B822" s="275"/>
    </row>
    <row r="823" spans="2:2" ht="15.75" customHeight="1">
      <c r="B823" s="275"/>
    </row>
    <row r="824" spans="2:2" ht="15.75" customHeight="1">
      <c r="B824" s="275"/>
    </row>
    <row r="825" spans="2:2" ht="15.75" customHeight="1">
      <c r="B825" s="275"/>
    </row>
    <row r="826" spans="2:2" ht="15.75" customHeight="1">
      <c r="B826" s="275"/>
    </row>
    <row r="827" spans="2:2" ht="15.75" customHeight="1">
      <c r="B827" s="275"/>
    </row>
    <row r="828" spans="2:2" ht="15.75" customHeight="1">
      <c r="B828" s="275"/>
    </row>
    <row r="829" spans="2:2" ht="15.75" customHeight="1">
      <c r="B829" s="275"/>
    </row>
    <row r="830" spans="2:2" ht="15.75" customHeight="1">
      <c r="B830" s="275"/>
    </row>
    <row r="831" spans="2:2" ht="15.75" customHeight="1">
      <c r="B831" s="275"/>
    </row>
    <row r="832" spans="2:2" ht="15.75" customHeight="1">
      <c r="B832" s="275"/>
    </row>
    <row r="833" spans="2:2" ht="15.75" customHeight="1">
      <c r="B833" s="275"/>
    </row>
    <row r="834" spans="2:2" ht="15.75" customHeight="1">
      <c r="B834" s="275"/>
    </row>
    <row r="835" spans="2:2" ht="15.75" customHeight="1">
      <c r="B835" s="275"/>
    </row>
    <row r="836" spans="2:2" ht="15.75" customHeight="1">
      <c r="B836" s="275"/>
    </row>
    <row r="837" spans="2:2" ht="15.75" customHeight="1">
      <c r="B837" s="275"/>
    </row>
    <row r="838" spans="2:2" ht="15.75" customHeight="1">
      <c r="B838" s="275"/>
    </row>
    <row r="839" spans="2:2" ht="15.75" customHeight="1">
      <c r="B839" s="275"/>
    </row>
    <row r="840" spans="2:2" ht="15.75" customHeight="1">
      <c r="B840" s="275"/>
    </row>
    <row r="841" spans="2:2" ht="15.75" customHeight="1">
      <c r="B841" s="275"/>
    </row>
    <row r="842" spans="2:2" ht="15.75" customHeight="1">
      <c r="B842" s="275"/>
    </row>
    <row r="843" spans="2:2" ht="15.75" customHeight="1">
      <c r="B843" s="275"/>
    </row>
    <row r="844" spans="2:2" ht="15.75" customHeight="1">
      <c r="B844" s="275"/>
    </row>
    <row r="845" spans="2:2" ht="15.75" customHeight="1">
      <c r="B845" s="275"/>
    </row>
    <row r="846" spans="2:2" ht="15.75" customHeight="1">
      <c r="B846" s="275"/>
    </row>
    <row r="847" spans="2:2" ht="15.75" customHeight="1">
      <c r="B847" s="275"/>
    </row>
    <row r="848" spans="2:2" ht="15.75" customHeight="1">
      <c r="B848" s="275"/>
    </row>
    <row r="849" spans="2:2" ht="15.75" customHeight="1">
      <c r="B849" s="275"/>
    </row>
    <row r="850" spans="2:2" ht="15.75" customHeight="1">
      <c r="B850" s="275"/>
    </row>
    <row r="851" spans="2:2" ht="15.75" customHeight="1">
      <c r="B851" s="275"/>
    </row>
    <row r="852" spans="2:2" ht="15.75" customHeight="1">
      <c r="B852" s="275"/>
    </row>
    <row r="853" spans="2:2" ht="15.75" customHeight="1">
      <c r="B853" s="275"/>
    </row>
    <row r="854" spans="2:2" ht="15.75" customHeight="1">
      <c r="B854" s="275"/>
    </row>
    <row r="855" spans="2:2" ht="15.75" customHeight="1">
      <c r="B855" s="275"/>
    </row>
    <row r="856" spans="2:2" ht="15.75" customHeight="1">
      <c r="B856" s="275"/>
    </row>
    <row r="857" spans="2:2" ht="15.75" customHeight="1">
      <c r="B857" s="275"/>
    </row>
    <row r="858" spans="2:2" ht="15.75" customHeight="1">
      <c r="B858" s="275"/>
    </row>
    <row r="859" spans="2:2" ht="15.75" customHeight="1">
      <c r="B859" s="275"/>
    </row>
    <row r="860" spans="2:2" ht="15.75" customHeight="1">
      <c r="B860" s="275"/>
    </row>
    <row r="861" spans="2:2" ht="15.75" customHeight="1">
      <c r="B861" s="275"/>
    </row>
    <row r="862" spans="2:2" ht="15.75" customHeight="1">
      <c r="B862" s="275"/>
    </row>
    <row r="863" spans="2:2" ht="15.75" customHeight="1">
      <c r="B863" s="275"/>
    </row>
    <row r="864" spans="2:2" ht="15.75" customHeight="1">
      <c r="B864" s="275"/>
    </row>
    <row r="865" spans="2:2" ht="15.75" customHeight="1">
      <c r="B865" s="275"/>
    </row>
    <row r="866" spans="2:2" ht="15.75" customHeight="1">
      <c r="B866" s="275"/>
    </row>
    <row r="867" spans="2:2" ht="15.75" customHeight="1">
      <c r="B867" s="275"/>
    </row>
    <row r="868" spans="2:2" ht="15.75" customHeight="1">
      <c r="B868" s="275"/>
    </row>
    <row r="869" spans="2:2" ht="15.75" customHeight="1">
      <c r="B869" s="275"/>
    </row>
    <row r="870" spans="2:2" ht="15.75" customHeight="1">
      <c r="B870" s="275"/>
    </row>
    <row r="871" spans="2:2" ht="15.75" customHeight="1">
      <c r="B871" s="275"/>
    </row>
    <row r="872" spans="2:2" ht="15.75" customHeight="1">
      <c r="B872" s="275"/>
    </row>
    <row r="873" spans="2:2" ht="15.75" customHeight="1">
      <c r="B873" s="275"/>
    </row>
    <row r="874" spans="2:2" ht="15.75" customHeight="1">
      <c r="B874" s="275"/>
    </row>
    <row r="875" spans="2:2" ht="15.75" customHeight="1">
      <c r="B875" s="275"/>
    </row>
    <row r="876" spans="2:2" ht="15.75" customHeight="1">
      <c r="B876" s="275"/>
    </row>
    <row r="877" spans="2:2" ht="15.75" customHeight="1">
      <c r="B877" s="275"/>
    </row>
    <row r="878" spans="2:2" ht="15.75" customHeight="1">
      <c r="B878" s="275"/>
    </row>
    <row r="879" spans="2:2" ht="15.75" customHeight="1">
      <c r="B879" s="275"/>
    </row>
    <row r="880" spans="2:2" ht="15.75" customHeight="1">
      <c r="B880" s="275"/>
    </row>
    <row r="881" spans="2:2" ht="15.75" customHeight="1">
      <c r="B881" s="275"/>
    </row>
    <row r="882" spans="2:2" ht="15.75" customHeight="1">
      <c r="B882" s="275"/>
    </row>
    <row r="883" spans="2:2" ht="15.75" customHeight="1">
      <c r="B883" s="275"/>
    </row>
    <row r="884" spans="2:2" ht="15.75" customHeight="1">
      <c r="B884" s="275"/>
    </row>
    <row r="885" spans="2:2" ht="15.75" customHeight="1">
      <c r="B885" s="275"/>
    </row>
    <row r="886" spans="2:2" ht="15.75" customHeight="1">
      <c r="B886" s="275"/>
    </row>
    <row r="887" spans="2:2" ht="15.75" customHeight="1">
      <c r="B887" s="275"/>
    </row>
    <row r="888" spans="2:2" ht="15.75" customHeight="1">
      <c r="B888" s="275"/>
    </row>
    <row r="889" spans="2:2" ht="15.75" customHeight="1">
      <c r="B889" s="275"/>
    </row>
    <row r="890" spans="2:2" ht="15.75" customHeight="1">
      <c r="B890" s="275"/>
    </row>
    <row r="891" spans="2:2" ht="15.75" customHeight="1">
      <c r="B891" s="275"/>
    </row>
    <row r="892" spans="2:2" ht="15.75" customHeight="1">
      <c r="B892" s="275"/>
    </row>
    <row r="893" spans="2:2" ht="15.75" customHeight="1">
      <c r="B893" s="275"/>
    </row>
    <row r="894" spans="2:2" ht="15.75" customHeight="1">
      <c r="B894" s="275"/>
    </row>
    <row r="895" spans="2:2" ht="15.75" customHeight="1">
      <c r="B895" s="275"/>
    </row>
    <row r="896" spans="2:2" ht="15.75" customHeight="1">
      <c r="B896" s="275"/>
    </row>
    <row r="897" spans="2:2" ht="15.75" customHeight="1">
      <c r="B897" s="275"/>
    </row>
    <row r="898" spans="2:2" ht="15.75" customHeight="1">
      <c r="B898" s="275"/>
    </row>
    <row r="899" spans="2:2" ht="15.75" customHeight="1">
      <c r="B899" s="275"/>
    </row>
    <row r="900" spans="2:2" ht="15.75" customHeight="1">
      <c r="B900" s="275"/>
    </row>
    <row r="901" spans="2:2" ht="15.75" customHeight="1">
      <c r="B901" s="275"/>
    </row>
    <row r="902" spans="2:2" ht="15.75" customHeight="1">
      <c r="B902" s="275"/>
    </row>
    <row r="903" spans="2:2" ht="15.75" customHeight="1">
      <c r="B903" s="275"/>
    </row>
    <row r="904" spans="2:2" ht="15.75" customHeight="1">
      <c r="B904" s="275"/>
    </row>
    <row r="905" spans="2:2" ht="15.75" customHeight="1">
      <c r="B905" s="275"/>
    </row>
    <row r="906" spans="2:2" ht="15.75" customHeight="1">
      <c r="B906" s="275"/>
    </row>
    <row r="907" spans="2:2" ht="15.75" customHeight="1">
      <c r="B907" s="275"/>
    </row>
    <row r="908" spans="2:2" ht="15.75" customHeight="1">
      <c r="B908" s="275"/>
    </row>
    <row r="909" spans="2:2" ht="15.75" customHeight="1">
      <c r="B909" s="275"/>
    </row>
    <row r="910" spans="2:2" ht="15.75" customHeight="1">
      <c r="B910" s="275"/>
    </row>
    <row r="911" spans="2:2" ht="15.75" customHeight="1">
      <c r="B911" s="275"/>
    </row>
    <row r="912" spans="2:2" ht="15.75" customHeight="1">
      <c r="B912" s="275"/>
    </row>
    <row r="913" spans="2:2" ht="15.75" customHeight="1">
      <c r="B913" s="275"/>
    </row>
    <row r="914" spans="2:2" ht="15.75" customHeight="1">
      <c r="B914" s="275"/>
    </row>
    <row r="915" spans="2:2" ht="15.75" customHeight="1">
      <c r="B915" s="275"/>
    </row>
    <row r="916" spans="2:2" ht="15.75" customHeight="1">
      <c r="B916" s="275"/>
    </row>
    <row r="917" spans="2:2" ht="15.75" customHeight="1">
      <c r="B917" s="275"/>
    </row>
    <row r="918" spans="2:2" ht="15.75" customHeight="1">
      <c r="B918" s="275"/>
    </row>
    <row r="919" spans="2:2" ht="15.75" customHeight="1">
      <c r="B919" s="275"/>
    </row>
    <row r="920" spans="2:2" ht="15.75" customHeight="1">
      <c r="B920" s="275"/>
    </row>
    <row r="921" spans="2:2" ht="15.75" customHeight="1">
      <c r="B921" s="275"/>
    </row>
    <row r="922" spans="2:2" ht="15.75" customHeight="1">
      <c r="B922" s="275"/>
    </row>
    <row r="923" spans="2:2" ht="15.75" customHeight="1">
      <c r="B923" s="275"/>
    </row>
    <row r="924" spans="2:2" ht="15.75" customHeight="1">
      <c r="B924" s="275"/>
    </row>
    <row r="925" spans="2:2" ht="15.75" customHeight="1">
      <c r="B925" s="275"/>
    </row>
    <row r="926" spans="2:2" ht="15.75" customHeight="1">
      <c r="B926" s="275"/>
    </row>
    <row r="927" spans="2:2" ht="15.75" customHeight="1">
      <c r="B927" s="275"/>
    </row>
    <row r="928" spans="2:2" ht="15.75" customHeight="1">
      <c r="B928" s="275"/>
    </row>
    <row r="929" spans="2:2" ht="15.75" customHeight="1">
      <c r="B929" s="275"/>
    </row>
    <row r="930" spans="2:2" ht="15.75" customHeight="1">
      <c r="B930" s="275"/>
    </row>
    <row r="931" spans="2:2" ht="15.75" customHeight="1">
      <c r="B931" s="275"/>
    </row>
    <row r="932" spans="2:2" ht="15.75" customHeight="1">
      <c r="B932" s="275"/>
    </row>
    <row r="933" spans="2:2" ht="15.75" customHeight="1">
      <c r="B933" s="275"/>
    </row>
    <row r="934" spans="2:2" ht="15.75" customHeight="1">
      <c r="B934" s="275"/>
    </row>
    <row r="935" spans="2:2" ht="15.75" customHeight="1">
      <c r="B935" s="275"/>
    </row>
    <row r="936" spans="2:2" ht="15.75" customHeight="1">
      <c r="B936" s="275"/>
    </row>
    <row r="937" spans="2:2" ht="15.75" customHeight="1">
      <c r="B937" s="275"/>
    </row>
    <row r="938" spans="2:2" ht="15.75" customHeight="1">
      <c r="B938" s="275"/>
    </row>
    <row r="939" spans="2:2" ht="15.75" customHeight="1">
      <c r="B939" s="275"/>
    </row>
    <row r="940" spans="2:2" ht="15.75" customHeight="1">
      <c r="B940" s="275"/>
    </row>
    <row r="941" spans="2:2" ht="15.75" customHeight="1">
      <c r="B941" s="275"/>
    </row>
    <row r="942" spans="2:2" ht="15.75" customHeight="1">
      <c r="B942" s="275"/>
    </row>
    <row r="943" spans="2:2" ht="15.75" customHeight="1">
      <c r="B943" s="275"/>
    </row>
    <row r="944" spans="2:2" ht="15.75" customHeight="1">
      <c r="B944" s="275"/>
    </row>
    <row r="945" spans="2:2" ht="15.75" customHeight="1">
      <c r="B945" s="275"/>
    </row>
    <row r="946" spans="2:2" ht="15.75" customHeight="1">
      <c r="B946" s="275"/>
    </row>
    <row r="947" spans="2:2" ht="15.75" customHeight="1">
      <c r="B947" s="275"/>
    </row>
    <row r="948" spans="2:2" ht="15.75" customHeight="1">
      <c r="B948" s="275"/>
    </row>
    <row r="949" spans="2:2" ht="15.75" customHeight="1">
      <c r="B949" s="275"/>
    </row>
    <row r="950" spans="2:2" ht="15.75" customHeight="1">
      <c r="B950" s="275"/>
    </row>
    <row r="951" spans="2:2" ht="15.75" customHeight="1">
      <c r="B951" s="275"/>
    </row>
    <row r="952" spans="2:2" ht="15.75" customHeight="1">
      <c r="B952" s="275"/>
    </row>
    <row r="953" spans="2:2" ht="15.75" customHeight="1">
      <c r="B953" s="275"/>
    </row>
    <row r="954" spans="2:2" ht="15.75" customHeight="1">
      <c r="B954" s="275"/>
    </row>
    <row r="955" spans="2:2" ht="15.75" customHeight="1">
      <c r="B955" s="275"/>
    </row>
    <row r="956" spans="2:2" ht="15.75" customHeight="1">
      <c r="B956" s="275"/>
    </row>
    <row r="957" spans="2:2" ht="15.75" customHeight="1">
      <c r="B957" s="275"/>
    </row>
    <row r="958" spans="2:2" ht="15.75" customHeight="1">
      <c r="B958" s="275"/>
    </row>
    <row r="959" spans="2:2" ht="15.75" customHeight="1">
      <c r="B959" s="275"/>
    </row>
    <row r="960" spans="2:2" ht="15.75" customHeight="1">
      <c r="B960" s="275"/>
    </row>
    <row r="961" spans="2:2" ht="15.75" customHeight="1">
      <c r="B961" s="275"/>
    </row>
    <row r="962" spans="2:2" ht="15.75" customHeight="1">
      <c r="B962" s="275"/>
    </row>
    <row r="963" spans="2:2" ht="15.75" customHeight="1">
      <c r="B963" s="275"/>
    </row>
    <row r="964" spans="2:2" ht="15.75" customHeight="1">
      <c r="B964" s="275"/>
    </row>
    <row r="965" spans="2:2" ht="15.75" customHeight="1">
      <c r="B965" s="275"/>
    </row>
    <row r="966" spans="2:2" ht="15.75" customHeight="1">
      <c r="B966" s="275"/>
    </row>
    <row r="967" spans="2:2" ht="15.75" customHeight="1">
      <c r="B967" s="275"/>
    </row>
    <row r="968" spans="2:2" ht="15.75" customHeight="1">
      <c r="B968" s="275"/>
    </row>
    <row r="969" spans="2:2" ht="15.75" customHeight="1">
      <c r="B969" s="275"/>
    </row>
    <row r="970" spans="2:2" ht="15.75" customHeight="1">
      <c r="B970" s="275"/>
    </row>
    <row r="971" spans="2:2" ht="15.75" customHeight="1">
      <c r="B971" s="275"/>
    </row>
    <row r="972" spans="2:2" ht="15.75" customHeight="1">
      <c r="B972" s="275"/>
    </row>
    <row r="973" spans="2:2" ht="15.75" customHeight="1">
      <c r="B973" s="275"/>
    </row>
    <row r="974" spans="2:2" ht="15.75" customHeight="1">
      <c r="B974" s="275"/>
    </row>
    <row r="975" spans="2:2" ht="15.75" customHeight="1">
      <c r="B975" s="275"/>
    </row>
    <row r="976" spans="2:2" ht="15.75" customHeight="1">
      <c r="B976" s="275"/>
    </row>
    <row r="977" spans="2:2" ht="15.75" customHeight="1">
      <c r="B977" s="275"/>
    </row>
    <row r="978" spans="2:2" ht="15.75" customHeight="1">
      <c r="B978" s="275"/>
    </row>
    <row r="979" spans="2:2" ht="15.75" customHeight="1">
      <c r="B979" s="275"/>
    </row>
    <row r="980" spans="2:2" ht="15.75" customHeight="1">
      <c r="B980" s="275"/>
    </row>
    <row r="981" spans="2:2" ht="15.75" customHeight="1">
      <c r="B981" s="275"/>
    </row>
    <row r="982" spans="2:2" ht="15.75" customHeight="1">
      <c r="B982" s="275"/>
    </row>
    <row r="983" spans="2:2" ht="15.75" customHeight="1">
      <c r="B983" s="275"/>
    </row>
    <row r="984" spans="2:2" ht="15.75" customHeight="1">
      <c r="B984" s="275"/>
    </row>
    <row r="985" spans="2:2" ht="15.75" customHeight="1">
      <c r="B985" s="275"/>
    </row>
    <row r="986" spans="2:2" ht="15.75" customHeight="1">
      <c r="B986" s="275"/>
    </row>
    <row r="987" spans="2:2" ht="15.75" customHeight="1">
      <c r="B987" s="275"/>
    </row>
    <row r="988" spans="2:2" ht="15.75" customHeight="1">
      <c r="B988" s="275"/>
    </row>
    <row r="989" spans="2:2" ht="15.75" customHeight="1">
      <c r="B989" s="275"/>
    </row>
    <row r="990" spans="2:2" ht="15.75" customHeight="1">
      <c r="B990" s="275"/>
    </row>
    <row r="991" spans="2:2" ht="15.75" customHeight="1">
      <c r="B991" s="275"/>
    </row>
    <row r="992" spans="2:2" ht="15.75" customHeight="1">
      <c r="B992" s="275"/>
    </row>
    <row r="993" spans="2:2" ht="15.75" customHeight="1">
      <c r="B993" s="275"/>
    </row>
    <row r="994" spans="2:2" ht="15.75" customHeight="1">
      <c r="B994" s="275"/>
    </row>
    <row r="995" spans="2:2" ht="15.75" customHeight="1">
      <c r="B995" s="275"/>
    </row>
    <row r="996" spans="2:2" ht="15.75" customHeight="1">
      <c r="B996" s="275"/>
    </row>
    <row r="997" spans="2:2" ht="15.75" customHeight="1">
      <c r="B997" s="275"/>
    </row>
    <row r="998" spans="2:2" ht="15.75" customHeight="1">
      <c r="B998" s="275"/>
    </row>
    <row r="999" spans="2:2" ht="15.75" customHeight="1">
      <c r="B999" s="275"/>
    </row>
    <row r="1000" spans="2:2" ht="15.75" customHeight="1">
      <c r="B1000" s="275"/>
    </row>
  </sheetData>
  <autoFilter ref="B5:D119" xr:uid="{00000000-0009-0000-0000-000007000000}"/>
  <mergeCells count="13">
    <mergeCell ref="Z4:AB4"/>
    <mergeCell ref="AC4:AE4"/>
    <mergeCell ref="AF4:AH4"/>
    <mergeCell ref="AI4:AK4"/>
    <mergeCell ref="P124:Q124"/>
    <mergeCell ref="R124:S124"/>
    <mergeCell ref="T4:V4"/>
    <mergeCell ref="W4:Y4"/>
    <mergeCell ref="E4:G4"/>
    <mergeCell ref="H4:J4"/>
    <mergeCell ref="K4:M4"/>
    <mergeCell ref="N4:P4"/>
    <mergeCell ref="Q4:S4"/>
  </mergeCells>
  <dataValidations count="2">
    <dataValidation type="list" allowBlank="1" showErrorMessage="1" sqref="C124" xr:uid="{00000000-0002-0000-0700-000000000000}">
      <formula1>nmperiset</formula1>
    </dataValidation>
    <dataValidation type="list" allowBlank="1" showErrorMessage="1" sqref="B6:B119" xr:uid="{00000000-0002-0000-0700-000001000000}">
      <formula1>kelris</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1000"/>
  <sheetViews>
    <sheetView workbookViewId="0">
      <pane xSplit="6" ySplit="6" topLeftCell="G7" activePane="bottomRight" state="frozen"/>
      <selection pane="topRight" activeCell="G1" sqref="G1"/>
      <selection pane="bottomLeft" activeCell="A7" sqref="A7"/>
      <selection pane="bottomRight" activeCell="G7" sqref="G7"/>
    </sheetView>
  </sheetViews>
  <sheetFormatPr defaultColWidth="11.23046875" defaultRowHeight="15" customHeight="1"/>
  <cols>
    <col min="1" max="1" width="3.53515625" customWidth="1"/>
    <col min="2" max="2" width="32.69140625" customWidth="1"/>
    <col min="3" max="3" width="15.23046875" customWidth="1"/>
    <col min="4" max="4" width="17.69140625" customWidth="1"/>
    <col min="5" max="5" width="6" customWidth="1"/>
    <col min="6" max="6" width="9.07421875" customWidth="1"/>
    <col min="7" max="7" width="5" customWidth="1"/>
    <col min="8" max="8" width="11" customWidth="1"/>
    <col min="9" max="9" width="8.4609375" customWidth="1"/>
    <col min="10" max="10" width="10.4609375" customWidth="1"/>
    <col min="11" max="11" width="10.53515625" customWidth="1"/>
    <col min="12" max="12" width="11" customWidth="1"/>
    <col min="13" max="13" width="9.07421875" customWidth="1"/>
    <col min="14" max="14" width="10.23046875" customWidth="1"/>
    <col min="15" max="15" width="8.07421875" customWidth="1"/>
    <col min="16" max="31" width="8.69140625" customWidth="1"/>
    <col min="32" max="32" width="4.84375" customWidth="1"/>
    <col min="33" max="33" width="10.23046875" customWidth="1"/>
    <col min="34" max="34" width="6.23046875" customWidth="1"/>
    <col min="35" max="35" width="9.53515625" customWidth="1"/>
    <col min="36" max="37" width="7.4609375" customWidth="1"/>
    <col min="38" max="38" width="6.23046875" customWidth="1"/>
    <col min="39" max="39" width="6.23046875" hidden="1" customWidth="1"/>
  </cols>
  <sheetData>
    <row r="1" spans="1:39" ht="7.5" customHeight="1">
      <c r="A1" s="1228" t="s">
        <v>2901</v>
      </c>
      <c r="B1" s="1176"/>
      <c r="C1" s="1176"/>
      <c r="D1" s="1176"/>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602"/>
      <c r="AJ1" s="602"/>
      <c r="AK1" s="522"/>
      <c r="AL1" s="522"/>
    </row>
    <row r="2" spans="1:39" ht="14.5">
      <c r="A2" s="1176"/>
      <c r="B2" s="1176"/>
      <c r="C2" s="1176"/>
      <c r="D2" s="1176"/>
      <c r="E2" s="975"/>
      <c r="F2" s="975"/>
      <c r="G2" s="975"/>
      <c r="H2" s="975"/>
      <c r="I2" s="975"/>
      <c r="J2" s="975"/>
      <c r="K2" s="975"/>
      <c r="L2" s="975"/>
      <c r="M2" s="975"/>
      <c r="N2" s="975"/>
      <c r="O2" s="975"/>
      <c r="P2" s="975"/>
      <c r="Q2" s="975"/>
      <c r="R2" s="975"/>
      <c r="S2" s="975"/>
      <c r="T2" s="975"/>
      <c r="U2" s="975"/>
      <c r="V2" s="975"/>
      <c r="W2" s="975"/>
      <c r="X2" s="975"/>
      <c r="Y2" s="975"/>
      <c r="Z2" s="975"/>
      <c r="AA2" s="975"/>
      <c r="AB2" s="975"/>
      <c r="AC2" s="975"/>
      <c r="AD2" s="975"/>
      <c r="AE2" s="975"/>
      <c r="AF2" s="975"/>
      <c r="AG2" s="975"/>
      <c r="AH2" s="975"/>
      <c r="AI2" s="602"/>
      <c r="AJ2" s="602"/>
      <c r="AK2" s="522"/>
      <c r="AL2" s="522"/>
    </row>
    <row r="3" spans="1:39" ht="27" customHeight="1">
      <c r="A3" s="975"/>
      <c r="B3" s="975"/>
      <c r="C3" s="975"/>
      <c r="D3" s="975"/>
      <c r="E3" s="975"/>
      <c r="F3" s="975"/>
      <c r="G3" s="975"/>
      <c r="H3" s="975"/>
      <c r="I3" s="975"/>
      <c r="J3" s="975"/>
      <c r="K3" s="975"/>
      <c r="L3" s="975"/>
      <c r="M3" s="975"/>
      <c r="N3" s="975"/>
      <c r="O3" s="975"/>
      <c r="P3" s="975"/>
      <c r="Q3" s="975"/>
      <c r="R3" s="975"/>
      <c r="S3" s="975"/>
      <c r="T3" s="975"/>
      <c r="U3" s="975"/>
      <c r="V3" s="975"/>
      <c r="W3" s="975"/>
      <c r="X3" s="975"/>
      <c r="Y3" s="975"/>
      <c r="Z3" s="975"/>
      <c r="AA3" s="975"/>
      <c r="AB3" s="975"/>
      <c r="AC3" s="975"/>
      <c r="AD3" s="975"/>
      <c r="AE3" s="975"/>
      <c r="AF3" s="975"/>
      <c r="AG3" s="975"/>
      <c r="AH3" s="975"/>
      <c r="AI3" s="602"/>
      <c r="AJ3" s="602"/>
      <c r="AK3" s="522"/>
      <c r="AL3" s="522"/>
    </row>
    <row r="4" spans="1:39" ht="14.5">
      <c r="A4" s="1203" t="s">
        <v>2</v>
      </c>
      <c r="B4" s="1202"/>
      <c r="C4" s="1202"/>
      <c r="D4" s="1202"/>
      <c r="E4" s="600"/>
      <c r="F4" s="600"/>
      <c r="G4" s="600"/>
      <c r="H4" s="600"/>
      <c r="I4" s="600"/>
      <c r="J4" s="600"/>
      <c r="K4" s="600"/>
      <c r="L4" s="602"/>
      <c r="M4" s="602"/>
      <c r="N4" s="602"/>
      <c r="O4" s="602"/>
      <c r="P4" s="602"/>
      <c r="Q4" s="602"/>
      <c r="R4" s="602"/>
      <c r="S4" s="602"/>
      <c r="T4" s="602"/>
      <c r="U4" s="602"/>
      <c r="V4" s="602"/>
      <c r="W4" s="602"/>
      <c r="X4" s="602"/>
      <c r="Y4" s="602"/>
      <c r="Z4" s="602"/>
      <c r="AA4" s="602"/>
      <c r="AB4" s="602"/>
      <c r="AC4" s="602"/>
      <c r="AD4" s="602"/>
      <c r="AE4" s="602"/>
      <c r="AF4" s="976"/>
      <c r="AG4" s="602"/>
      <c r="AH4" s="602"/>
      <c r="AI4" s="602"/>
      <c r="AJ4" s="602"/>
      <c r="AK4" s="522"/>
      <c r="AL4" s="522"/>
    </row>
    <row r="5" spans="1:39" ht="14.5">
      <c r="A5" s="1229" t="s">
        <v>5</v>
      </c>
      <c r="B5" s="977"/>
      <c r="C5" s="1231" t="s">
        <v>2913</v>
      </c>
      <c r="D5" s="1223" t="s">
        <v>2914</v>
      </c>
      <c r="E5" s="1223" t="s">
        <v>2915</v>
      </c>
      <c r="F5" s="1223" t="s">
        <v>2916</v>
      </c>
      <c r="G5" s="1223" t="s">
        <v>2917</v>
      </c>
      <c r="H5" s="1220" t="s">
        <v>2918</v>
      </c>
      <c r="I5" s="1208"/>
      <c r="J5" s="1220" t="s">
        <v>2919</v>
      </c>
      <c r="K5" s="1208"/>
      <c r="L5" s="1220" t="s">
        <v>47</v>
      </c>
      <c r="M5" s="1208"/>
      <c r="N5" s="1220" t="s">
        <v>175</v>
      </c>
      <c r="O5" s="1222"/>
      <c r="P5" s="1220" t="s">
        <v>251</v>
      </c>
      <c r="Q5" s="1208"/>
      <c r="R5" s="1220" t="s">
        <v>271</v>
      </c>
      <c r="S5" s="1208"/>
      <c r="T5" s="1220" t="s">
        <v>423</v>
      </c>
      <c r="U5" s="1208"/>
      <c r="V5" s="1220" t="s">
        <v>480</v>
      </c>
      <c r="W5" s="1208"/>
      <c r="X5" s="1220" t="s">
        <v>334</v>
      </c>
      <c r="Y5" s="1208"/>
      <c r="Z5" s="1220" t="s">
        <v>326</v>
      </c>
      <c r="AA5" s="1208"/>
      <c r="AB5" s="1220" t="s">
        <v>650</v>
      </c>
      <c r="AC5" s="1208"/>
      <c r="AD5" s="1220" t="s">
        <v>182</v>
      </c>
      <c r="AE5" s="1208"/>
      <c r="AF5" s="976"/>
      <c r="AG5" s="1221" t="s">
        <v>2920</v>
      </c>
      <c r="AH5" s="1222"/>
      <c r="AI5" s="602"/>
      <c r="AJ5" s="602"/>
      <c r="AK5" s="522"/>
      <c r="AL5" s="522"/>
    </row>
    <row r="6" spans="1:39" ht="58">
      <c r="A6" s="1230"/>
      <c r="B6" s="977" t="s">
        <v>2921</v>
      </c>
      <c r="C6" s="1232"/>
      <c r="D6" s="1224"/>
      <c r="E6" s="1224"/>
      <c r="F6" s="1224"/>
      <c r="G6" s="1224"/>
      <c r="H6" s="978" t="s">
        <v>2922</v>
      </c>
      <c r="I6" s="978" t="s">
        <v>2923</v>
      </c>
      <c r="J6" s="978" t="s">
        <v>2922</v>
      </c>
      <c r="K6" s="978" t="s">
        <v>2923</v>
      </c>
      <c r="L6" s="978" t="s">
        <v>2922</v>
      </c>
      <c r="M6" s="978" t="s">
        <v>2923</v>
      </c>
      <c r="N6" s="978" t="s">
        <v>2922</v>
      </c>
      <c r="O6" s="979" t="s">
        <v>2923</v>
      </c>
      <c r="P6" s="980" t="s">
        <v>2922</v>
      </c>
      <c r="Q6" s="980" t="s">
        <v>2923</v>
      </c>
      <c r="R6" s="978" t="s">
        <v>2922</v>
      </c>
      <c r="S6" s="978" t="s">
        <v>2923</v>
      </c>
      <c r="T6" s="978" t="s">
        <v>2922</v>
      </c>
      <c r="U6" s="978" t="s">
        <v>2923</v>
      </c>
      <c r="V6" s="980" t="s">
        <v>2922</v>
      </c>
      <c r="W6" s="980" t="s">
        <v>2923</v>
      </c>
      <c r="X6" s="980" t="s">
        <v>2922</v>
      </c>
      <c r="Y6" s="980" t="s">
        <v>2923</v>
      </c>
      <c r="Z6" s="980" t="s">
        <v>2922</v>
      </c>
      <c r="AA6" s="980" t="s">
        <v>2923</v>
      </c>
      <c r="AB6" s="980" t="s">
        <v>2922</v>
      </c>
      <c r="AC6" s="980" t="s">
        <v>2923</v>
      </c>
      <c r="AD6" s="978" t="s">
        <v>2922</v>
      </c>
      <c r="AE6" s="978" t="s">
        <v>2923</v>
      </c>
      <c r="AF6" s="976"/>
      <c r="AG6" s="981" t="s">
        <v>2924</v>
      </c>
      <c r="AH6" s="979" t="s">
        <v>2925</v>
      </c>
      <c r="AI6" s="978" t="s">
        <v>2926</v>
      </c>
      <c r="AJ6" s="978" t="s">
        <v>2927</v>
      </c>
      <c r="AK6" s="522"/>
      <c r="AL6" s="522"/>
    </row>
    <row r="7" spans="1:39" ht="24" customHeight="1">
      <c r="A7" s="982">
        <v>1</v>
      </c>
      <c r="B7" s="983" t="s">
        <v>192</v>
      </c>
      <c r="C7" s="984" t="s">
        <v>2928</v>
      </c>
      <c r="D7" s="985" t="s">
        <v>2929</v>
      </c>
      <c r="E7" s="986">
        <v>9</v>
      </c>
      <c r="F7" s="987">
        <v>59</v>
      </c>
      <c r="G7" s="988">
        <v>226</v>
      </c>
      <c r="H7" s="989"/>
      <c r="I7" s="990"/>
      <c r="J7" s="987">
        <v>0</v>
      </c>
      <c r="K7" s="991">
        <v>4</v>
      </c>
      <c r="L7" s="991">
        <v>0</v>
      </c>
      <c r="M7" s="991">
        <v>13</v>
      </c>
      <c r="N7" s="992">
        <v>0</v>
      </c>
      <c r="O7" s="993">
        <v>12</v>
      </c>
      <c r="P7" s="994">
        <v>0</v>
      </c>
      <c r="Q7" s="994">
        <v>14</v>
      </c>
      <c r="R7" s="995">
        <v>1</v>
      </c>
      <c r="S7" s="995">
        <v>2</v>
      </c>
      <c r="T7" s="995">
        <v>0</v>
      </c>
      <c r="U7" s="995">
        <v>2</v>
      </c>
      <c r="V7" s="994">
        <v>0</v>
      </c>
      <c r="W7" s="994">
        <v>4</v>
      </c>
      <c r="X7" s="994">
        <v>0</v>
      </c>
      <c r="Y7" s="994">
        <v>7</v>
      </c>
      <c r="Z7" s="994">
        <v>0</v>
      </c>
      <c r="AA7" s="994">
        <v>9</v>
      </c>
      <c r="AB7" s="994">
        <v>1</v>
      </c>
      <c r="AC7" s="994">
        <v>5</v>
      </c>
      <c r="AD7" s="992"/>
      <c r="AE7" s="996"/>
      <c r="AF7" s="997"/>
      <c r="AG7" s="998">
        <f t="shared" ref="AG7:AH7" si="0">F7+H7+J7+L7+N7+P7+R7+T7+V7+X7+Z7+AB7+AD7</f>
        <v>61</v>
      </c>
      <c r="AH7" s="999">
        <f t="shared" si="0"/>
        <v>298</v>
      </c>
      <c r="AI7" s="1000">
        <f t="shared" ref="AI7:AJ7" si="1">J7+H7+L7+N7+P7+R7+T7+V7+X7+Z7+AB7+AD7</f>
        <v>2</v>
      </c>
      <c r="AJ7" s="1001">
        <f t="shared" si="1"/>
        <v>72</v>
      </c>
      <c r="AK7" s="522"/>
      <c r="AL7" s="522"/>
      <c r="AM7" s="1002" t="s">
        <v>2930</v>
      </c>
    </row>
    <row r="8" spans="1:39" ht="26.25" customHeight="1">
      <c r="A8" s="1003">
        <v>2</v>
      </c>
      <c r="B8" s="1004" t="s">
        <v>102</v>
      </c>
      <c r="C8" s="1005" t="s">
        <v>2931</v>
      </c>
      <c r="D8" s="1006" t="s">
        <v>2932</v>
      </c>
      <c r="E8" s="1007">
        <v>3</v>
      </c>
      <c r="F8" s="1008">
        <v>18</v>
      </c>
      <c r="G8" s="1009">
        <v>32</v>
      </c>
      <c r="H8" s="1010"/>
      <c r="I8" s="1011"/>
      <c r="J8" s="1008">
        <v>0</v>
      </c>
      <c r="K8" s="1012">
        <v>0</v>
      </c>
      <c r="L8" s="1013">
        <v>1</v>
      </c>
      <c r="M8" s="1013">
        <v>1</v>
      </c>
      <c r="N8" s="1014">
        <v>0</v>
      </c>
      <c r="O8" s="1015">
        <v>1</v>
      </c>
      <c r="P8" s="994">
        <v>0</v>
      </c>
      <c r="Q8" s="994">
        <v>0</v>
      </c>
      <c r="R8" s="994">
        <v>0</v>
      </c>
      <c r="S8" s="994">
        <v>0</v>
      </c>
      <c r="T8" s="994">
        <v>0</v>
      </c>
      <c r="U8" s="994">
        <v>5</v>
      </c>
      <c r="V8" s="994">
        <v>1</v>
      </c>
      <c r="W8" s="994">
        <v>6</v>
      </c>
      <c r="X8" s="994">
        <v>1</v>
      </c>
      <c r="Y8" s="994">
        <v>0</v>
      </c>
      <c r="Z8" s="994">
        <v>0</v>
      </c>
      <c r="AA8" s="994">
        <v>2</v>
      </c>
      <c r="AB8" s="994">
        <v>1</v>
      </c>
      <c r="AC8" s="994">
        <v>1</v>
      </c>
      <c r="AD8" s="1014"/>
      <c r="AE8" s="1016"/>
      <c r="AF8" s="997"/>
      <c r="AG8" s="998">
        <f t="shared" ref="AG8:AH8" si="2">F8+H8+J8+L8+N8+P8+R8+T8+V8+X8+Z8+AB8+AD8</f>
        <v>22</v>
      </c>
      <c r="AH8" s="999">
        <f t="shared" si="2"/>
        <v>48</v>
      </c>
      <c r="AI8" s="1000">
        <f t="shared" ref="AI8:AJ8" si="3">J8+H8+L8+N8+P8+R8+T8+V8+X8+Z8+AB8+AD8</f>
        <v>4</v>
      </c>
      <c r="AJ8" s="1001">
        <f t="shared" si="3"/>
        <v>16</v>
      </c>
      <c r="AK8" s="522"/>
      <c r="AL8" s="522"/>
      <c r="AM8" s="1002" t="s">
        <v>2933</v>
      </c>
    </row>
    <row r="9" spans="1:39" ht="26.25" customHeight="1">
      <c r="A9" s="982">
        <v>3</v>
      </c>
      <c r="B9" s="1004" t="s">
        <v>375</v>
      </c>
      <c r="C9" s="1005" t="s">
        <v>2934</v>
      </c>
      <c r="D9" s="869" t="s">
        <v>2935</v>
      </c>
      <c r="E9" s="1007">
        <v>5</v>
      </c>
      <c r="F9" s="1008">
        <v>22</v>
      </c>
      <c r="G9" s="1009">
        <v>48</v>
      </c>
      <c r="H9" s="1010"/>
      <c r="I9" s="1011"/>
      <c r="J9" s="1008">
        <v>0</v>
      </c>
      <c r="K9" s="1012">
        <v>0</v>
      </c>
      <c r="L9" s="1013">
        <v>0</v>
      </c>
      <c r="M9" s="1013">
        <v>0</v>
      </c>
      <c r="N9" s="1014">
        <v>0</v>
      </c>
      <c r="O9" s="1015">
        <v>2</v>
      </c>
      <c r="P9" s="994">
        <v>0</v>
      </c>
      <c r="Q9" s="994">
        <v>1</v>
      </c>
      <c r="R9" s="994">
        <v>1</v>
      </c>
      <c r="S9" s="994">
        <v>4</v>
      </c>
      <c r="T9" s="994">
        <v>0</v>
      </c>
      <c r="U9" s="994">
        <v>0</v>
      </c>
      <c r="V9" s="994">
        <v>1</v>
      </c>
      <c r="W9" s="994">
        <v>3</v>
      </c>
      <c r="X9" s="994">
        <v>0</v>
      </c>
      <c r="Y9" s="994">
        <v>1</v>
      </c>
      <c r="Z9" s="994">
        <v>0</v>
      </c>
      <c r="AA9" s="994">
        <v>1</v>
      </c>
      <c r="AB9" s="994">
        <v>1</v>
      </c>
      <c r="AC9" s="994">
        <v>13</v>
      </c>
      <c r="AD9" s="1014"/>
      <c r="AE9" s="1016"/>
      <c r="AF9" s="997"/>
      <c r="AG9" s="998">
        <f t="shared" ref="AG9:AH9" si="4">F9+H9+J9+L9+N9+P9+R9+T9+V9+X9+Z9+AB9+AD9</f>
        <v>25</v>
      </c>
      <c r="AH9" s="999">
        <f t="shared" si="4"/>
        <v>73</v>
      </c>
      <c r="AI9" s="1000">
        <f t="shared" ref="AI9:AJ9" si="5">J9+H9+L9+N9+P9+R9+T9+V9+X9+Z9+AB9+AD9</f>
        <v>3</v>
      </c>
      <c r="AJ9" s="1001">
        <f t="shared" si="5"/>
        <v>25</v>
      </c>
      <c r="AK9" s="522"/>
      <c r="AL9" s="522"/>
      <c r="AM9" s="1002" t="s">
        <v>2936</v>
      </c>
    </row>
    <row r="10" spans="1:39" ht="26.25" customHeight="1">
      <c r="A10" s="1003">
        <v>4</v>
      </c>
      <c r="B10" s="1004" t="s">
        <v>92</v>
      </c>
      <c r="C10" s="1005" t="s">
        <v>2937</v>
      </c>
      <c r="D10" s="885" t="s">
        <v>2938</v>
      </c>
      <c r="E10" s="1007">
        <v>5</v>
      </c>
      <c r="F10" s="1008">
        <v>22</v>
      </c>
      <c r="G10" s="1009">
        <v>56</v>
      </c>
      <c r="H10" s="1010"/>
      <c r="I10" s="1011"/>
      <c r="J10" s="1008">
        <v>0</v>
      </c>
      <c r="K10" s="1012">
        <v>0</v>
      </c>
      <c r="L10" s="1013">
        <v>3</v>
      </c>
      <c r="M10" s="1013">
        <v>3</v>
      </c>
      <c r="N10" s="1014">
        <v>0</v>
      </c>
      <c r="O10" s="1015">
        <v>1</v>
      </c>
      <c r="P10" s="994">
        <v>0</v>
      </c>
      <c r="Q10" s="994">
        <v>0</v>
      </c>
      <c r="R10" s="994">
        <v>1</v>
      </c>
      <c r="S10" s="994">
        <v>0</v>
      </c>
      <c r="T10" s="994">
        <v>0</v>
      </c>
      <c r="U10" s="994">
        <v>4</v>
      </c>
      <c r="V10" s="994">
        <v>1</v>
      </c>
      <c r="W10" s="994">
        <v>8</v>
      </c>
      <c r="X10" s="994">
        <v>0</v>
      </c>
      <c r="Y10" s="994">
        <v>0</v>
      </c>
      <c r="Z10" s="994">
        <v>0</v>
      </c>
      <c r="AA10" s="994">
        <v>1</v>
      </c>
      <c r="AB10" s="994">
        <v>1</v>
      </c>
      <c r="AC10" s="994">
        <v>1</v>
      </c>
      <c r="AD10" s="1014"/>
      <c r="AE10" s="1016"/>
      <c r="AF10" s="997"/>
      <c r="AG10" s="998">
        <f t="shared" ref="AG10:AH10" si="6">F10+H10+J10+L10+N10+P10+R10+T10+V10+X10+Z10+AB10+AD10</f>
        <v>28</v>
      </c>
      <c r="AH10" s="999">
        <f t="shared" si="6"/>
        <v>74</v>
      </c>
      <c r="AI10" s="1000">
        <f t="shared" ref="AI10:AJ10" si="7">J10+H10+L10+N10+P10+R10+T10+V10+X10+Z10+AB10+AD10</f>
        <v>6</v>
      </c>
      <c r="AJ10" s="1001">
        <f t="shared" si="7"/>
        <v>18</v>
      </c>
      <c r="AK10" s="522"/>
      <c r="AL10" s="522"/>
      <c r="AM10" s="1002" t="s">
        <v>2939</v>
      </c>
    </row>
    <row r="11" spans="1:39" ht="26.25" customHeight="1">
      <c r="A11" s="982">
        <v>5</v>
      </c>
      <c r="B11" s="1004" t="s">
        <v>103</v>
      </c>
      <c r="C11" s="1005" t="s">
        <v>2940</v>
      </c>
      <c r="D11" s="885" t="s">
        <v>2938</v>
      </c>
      <c r="E11" s="1007">
        <v>5</v>
      </c>
      <c r="F11" s="1008">
        <v>27</v>
      </c>
      <c r="G11" s="1009">
        <v>67</v>
      </c>
      <c r="H11" s="1010"/>
      <c r="I11" s="1011"/>
      <c r="J11" s="1008">
        <v>0</v>
      </c>
      <c r="K11" s="1012">
        <v>0</v>
      </c>
      <c r="L11" s="1013">
        <v>1</v>
      </c>
      <c r="M11" s="1013">
        <v>1</v>
      </c>
      <c r="N11" s="1014">
        <v>0</v>
      </c>
      <c r="O11" s="1015">
        <v>1</v>
      </c>
      <c r="P11" s="994">
        <v>0</v>
      </c>
      <c r="Q11" s="994">
        <v>1</v>
      </c>
      <c r="R11" s="994">
        <v>0</v>
      </c>
      <c r="S11" s="994">
        <v>1</v>
      </c>
      <c r="T11" s="994">
        <v>0</v>
      </c>
      <c r="U11" s="994">
        <v>1</v>
      </c>
      <c r="V11" s="994">
        <v>0</v>
      </c>
      <c r="W11" s="994">
        <v>0</v>
      </c>
      <c r="X11" s="994">
        <v>1</v>
      </c>
      <c r="Y11" s="994">
        <v>0</v>
      </c>
      <c r="Z11" s="994">
        <v>0</v>
      </c>
      <c r="AA11" s="994">
        <v>2</v>
      </c>
      <c r="AB11" s="994">
        <v>1</v>
      </c>
      <c r="AC11" s="994">
        <v>0</v>
      </c>
      <c r="AD11" s="1014"/>
      <c r="AE11" s="1016"/>
      <c r="AF11" s="997"/>
      <c r="AG11" s="998">
        <f t="shared" ref="AG11:AH11" si="8">F11+H11+J11+L11+N11+P11+R11+T11+V11+X11+Z11+AB11+AD11</f>
        <v>30</v>
      </c>
      <c r="AH11" s="999">
        <f t="shared" si="8"/>
        <v>74</v>
      </c>
      <c r="AI11" s="1000">
        <f t="shared" ref="AI11:AJ11" si="9">J11+H11+L11+N11+P11+R11+T11+V11+X11+Z11+AB11+AD11</f>
        <v>3</v>
      </c>
      <c r="AJ11" s="1001">
        <f t="shared" si="9"/>
        <v>7</v>
      </c>
      <c r="AK11" s="522"/>
      <c r="AL11" s="522"/>
      <c r="AM11" s="1002" t="s">
        <v>2941</v>
      </c>
    </row>
    <row r="12" spans="1:39" ht="26.25" customHeight="1">
      <c r="A12" s="1003">
        <v>6</v>
      </c>
      <c r="B12" s="1004" t="s">
        <v>415</v>
      </c>
      <c r="C12" s="1005" t="s">
        <v>2942</v>
      </c>
      <c r="D12" s="885" t="s">
        <v>2943</v>
      </c>
      <c r="E12" s="1007">
        <v>5</v>
      </c>
      <c r="F12" s="1008">
        <v>14</v>
      </c>
      <c r="G12" s="1009">
        <v>28</v>
      </c>
      <c r="H12" s="1010"/>
      <c r="I12" s="1011"/>
      <c r="J12" s="1008">
        <v>0</v>
      </c>
      <c r="K12" s="1012">
        <v>0</v>
      </c>
      <c r="L12" s="1013">
        <v>0</v>
      </c>
      <c r="M12" s="1013">
        <v>0</v>
      </c>
      <c r="N12" s="1014">
        <v>0</v>
      </c>
      <c r="O12" s="1015">
        <v>0</v>
      </c>
      <c r="P12" s="994">
        <v>0</v>
      </c>
      <c r="Q12" s="994">
        <v>2</v>
      </c>
      <c r="R12" s="994">
        <v>0</v>
      </c>
      <c r="S12" s="994">
        <v>7</v>
      </c>
      <c r="T12" s="994">
        <v>0</v>
      </c>
      <c r="U12" s="994">
        <v>1</v>
      </c>
      <c r="V12" s="994">
        <v>1</v>
      </c>
      <c r="W12" s="994">
        <v>1</v>
      </c>
      <c r="X12" s="994">
        <v>0</v>
      </c>
      <c r="Y12" s="994">
        <v>1</v>
      </c>
      <c r="Z12" s="994">
        <v>0</v>
      </c>
      <c r="AA12" s="994">
        <v>1</v>
      </c>
      <c r="AB12" s="994">
        <v>1</v>
      </c>
      <c r="AC12" s="994">
        <v>0</v>
      </c>
      <c r="AD12" s="1014"/>
      <c r="AE12" s="1016"/>
      <c r="AF12" s="997"/>
      <c r="AG12" s="998">
        <f t="shared" ref="AG12:AH12" si="10">F12+H12+J12+L12+N12+P12+R12+T12+V12+X12+Z12+AB12+AD12</f>
        <v>16</v>
      </c>
      <c r="AH12" s="999">
        <f t="shared" si="10"/>
        <v>41</v>
      </c>
      <c r="AI12" s="1000">
        <f t="shared" ref="AI12:AJ12" si="11">J12+H12+L12+N12+P12+R12+T12+V12+X12+Z12+AB12+AD12</f>
        <v>2</v>
      </c>
      <c r="AJ12" s="1001">
        <f t="shared" si="11"/>
        <v>13</v>
      </c>
      <c r="AK12" s="522"/>
      <c r="AL12" s="522"/>
      <c r="AM12" s="1002" t="s">
        <v>2936</v>
      </c>
    </row>
    <row r="13" spans="1:39" ht="26.25" customHeight="1">
      <c r="A13" s="982">
        <v>7</v>
      </c>
      <c r="B13" s="1004" t="s">
        <v>220</v>
      </c>
      <c r="C13" s="1017" t="s">
        <v>2944</v>
      </c>
      <c r="D13" s="885" t="s">
        <v>2943</v>
      </c>
      <c r="E13" s="1007"/>
      <c r="F13" s="1008"/>
      <c r="G13" s="1018"/>
      <c r="H13" s="1010"/>
      <c r="I13" s="1011"/>
      <c r="J13" s="1008"/>
      <c r="K13" s="1012"/>
      <c r="L13" s="1013">
        <v>0</v>
      </c>
      <c r="M13" s="1013">
        <v>0</v>
      </c>
      <c r="N13" s="1014">
        <v>0</v>
      </c>
      <c r="O13" s="1015">
        <v>0</v>
      </c>
      <c r="P13" s="994">
        <v>0</v>
      </c>
      <c r="Q13" s="994">
        <v>0</v>
      </c>
      <c r="R13" s="994">
        <v>0</v>
      </c>
      <c r="S13" s="994">
        <v>0</v>
      </c>
      <c r="T13" s="994">
        <v>0</v>
      </c>
      <c r="U13" s="994">
        <v>0</v>
      </c>
      <c r="V13" s="994">
        <v>0</v>
      </c>
      <c r="W13" s="994">
        <v>0</v>
      </c>
      <c r="X13" s="994">
        <v>0</v>
      </c>
      <c r="Y13" s="994">
        <v>0</v>
      </c>
      <c r="Z13" s="994">
        <v>0</v>
      </c>
      <c r="AA13" s="994">
        <v>0</v>
      </c>
      <c r="AB13" s="994">
        <v>0</v>
      </c>
      <c r="AC13" s="994">
        <v>0</v>
      </c>
      <c r="AD13" s="1014"/>
      <c r="AE13" s="1016"/>
      <c r="AF13" s="997"/>
      <c r="AG13" s="998">
        <f t="shared" ref="AG13:AH13" si="12">F13+H13+J13+L13+N13+P13+R13+T13+V13+X13+Z13+AB13+AD13</f>
        <v>0</v>
      </c>
      <c r="AH13" s="999">
        <f t="shared" si="12"/>
        <v>0</v>
      </c>
      <c r="AI13" s="1000">
        <f t="shared" ref="AI13:AJ13" si="13">J13+H13+L13+N13+P13+R13+T13+V13+X13+Z13+AB13+AD13</f>
        <v>0</v>
      </c>
      <c r="AJ13" s="1001">
        <f t="shared" si="13"/>
        <v>0</v>
      </c>
      <c r="AK13" s="522"/>
      <c r="AL13" s="522"/>
      <c r="AM13" s="1002" t="s">
        <v>2936</v>
      </c>
    </row>
    <row r="14" spans="1:39" ht="26.25" customHeight="1">
      <c r="A14" s="1003"/>
      <c r="B14" s="1019" t="s">
        <v>531</v>
      </c>
      <c r="C14" s="1005" t="s">
        <v>2945</v>
      </c>
      <c r="D14" s="885" t="s">
        <v>2946</v>
      </c>
      <c r="E14" s="1007">
        <v>2</v>
      </c>
      <c r="F14" s="1008">
        <v>6</v>
      </c>
      <c r="G14" s="1009">
        <v>13</v>
      </c>
      <c r="H14" s="1010"/>
      <c r="I14" s="1011"/>
      <c r="J14" s="1008">
        <v>0</v>
      </c>
      <c r="K14" s="1012">
        <v>0</v>
      </c>
      <c r="L14" s="1013">
        <v>0</v>
      </c>
      <c r="M14" s="1013">
        <v>1</v>
      </c>
      <c r="N14" s="1014">
        <v>0</v>
      </c>
      <c r="O14" s="1015">
        <v>1</v>
      </c>
      <c r="P14" s="994">
        <v>0</v>
      </c>
      <c r="Q14" s="994">
        <v>0</v>
      </c>
      <c r="R14" s="994">
        <v>0</v>
      </c>
      <c r="S14" s="994">
        <v>2</v>
      </c>
      <c r="T14" s="994">
        <v>0</v>
      </c>
      <c r="U14" s="994">
        <v>3</v>
      </c>
      <c r="V14" s="994">
        <v>0</v>
      </c>
      <c r="W14" s="994">
        <v>2</v>
      </c>
      <c r="X14" s="994">
        <v>0</v>
      </c>
      <c r="Y14" s="994">
        <v>0</v>
      </c>
      <c r="Z14" s="994">
        <v>0</v>
      </c>
      <c r="AA14" s="994">
        <v>0</v>
      </c>
      <c r="AB14" s="994">
        <v>0</v>
      </c>
      <c r="AC14" s="994">
        <v>0</v>
      </c>
      <c r="AD14" s="1014"/>
      <c r="AE14" s="1016"/>
      <c r="AF14" s="997"/>
      <c r="AG14" s="998">
        <f t="shared" ref="AG14:AH14" si="14">F14+H14+J14+L14+N14+P14+R14+T14+V14+X14+Z14+AB14+AD14</f>
        <v>6</v>
      </c>
      <c r="AH14" s="999">
        <f t="shared" si="14"/>
        <v>22</v>
      </c>
      <c r="AI14" s="1000">
        <f t="shared" ref="AI14:AJ14" si="15">J14+H14+L14+N14+P14+R14+T14+V14+X14+Z14+AB14+AD14</f>
        <v>0</v>
      </c>
      <c r="AJ14" s="1001">
        <f t="shared" si="15"/>
        <v>9</v>
      </c>
      <c r="AK14" s="522"/>
      <c r="AL14" s="522"/>
      <c r="AM14" s="1002" t="s">
        <v>2930</v>
      </c>
    </row>
    <row r="15" spans="1:39" ht="26.25" customHeight="1">
      <c r="A15" s="982">
        <v>8</v>
      </c>
      <c r="B15" s="1004" t="s">
        <v>33</v>
      </c>
      <c r="C15" s="1005" t="s">
        <v>2947</v>
      </c>
      <c r="D15" s="885" t="s">
        <v>2948</v>
      </c>
      <c r="E15" s="1007">
        <v>8</v>
      </c>
      <c r="F15" s="1008">
        <v>39</v>
      </c>
      <c r="G15" s="1009">
        <v>156</v>
      </c>
      <c r="H15" s="1010"/>
      <c r="I15" s="1011"/>
      <c r="J15" s="1008">
        <v>1</v>
      </c>
      <c r="K15" s="1012">
        <v>2</v>
      </c>
      <c r="L15" s="1013">
        <v>0</v>
      </c>
      <c r="M15" s="1013">
        <v>6</v>
      </c>
      <c r="N15" s="1014">
        <v>0</v>
      </c>
      <c r="O15" s="1015">
        <v>7</v>
      </c>
      <c r="P15" s="994">
        <v>1</v>
      </c>
      <c r="Q15" s="994">
        <v>3</v>
      </c>
      <c r="R15" s="994">
        <v>0</v>
      </c>
      <c r="S15" s="994">
        <v>3</v>
      </c>
      <c r="T15" s="994">
        <v>0</v>
      </c>
      <c r="U15" s="994">
        <v>4</v>
      </c>
      <c r="V15" s="994">
        <v>0</v>
      </c>
      <c r="W15" s="994">
        <v>5</v>
      </c>
      <c r="X15" s="994">
        <v>0</v>
      </c>
      <c r="Y15" s="994">
        <v>3</v>
      </c>
      <c r="Z15" s="994">
        <v>0</v>
      </c>
      <c r="AA15" s="994">
        <v>5</v>
      </c>
      <c r="AB15" s="994">
        <v>1</v>
      </c>
      <c r="AC15" s="994">
        <v>2</v>
      </c>
      <c r="AD15" s="1014"/>
      <c r="AE15" s="1016"/>
      <c r="AF15" s="997"/>
      <c r="AG15" s="998">
        <f t="shared" ref="AG15:AH15" si="16">F15+H15+J15+L15+N15+P15+R15+T15+V15+X15+Z15+AB15+AD15</f>
        <v>42</v>
      </c>
      <c r="AH15" s="999">
        <f t="shared" si="16"/>
        <v>196</v>
      </c>
      <c r="AI15" s="1000">
        <f t="shared" ref="AI15:AJ15" si="17">J15+H15+L15+N15+P15+R15+T15+V15+X15+Z15+AB15+AD15</f>
        <v>3</v>
      </c>
      <c r="AJ15" s="1001">
        <f t="shared" si="17"/>
        <v>40</v>
      </c>
      <c r="AK15" s="522"/>
      <c r="AL15" s="522"/>
      <c r="AM15" s="1002" t="s">
        <v>2939</v>
      </c>
    </row>
    <row r="16" spans="1:39" ht="26.25" customHeight="1">
      <c r="A16" s="1003">
        <v>9</v>
      </c>
      <c r="B16" s="1004" t="s">
        <v>128</v>
      </c>
      <c r="C16" s="1020" t="s">
        <v>2949</v>
      </c>
      <c r="D16" s="885" t="s">
        <v>2950</v>
      </c>
      <c r="E16" s="1007">
        <v>5</v>
      </c>
      <c r="F16" s="1008">
        <v>28</v>
      </c>
      <c r="G16" s="1009">
        <v>62</v>
      </c>
      <c r="H16" s="1010"/>
      <c r="I16" s="1011"/>
      <c r="J16" s="1008">
        <v>0</v>
      </c>
      <c r="K16" s="1012">
        <v>1</v>
      </c>
      <c r="L16" s="1013">
        <v>1</v>
      </c>
      <c r="M16" s="1013">
        <v>3</v>
      </c>
      <c r="N16" s="1014">
        <v>0</v>
      </c>
      <c r="O16" s="1015">
        <v>4</v>
      </c>
      <c r="P16" s="994">
        <v>1</v>
      </c>
      <c r="Q16" s="994">
        <v>1</v>
      </c>
      <c r="R16" s="994">
        <v>0</v>
      </c>
      <c r="S16" s="994">
        <v>0</v>
      </c>
      <c r="T16" s="994">
        <v>0</v>
      </c>
      <c r="U16" s="994">
        <v>0</v>
      </c>
      <c r="V16" s="994">
        <v>0</v>
      </c>
      <c r="W16" s="994">
        <v>3</v>
      </c>
      <c r="X16" s="994">
        <v>0</v>
      </c>
      <c r="Y16" s="994">
        <v>0</v>
      </c>
      <c r="Z16" s="994">
        <v>0</v>
      </c>
      <c r="AA16" s="994">
        <v>1</v>
      </c>
      <c r="AB16" s="994">
        <v>1</v>
      </c>
      <c r="AC16" s="994">
        <v>1</v>
      </c>
      <c r="AD16" s="1014"/>
      <c r="AE16" s="1016"/>
      <c r="AF16" s="997"/>
      <c r="AG16" s="998">
        <f t="shared" ref="AG16:AH16" si="18">F16+H16+J16+L16+N16+P16+R16+T16+V16+X16+Z16+AB16+AD16</f>
        <v>31</v>
      </c>
      <c r="AH16" s="999">
        <f t="shared" si="18"/>
        <v>76</v>
      </c>
      <c r="AI16" s="1000">
        <f t="shared" ref="AI16:AJ16" si="19">J16+H16+L16+N16+P16+R16+T16+V16+X16+Z16+AB16+AD16</f>
        <v>3</v>
      </c>
      <c r="AJ16" s="1001">
        <f t="shared" si="19"/>
        <v>14</v>
      </c>
      <c r="AK16" s="522"/>
      <c r="AL16" s="522"/>
      <c r="AM16" s="1002" t="s">
        <v>2939</v>
      </c>
    </row>
    <row r="17" spans="1:39" ht="26.25" customHeight="1">
      <c r="A17" s="982">
        <v>10</v>
      </c>
      <c r="B17" s="1004" t="s">
        <v>439</v>
      </c>
      <c r="C17" s="1005" t="s">
        <v>2951</v>
      </c>
      <c r="D17" s="885" t="s">
        <v>2935</v>
      </c>
      <c r="E17" s="1007">
        <v>5</v>
      </c>
      <c r="F17" s="1008">
        <v>5</v>
      </c>
      <c r="G17" s="1009">
        <v>93</v>
      </c>
      <c r="H17" s="1010"/>
      <c r="I17" s="1011"/>
      <c r="J17" s="1008">
        <v>0</v>
      </c>
      <c r="K17" s="1012">
        <v>2</v>
      </c>
      <c r="L17" s="1013">
        <v>0</v>
      </c>
      <c r="M17" s="1013">
        <v>1</v>
      </c>
      <c r="N17" s="1014">
        <v>0</v>
      </c>
      <c r="O17" s="1015">
        <v>4</v>
      </c>
      <c r="P17" s="994">
        <v>0</v>
      </c>
      <c r="Q17" s="994">
        <v>5</v>
      </c>
      <c r="R17" s="994">
        <v>0</v>
      </c>
      <c r="S17" s="994">
        <v>0</v>
      </c>
      <c r="T17" s="994">
        <v>0</v>
      </c>
      <c r="U17" s="994">
        <v>3</v>
      </c>
      <c r="V17" s="994">
        <v>0</v>
      </c>
      <c r="W17" s="994">
        <v>3</v>
      </c>
      <c r="X17" s="994">
        <v>0</v>
      </c>
      <c r="Y17" s="994">
        <v>2</v>
      </c>
      <c r="Z17" s="994">
        <v>0</v>
      </c>
      <c r="AA17" s="994">
        <v>0</v>
      </c>
      <c r="AB17" s="994">
        <v>0</v>
      </c>
      <c r="AC17" s="994">
        <v>1</v>
      </c>
      <c r="AD17" s="1014"/>
      <c r="AE17" s="1016"/>
      <c r="AF17" s="997"/>
      <c r="AG17" s="998">
        <f t="shared" ref="AG17:AH17" si="20">F17+H17+J17+L17+N17+P17+R17+T17+V17+X17+Z17+AB17+AD17</f>
        <v>5</v>
      </c>
      <c r="AH17" s="999">
        <f t="shared" si="20"/>
        <v>114</v>
      </c>
      <c r="AI17" s="1000">
        <f t="shared" ref="AI17:AJ17" si="21">J17+H17+L17+N17+P17+R17+T17+V17+X17+Z17+AB17+AD17</f>
        <v>0</v>
      </c>
      <c r="AJ17" s="1001">
        <f t="shared" si="21"/>
        <v>21</v>
      </c>
      <c r="AK17" s="522"/>
      <c r="AL17" s="522"/>
      <c r="AM17" s="1002" t="s">
        <v>2930</v>
      </c>
    </row>
    <row r="18" spans="1:39" ht="26.25" customHeight="1">
      <c r="A18" s="1003">
        <v>11</v>
      </c>
      <c r="B18" s="1004" t="s">
        <v>159</v>
      </c>
      <c r="C18" s="1005" t="s">
        <v>2952</v>
      </c>
      <c r="D18" s="885" t="s">
        <v>2932</v>
      </c>
      <c r="E18" s="1007">
        <v>2</v>
      </c>
      <c r="F18" s="1008">
        <v>8</v>
      </c>
      <c r="G18" s="1009">
        <v>18</v>
      </c>
      <c r="H18" s="1010"/>
      <c r="I18" s="1011"/>
      <c r="J18" s="1008">
        <v>0</v>
      </c>
      <c r="K18" s="1012">
        <v>1</v>
      </c>
      <c r="L18" s="1013">
        <v>0</v>
      </c>
      <c r="M18" s="1013">
        <v>1</v>
      </c>
      <c r="N18" s="1014">
        <v>0</v>
      </c>
      <c r="O18" s="1015">
        <v>0</v>
      </c>
      <c r="P18" s="994">
        <v>0</v>
      </c>
      <c r="Q18" s="994">
        <v>3</v>
      </c>
      <c r="R18" s="994">
        <v>0</v>
      </c>
      <c r="S18" s="994">
        <v>1</v>
      </c>
      <c r="T18" s="994">
        <v>0</v>
      </c>
      <c r="U18" s="994">
        <v>0</v>
      </c>
      <c r="V18" s="994">
        <v>0</v>
      </c>
      <c r="W18" s="994">
        <v>0</v>
      </c>
      <c r="X18" s="994">
        <v>0</v>
      </c>
      <c r="Y18" s="994">
        <v>0</v>
      </c>
      <c r="Z18" s="994">
        <v>0</v>
      </c>
      <c r="AA18" s="994">
        <v>0</v>
      </c>
      <c r="AB18" s="994">
        <v>1</v>
      </c>
      <c r="AC18" s="994">
        <v>0</v>
      </c>
      <c r="AD18" s="1014"/>
      <c r="AE18" s="1016"/>
      <c r="AF18" s="997"/>
      <c r="AG18" s="998">
        <f t="shared" ref="AG18:AH18" si="22">F18+H18+J18+L18+N18+P18+R18+T18+V18+X18+Z18+AB18+AD18</f>
        <v>9</v>
      </c>
      <c r="AH18" s="999">
        <f t="shared" si="22"/>
        <v>24</v>
      </c>
      <c r="AI18" s="1000">
        <f t="shared" ref="AI18:AJ18" si="23">J18+H18+L18+N18+P18+R18+T18+V18+X18+Z18+AB18+AD18</f>
        <v>1</v>
      </c>
      <c r="AJ18" s="1001">
        <f t="shared" si="23"/>
        <v>6</v>
      </c>
      <c r="AK18" s="522"/>
      <c r="AL18" s="522"/>
      <c r="AM18" s="1002" t="s">
        <v>2953</v>
      </c>
    </row>
    <row r="19" spans="1:39" ht="26.25" customHeight="1">
      <c r="A19" s="982">
        <v>12</v>
      </c>
      <c r="B19" s="1004" t="s">
        <v>274</v>
      </c>
      <c r="C19" s="1005" t="s">
        <v>2954</v>
      </c>
      <c r="D19" s="885" t="s">
        <v>2950</v>
      </c>
      <c r="E19" s="1007">
        <v>1</v>
      </c>
      <c r="F19" s="1008">
        <v>3</v>
      </c>
      <c r="G19" s="1009">
        <v>7</v>
      </c>
      <c r="H19" s="1010"/>
      <c r="I19" s="1011"/>
      <c r="J19" s="1008">
        <v>0</v>
      </c>
      <c r="K19" s="1012">
        <v>0</v>
      </c>
      <c r="L19" s="1013">
        <v>0</v>
      </c>
      <c r="M19" s="1013">
        <v>2</v>
      </c>
      <c r="N19" s="1014">
        <v>0</v>
      </c>
      <c r="O19" s="1015">
        <v>3</v>
      </c>
      <c r="P19" s="994">
        <v>0</v>
      </c>
      <c r="Q19" s="994">
        <v>2</v>
      </c>
      <c r="R19" s="994">
        <v>0</v>
      </c>
      <c r="S19" s="994">
        <v>0</v>
      </c>
      <c r="T19" s="994">
        <v>0</v>
      </c>
      <c r="U19" s="994">
        <v>1</v>
      </c>
      <c r="V19" s="994">
        <v>0</v>
      </c>
      <c r="W19" s="994">
        <v>2</v>
      </c>
      <c r="X19" s="994">
        <v>0</v>
      </c>
      <c r="Y19" s="994">
        <v>0</v>
      </c>
      <c r="Z19" s="994">
        <v>0</v>
      </c>
      <c r="AA19" s="994">
        <v>0</v>
      </c>
      <c r="AB19" s="994">
        <v>1</v>
      </c>
      <c r="AC19" s="994">
        <v>2</v>
      </c>
      <c r="AD19" s="1014"/>
      <c r="AE19" s="1016"/>
      <c r="AF19" s="997"/>
      <c r="AG19" s="998">
        <f t="shared" ref="AG19:AH19" si="24">F19+H19+J19+L19+N19+P19+R19+T19+V19+X19+Z19+AB19+AD19</f>
        <v>4</v>
      </c>
      <c r="AH19" s="999">
        <f t="shared" si="24"/>
        <v>19</v>
      </c>
      <c r="AI19" s="1000">
        <f t="shared" ref="AI19:AJ19" si="25">J19+H19+L19+N19+P19+R19+T19+V19+X19+Z19+AB19+AD19</f>
        <v>1</v>
      </c>
      <c r="AJ19" s="1001">
        <f t="shared" si="25"/>
        <v>12</v>
      </c>
      <c r="AK19" s="522"/>
      <c r="AL19" s="522"/>
      <c r="AM19" s="1002" t="s">
        <v>2936</v>
      </c>
    </row>
    <row r="20" spans="1:39" ht="26.25" customHeight="1">
      <c r="A20" s="1003">
        <v>13</v>
      </c>
      <c r="B20" s="1004" t="s">
        <v>672</v>
      </c>
      <c r="C20" s="1005" t="s">
        <v>2955</v>
      </c>
      <c r="D20" s="885" t="s">
        <v>2932</v>
      </c>
      <c r="E20" s="1007">
        <v>4</v>
      </c>
      <c r="F20" s="1008">
        <v>25</v>
      </c>
      <c r="G20" s="1009">
        <v>44</v>
      </c>
      <c r="H20" s="1010"/>
      <c r="I20" s="1011"/>
      <c r="J20" s="1008">
        <v>0</v>
      </c>
      <c r="K20" s="1012">
        <v>2</v>
      </c>
      <c r="L20" s="1013">
        <v>0</v>
      </c>
      <c r="M20" s="1013">
        <v>3</v>
      </c>
      <c r="N20" s="1014">
        <v>0</v>
      </c>
      <c r="O20" s="1015">
        <v>2</v>
      </c>
      <c r="P20" s="994">
        <v>0</v>
      </c>
      <c r="Q20" s="994">
        <v>2</v>
      </c>
      <c r="R20" s="994">
        <v>0</v>
      </c>
      <c r="S20" s="994">
        <v>1</v>
      </c>
      <c r="T20" s="994">
        <v>0</v>
      </c>
      <c r="U20" s="994">
        <v>2</v>
      </c>
      <c r="V20" s="994">
        <v>0</v>
      </c>
      <c r="W20" s="994">
        <v>5</v>
      </c>
      <c r="X20" s="994">
        <v>0</v>
      </c>
      <c r="Y20" s="994">
        <v>0</v>
      </c>
      <c r="Z20" s="994">
        <v>0</v>
      </c>
      <c r="AA20" s="994">
        <v>0</v>
      </c>
      <c r="AB20" s="994">
        <v>0</v>
      </c>
      <c r="AC20" s="994">
        <v>3</v>
      </c>
      <c r="AD20" s="1021"/>
      <c r="AE20" s="1022"/>
      <c r="AF20" s="997"/>
      <c r="AG20" s="998">
        <f t="shared" ref="AG20:AH20" si="26">F20+H20+J20+L20+N20+P20+R20+T20+V20+X20+Z20+AB20+AD20</f>
        <v>25</v>
      </c>
      <c r="AH20" s="999">
        <f t="shared" si="26"/>
        <v>64</v>
      </c>
      <c r="AI20" s="1000">
        <f t="shared" ref="AI20:AJ20" si="27">J20+H20+L20+N20+P20+R20+T20+V20+X20+Z20+AB20+AD20</f>
        <v>0</v>
      </c>
      <c r="AJ20" s="1001">
        <f t="shared" si="27"/>
        <v>20</v>
      </c>
      <c r="AK20" s="522"/>
      <c r="AL20" s="522"/>
      <c r="AM20" s="1002" t="s">
        <v>2930</v>
      </c>
    </row>
    <row r="21" spans="1:39" ht="26.25" customHeight="1">
      <c r="A21" s="982">
        <v>14</v>
      </c>
      <c r="B21" s="1004" t="s">
        <v>50</v>
      </c>
      <c r="C21" s="1005" t="s">
        <v>2956</v>
      </c>
      <c r="D21" s="885" t="s">
        <v>2950</v>
      </c>
      <c r="E21" s="1007">
        <v>5</v>
      </c>
      <c r="F21" s="1008">
        <v>20</v>
      </c>
      <c r="G21" s="1009">
        <v>28</v>
      </c>
      <c r="H21" s="1010"/>
      <c r="I21" s="1011"/>
      <c r="J21" s="1008">
        <v>1</v>
      </c>
      <c r="K21" s="1012">
        <v>1</v>
      </c>
      <c r="L21" s="1013">
        <v>0</v>
      </c>
      <c r="M21" s="1013">
        <v>1</v>
      </c>
      <c r="N21" s="1014">
        <v>0</v>
      </c>
      <c r="O21" s="1015">
        <v>2</v>
      </c>
      <c r="P21" s="994">
        <v>0</v>
      </c>
      <c r="Q21" s="994">
        <v>2</v>
      </c>
      <c r="R21" s="994">
        <v>1</v>
      </c>
      <c r="S21" s="994">
        <v>1</v>
      </c>
      <c r="T21" s="994">
        <v>0</v>
      </c>
      <c r="U21" s="994">
        <v>0</v>
      </c>
      <c r="V21" s="994">
        <v>0</v>
      </c>
      <c r="W21" s="994">
        <v>1</v>
      </c>
      <c r="X21" s="994">
        <v>0</v>
      </c>
      <c r="Y21" s="994">
        <v>1</v>
      </c>
      <c r="Z21" s="994">
        <v>0</v>
      </c>
      <c r="AA21" s="994">
        <v>0</v>
      </c>
      <c r="AB21" s="994">
        <v>0</v>
      </c>
      <c r="AC21" s="994">
        <v>1</v>
      </c>
      <c r="AD21" s="1014"/>
      <c r="AE21" s="1016"/>
      <c r="AF21" s="997"/>
      <c r="AG21" s="998">
        <f t="shared" ref="AG21:AH21" si="28">F21+H21+J21+L21+N21+P21+R21+T21+V21+X21+Z21+AB21+AD21</f>
        <v>22</v>
      </c>
      <c r="AH21" s="999">
        <f t="shared" si="28"/>
        <v>38</v>
      </c>
      <c r="AI21" s="1000">
        <f t="shared" ref="AI21:AJ21" si="29">J21+H21+L21+N21+P21+R21+T21+V21+X21+Z21+AB21+AD21</f>
        <v>2</v>
      </c>
      <c r="AJ21" s="1001">
        <f t="shared" si="29"/>
        <v>10</v>
      </c>
      <c r="AK21" s="522"/>
      <c r="AL21" s="522"/>
      <c r="AM21" s="1002" t="s">
        <v>2953</v>
      </c>
    </row>
    <row r="22" spans="1:39" ht="26.25" customHeight="1">
      <c r="A22" s="1003">
        <v>15</v>
      </c>
      <c r="B22" s="1004" t="s">
        <v>2957</v>
      </c>
      <c r="C22" s="1005" t="s">
        <v>2958</v>
      </c>
      <c r="D22" s="885" t="s">
        <v>2959</v>
      </c>
      <c r="E22" s="1023">
        <v>4</v>
      </c>
      <c r="F22" s="1024">
        <v>24</v>
      </c>
      <c r="G22" s="1025">
        <v>39</v>
      </c>
      <c r="H22" s="1010"/>
      <c r="I22" s="1011"/>
      <c r="J22" s="1008">
        <v>0</v>
      </c>
      <c r="K22" s="1012">
        <v>0</v>
      </c>
      <c r="L22" s="1013">
        <v>0</v>
      </c>
      <c r="M22" s="1013">
        <v>0</v>
      </c>
      <c r="N22" s="1014">
        <v>0</v>
      </c>
      <c r="O22" s="1015">
        <v>0</v>
      </c>
      <c r="P22" s="994">
        <v>0</v>
      </c>
      <c r="Q22" s="994">
        <v>2</v>
      </c>
      <c r="R22" s="994">
        <v>1</v>
      </c>
      <c r="S22" s="994">
        <v>6</v>
      </c>
      <c r="T22" s="994">
        <v>0</v>
      </c>
      <c r="U22" s="994">
        <v>0</v>
      </c>
      <c r="V22" s="994">
        <v>2</v>
      </c>
      <c r="W22" s="994">
        <v>2</v>
      </c>
      <c r="X22" s="994">
        <v>0</v>
      </c>
      <c r="Y22" s="994">
        <v>1</v>
      </c>
      <c r="Z22" s="994">
        <v>0</v>
      </c>
      <c r="AA22" s="994">
        <v>1</v>
      </c>
      <c r="AB22" s="994">
        <v>1</v>
      </c>
      <c r="AC22" s="994">
        <v>0</v>
      </c>
      <c r="AD22" s="1014"/>
      <c r="AE22" s="1016"/>
      <c r="AF22" s="997"/>
      <c r="AG22" s="998">
        <f t="shared" ref="AG22:AH22" si="30">F22+H22+J22+L22+N22+P22+R22+T22+V22+X22+Z22+AB22+AD22</f>
        <v>28</v>
      </c>
      <c r="AH22" s="999">
        <f t="shared" si="30"/>
        <v>51</v>
      </c>
      <c r="AI22" s="1000">
        <f t="shared" ref="AI22:AJ22" si="31">J22+H22+L22+N22+P22+R22+T22+V22+X22+Z22+AB22+AD22</f>
        <v>4</v>
      </c>
      <c r="AJ22" s="1001">
        <f t="shared" si="31"/>
        <v>12</v>
      </c>
      <c r="AK22" s="522"/>
      <c r="AL22" s="522"/>
      <c r="AM22" s="1002" t="s">
        <v>2936</v>
      </c>
    </row>
    <row r="23" spans="1:39" ht="26.25" customHeight="1">
      <c r="A23" s="982">
        <v>16</v>
      </c>
      <c r="B23" s="1004" t="s">
        <v>111</v>
      </c>
      <c r="C23" s="1005" t="s">
        <v>2960</v>
      </c>
      <c r="D23" s="885" t="s">
        <v>2948</v>
      </c>
      <c r="E23" s="1007">
        <v>4</v>
      </c>
      <c r="F23" s="1008">
        <v>18</v>
      </c>
      <c r="G23" s="1009">
        <v>44</v>
      </c>
      <c r="H23" s="1010"/>
      <c r="I23" s="1011"/>
      <c r="J23" s="1008">
        <v>0</v>
      </c>
      <c r="K23" s="1012">
        <v>0</v>
      </c>
      <c r="L23" s="1013">
        <v>1</v>
      </c>
      <c r="M23" s="1013">
        <v>4</v>
      </c>
      <c r="N23" s="1014">
        <v>0</v>
      </c>
      <c r="O23" s="1015">
        <v>3</v>
      </c>
      <c r="P23" s="994">
        <v>0</v>
      </c>
      <c r="Q23" s="994">
        <v>0</v>
      </c>
      <c r="R23" s="994">
        <v>0</v>
      </c>
      <c r="S23" s="994">
        <v>0</v>
      </c>
      <c r="T23" s="994">
        <v>0</v>
      </c>
      <c r="U23" s="994">
        <v>3</v>
      </c>
      <c r="V23" s="994">
        <v>0</v>
      </c>
      <c r="W23" s="994">
        <v>2</v>
      </c>
      <c r="X23" s="994">
        <v>0</v>
      </c>
      <c r="Y23" s="994">
        <v>1</v>
      </c>
      <c r="Z23" s="994">
        <v>0</v>
      </c>
      <c r="AA23" s="994">
        <v>0</v>
      </c>
      <c r="AB23" s="994">
        <v>0</v>
      </c>
      <c r="AC23" s="994">
        <v>0</v>
      </c>
      <c r="AD23" s="1014"/>
      <c r="AE23" s="1016"/>
      <c r="AF23" s="997"/>
      <c r="AG23" s="998">
        <f t="shared" ref="AG23:AH23" si="32">F23+H23+J23+L23+N23+P23+R23+T23+V23+X23+Z23+AB23+AD23</f>
        <v>19</v>
      </c>
      <c r="AH23" s="999">
        <f t="shared" si="32"/>
        <v>57</v>
      </c>
      <c r="AI23" s="1000">
        <f t="shared" ref="AI23:AJ23" si="33">J23+H23+L23+N23+P23+R23+T23+V23+X23+Z23+AB23+AD23</f>
        <v>1</v>
      </c>
      <c r="AJ23" s="1001">
        <f t="shared" si="33"/>
        <v>13</v>
      </c>
      <c r="AK23" s="522"/>
      <c r="AL23" s="522"/>
      <c r="AM23" s="1002" t="s">
        <v>2939</v>
      </c>
    </row>
    <row r="24" spans="1:39" ht="26.25" customHeight="1">
      <c r="A24" s="1003">
        <v>17</v>
      </c>
      <c r="B24" s="1026" t="s">
        <v>169</v>
      </c>
      <c r="C24" s="1005" t="s">
        <v>2961</v>
      </c>
      <c r="D24" s="885" t="s">
        <v>2946</v>
      </c>
      <c r="E24" s="1007">
        <v>1</v>
      </c>
      <c r="F24" s="1008">
        <v>2</v>
      </c>
      <c r="G24" s="1009">
        <v>4</v>
      </c>
      <c r="H24" s="1010"/>
      <c r="I24" s="1011"/>
      <c r="J24" s="1008">
        <v>0</v>
      </c>
      <c r="K24" s="1012">
        <v>0</v>
      </c>
      <c r="L24" s="1013">
        <v>0</v>
      </c>
      <c r="M24" s="1013">
        <v>0</v>
      </c>
      <c r="N24" s="1014">
        <v>0</v>
      </c>
      <c r="O24" s="1015">
        <v>0</v>
      </c>
      <c r="P24" s="994">
        <v>0</v>
      </c>
      <c r="Q24" s="994">
        <v>0</v>
      </c>
      <c r="R24" s="994">
        <v>0</v>
      </c>
      <c r="S24" s="994">
        <v>0</v>
      </c>
      <c r="T24" s="994">
        <v>0</v>
      </c>
      <c r="U24" s="994">
        <v>0</v>
      </c>
      <c r="V24" s="994">
        <v>0</v>
      </c>
      <c r="W24" s="994">
        <v>0</v>
      </c>
      <c r="X24" s="994">
        <v>0</v>
      </c>
      <c r="Y24" s="994">
        <v>0</v>
      </c>
      <c r="Z24" s="994">
        <v>0</v>
      </c>
      <c r="AA24" s="994">
        <v>0</v>
      </c>
      <c r="AB24" s="994">
        <v>1</v>
      </c>
      <c r="AC24" s="994">
        <v>0</v>
      </c>
      <c r="AD24" s="1014"/>
      <c r="AE24" s="1016"/>
      <c r="AF24" s="997"/>
      <c r="AG24" s="998">
        <f t="shared" ref="AG24:AH24" si="34">F24+H24+J24+L24+N24+P24+R24+T24+V24+X24+Z24+AB24+AD24</f>
        <v>3</v>
      </c>
      <c r="AH24" s="999">
        <f t="shared" si="34"/>
        <v>4</v>
      </c>
      <c r="AI24" s="1000">
        <f t="shared" ref="AI24:AJ24" si="35">J24+H24+L24+N24+P24+R24+T24+V24+X24+Z24+AB24+AD24</f>
        <v>1</v>
      </c>
      <c r="AJ24" s="1001">
        <f t="shared" si="35"/>
        <v>0</v>
      </c>
      <c r="AK24" s="522"/>
      <c r="AL24" s="522"/>
      <c r="AM24" s="1002" t="s">
        <v>2930</v>
      </c>
    </row>
    <row r="25" spans="1:39" ht="26.25" customHeight="1">
      <c r="A25" s="982">
        <v>18</v>
      </c>
      <c r="B25" s="1004" t="s">
        <v>264</v>
      </c>
      <c r="C25" s="1005" t="s">
        <v>2962</v>
      </c>
      <c r="D25" s="885" t="s">
        <v>2948</v>
      </c>
      <c r="E25" s="1007">
        <v>6</v>
      </c>
      <c r="F25" s="1008">
        <v>27</v>
      </c>
      <c r="G25" s="1009">
        <v>84</v>
      </c>
      <c r="H25" s="1010"/>
      <c r="I25" s="1011"/>
      <c r="J25" s="1008">
        <v>0</v>
      </c>
      <c r="K25" s="1012">
        <v>1</v>
      </c>
      <c r="L25" s="1013">
        <v>0</v>
      </c>
      <c r="M25" s="1013">
        <v>4</v>
      </c>
      <c r="N25" s="1014">
        <v>0</v>
      </c>
      <c r="O25" s="1015">
        <v>1</v>
      </c>
      <c r="P25" s="994">
        <v>1</v>
      </c>
      <c r="Q25" s="994">
        <v>2</v>
      </c>
      <c r="R25" s="994">
        <v>1</v>
      </c>
      <c r="S25" s="994">
        <v>1</v>
      </c>
      <c r="T25" s="994">
        <v>0</v>
      </c>
      <c r="U25" s="994">
        <v>2</v>
      </c>
      <c r="V25" s="994">
        <v>1</v>
      </c>
      <c r="W25" s="994">
        <v>1</v>
      </c>
      <c r="X25" s="994">
        <v>0</v>
      </c>
      <c r="Y25" s="994">
        <v>1</v>
      </c>
      <c r="Z25" s="994">
        <v>0</v>
      </c>
      <c r="AA25" s="994">
        <v>3</v>
      </c>
      <c r="AB25" s="994">
        <v>0</v>
      </c>
      <c r="AC25" s="994">
        <v>1</v>
      </c>
      <c r="AD25" s="1014"/>
      <c r="AE25" s="1016"/>
      <c r="AF25" s="997"/>
      <c r="AG25" s="998">
        <f t="shared" ref="AG25:AH25" si="36">F25+H25+J25+L25+N25+P25+R25+T25+V25+X25+Z25+AB25+AD25</f>
        <v>30</v>
      </c>
      <c r="AH25" s="999">
        <f t="shared" si="36"/>
        <v>101</v>
      </c>
      <c r="AI25" s="1000">
        <f t="shared" ref="AI25:AJ25" si="37">J25+H25+L25+N25+P25+R25+T25+V25+X25+Z25+AB25+AD25</f>
        <v>3</v>
      </c>
      <c r="AJ25" s="1001">
        <f t="shared" si="37"/>
        <v>17</v>
      </c>
      <c r="AK25" s="522"/>
      <c r="AL25" s="522"/>
      <c r="AM25" s="1002" t="s">
        <v>2930</v>
      </c>
    </row>
    <row r="26" spans="1:39" ht="26.25" customHeight="1">
      <c r="A26" s="1003">
        <v>19</v>
      </c>
      <c r="B26" s="1004" t="s">
        <v>262</v>
      </c>
      <c r="C26" s="1005" t="s">
        <v>2963</v>
      </c>
      <c r="D26" s="885" t="s">
        <v>2959</v>
      </c>
      <c r="E26" s="1007">
        <v>6</v>
      </c>
      <c r="F26" s="1008">
        <v>22</v>
      </c>
      <c r="G26" s="1009">
        <v>62</v>
      </c>
      <c r="H26" s="1010"/>
      <c r="I26" s="1011"/>
      <c r="J26" s="1008">
        <v>0</v>
      </c>
      <c r="K26" s="1012">
        <v>1</v>
      </c>
      <c r="L26" s="1013">
        <v>0</v>
      </c>
      <c r="M26" s="1013">
        <v>3</v>
      </c>
      <c r="N26" s="1014">
        <v>0</v>
      </c>
      <c r="O26" s="1015">
        <v>1</v>
      </c>
      <c r="P26" s="994">
        <v>1</v>
      </c>
      <c r="Q26" s="994">
        <v>1</v>
      </c>
      <c r="R26" s="994">
        <v>0</v>
      </c>
      <c r="S26" s="994">
        <v>1</v>
      </c>
      <c r="T26" s="994">
        <v>0</v>
      </c>
      <c r="U26" s="994">
        <v>0</v>
      </c>
      <c r="V26" s="994">
        <v>1</v>
      </c>
      <c r="W26" s="994">
        <v>4</v>
      </c>
      <c r="X26" s="994">
        <v>0</v>
      </c>
      <c r="Y26" s="994">
        <v>0</v>
      </c>
      <c r="Z26" s="994">
        <v>0</v>
      </c>
      <c r="AA26" s="994">
        <v>0</v>
      </c>
      <c r="AB26" s="994">
        <v>1</v>
      </c>
      <c r="AC26" s="994">
        <v>2</v>
      </c>
      <c r="AD26" s="1014"/>
      <c r="AE26" s="1016"/>
      <c r="AF26" s="997"/>
      <c r="AG26" s="998">
        <f t="shared" ref="AG26:AH26" si="38">F26+H26+J26+L26+N26+P26+R26+T26+V26+X26+Z26+AB26+AD26</f>
        <v>25</v>
      </c>
      <c r="AH26" s="999">
        <f t="shared" si="38"/>
        <v>75</v>
      </c>
      <c r="AI26" s="1000">
        <f t="shared" ref="AI26:AJ26" si="39">J26+H26+L26+N26+P26+R26+T26+V26+X26+Z26+AB26+AD26</f>
        <v>3</v>
      </c>
      <c r="AJ26" s="1001">
        <f t="shared" si="39"/>
        <v>13</v>
      </c>
      <c r="AK26" s="522"/>
      <c r="AL26" s="522"/>
      <c r="AM26" s="1002" t="s">
        <v>2953</v>
      </c>
    </row>
    <row r="27" spans="1:39" ht="26.25" customHeight="1">
      <c r="A27" s="982"/>
      <c r="B27" s="1019" t="s">
        <v>357</v>
      </c>
      <c r="C27" s="1005" t="s">
        <v>2964</v>
      </c>
      <c r="D27" s="885" t="s">
        <v>2965</v>
      </c>
      <c r="E27" s="1007">
        <v>3</v>
      </c>
      <c r="F27" s="1008">
        <v>15</v>
      </c>
      <c r="G27" s="1009">
        <v>20</v>
      </c>
      <c r="H27" s="1010"/>
      <c r="I27" s="1011"/>
      <c r="J27" s="1008">
        <v>0</v>
      </c>
      <c r="K27" s="1012">
        <v>1</v>
      </c>
      <c r="L27" s="1013">
        <v>0</v>
      </c>
      <c r="M27" s="1013">
        <v>0</v>
      </c>
      <c r="N27" s="1014">
        <v>0</v>
      </c>
      <c r="O27" s="1015">
        <v>0</v>
      </c>
      <c r="P27" s="994">
        <v>0</v>
      </c>
      <c r="Q27" s="994">
        <v>2</v>
      </c>
      <c r="R27" s="994">
        <v>0</v>
      </c>
      <c r="S27" s="994">
        <v>5</v>
      </c>
      <c r="T27" s="994">
        <v>0</v>
      </c>
      <c r="U27" s="994">
        <v>0</v>
      </c>
      <c r="V27" s="994">
        <v>0</v>
      </c>
      <c r="W27" s="994">
        <v>1</v>
      </c>
      <c r="X27" s="994">
        <v>0</v>
      </c>
      <c r="Y27" s="994">
        <v>1</v>
      </c>
      <c r="Z27" s="994">
        <v>0</v>
      </c>
      <c r="AA27" s="994">
        <v>0</v>
      </c>
      <c r="AB27" s="994">
        <v>0</v>
      </c>
      <c r="AC27" s="994">
        <v>0</v>
      </c>
      <c r="AD27" s="1014"/>
      <c r="AE27" s="1016"/>
      <c r="AF27" s="997"/>
      <c r="AG27" s="998">
        <f t="shared" ref="AG27:AH27" si="40">F27+H27+J27+L27+N27+P27+R27+T27+V27+X27+Z27+AB27+AD27</f>
        <v>15</v>
      </c>
      <c r="AH27" s="999">
        <f t="shared" si="40"/>
        <v>30</v>
      </c>
      <c r="AI27" s="1000">
        <f t="shared" ref="AI27:AJ27" si="41">J27+H27+L27+N27+P27+R27+T27+V27+X27+Z27+AB27+AD27</f>
        <v>0</v>
      </c>
      <c r="AJ27" s="1001">
        <f t="shared" si="41"/>
        <v>10</v>
      </c>
      <c r="AK27" s="522"/>
      <c r="AL27" s="522"/>
      <c r="AM27" s="1002" t="s">
        <v>2936</v>
      </c>
    </row>
    <row r="28" spans="1:39" ht="26.25" customHeight="1">
      <c r="A28" s="1003">
        <v>20</v>
      </c>
      <c r="B28" s="1004" t="s">
        <v>263</v>
      </c>
      <c r="C28" s="1005" t="s">
        <v>2966</v>
      </c>
      <c r="D28" s="885" t="s">
        <v>2932</v>
      </c>
      <c r="E28" s="1007">
        <v>7</v>
      </c>
      <c r="F28" s="1008">
        <v>27</v>
      </c>
      <c r="G28" s="1009">
        <v>75</v>
      </c>
      <c r="H28" s="1010"/>
      <c r="I28" s="1011"/>
      <c r="J28" s="1008">
        <v>0</v>
      </c>
      <c r="K28" s="1012">
        <v>1</v>
      </c>
      <c r="L28" s="1013">
        <v>0</v>
      </c>
      <c r="M28" s="1013">
        <v>3</v>
      </c>
      <c r="N28" s="1014">
        <v>0</v>
      </c>
      <c r="O28" s="1015">
        <v>2</v>
      </c>
      <c r="P28" s="994">
        <v>1</v>
      </c>
      <c r="Q28" s="994">
        <v>1</v>
      </c>
      <c r="R28" s="994">
        <v>0</v>
      </c>
      <c r="S28" s="994">
        <v>1</v>
      </c>
      <c r="T28" s="994">
        <v>0</v>
      </c>
      <c r="U28" s="994">
        <v>0</v>
      </c>
      <c r="V28" s="994">
        <v>0</v>
      </c>
      <c r="W28" s="994">
        <v>5</v>
      </c>
      <c r="X28" s="994">
        <v>0</v>
      </c>
      <c r="Y28" s="994">
        <v>0</v>
      </c>
      <c r="Z28" s="994">
        <v>0</v>
      </c>
      <c r="AA28" s="994">
        <v>1</v>
      </c>
      <c r="AB28" s="994">
        <v>1</v>
      </c>
      <c r="AC28" s="994">
        <v>2</v>
      </c>
      <c r="AD28" s="1014"/>
      <c r="AE28" s="1016"/>
      <c r="AF28" s="997"/>
      <c r="AG28" s="998">
        <f t="shared" ref="AG28:AH28" si="42">F28+H28+J28+L28+N28+P28+R28+T28+V28+X28+Z28+AB28+AD28</f>
        <v>29</v>
      </c>
      <c r="AH28" s="999">
        <f t="shared" si="42"/>
        <v>91</v>
      </c>
      <c r="AI28" s="1000">
        <f t="shared" ref="AI28:AJ28" si="43">J28+H28+L28+N28+P28+R28+T28+V28+X28+Z28+AB28+AD28</f>
        <v>2</v>
      </c>
      <c r="AJ28" s="1001">
        <f t="shared" si="43"/>
        <v>16</v>
      </c>
      <c r="AK28" s="522"/>
      <c r="AL28" s="522"/>
      <c r="AM28" s="1002" t="s">
        <v>2936</v>
      </c>
    </row>
    <row r="29" spans="1:39" ht="26.25" customHeight="1">
      <c r="A29" s="982">
        <v>21</v>
      </c>
      <c r="B29" s="1004" t="s">
        <v>356</v>
      </c>
      <c r="C29" s="1005" t="s">
        <v>2967</v>
      </c>
      <c r="D29" s="885" t="s">
        <v>2935</v>
      </c>
      <c r="E29" s="1007">
        <v>5</v>
      </c>
      <c r="F29" s="1008">
        <v>20</v>
      </c>
      <c r="G29" s="1009">
        <v>46</v>
      </c>
      <c r="H29" s="1010"/>
      <c r="I29" s="1011"/>
      <c r="J29" s="1008">
        <v>0</v>
      </c>
      <c r="K29" s="1012">
        <v>0</v>
      </c>
      <c r="L29" s="1013">
        <v>0</v>
      </c>
      <c r="M29" s="1013">
        <v>0</v>
      </c>
      <c r="N29" s="1014">
        <v>0</v>
      </c>
      <c r="O29" s="1015">
        <v>2</v>
      </c>
      <c r="P29" s="994">
        <v>0</v>
      </c>
      <c r="Q29" s="994">
        <v>2</v>
      </c>
      <c r="R29" s="994">
        <v>0</v>
      </c>
      <c r="S29" s="994">
        <v>5</v>
      </c>
      <c r="T29" s="994">
        <v>0</v>
      </c>
      <c r="U29" s="994">
        <v>0</v>
      </c>
      <c r="V29" s="994">
        <v>1</v>
      </c>
      <c r="W29" s="994">
        <v>2</v>
      </c>
      <c r="X29" s="994">
        <v>0</v>
      </c>
      <c r="Y29" s="994">
        <v>1</v>
      </c>
      <c r="Z29" s="994">
        <v>0</v>
      </c>
      <c r="AA29" s="994">
        <v>1</v>
      </c>
      <c r="AB29" s="994">
        <v>1</v>
      </c>
      <c r="AC29" s="994">
        <v>0</v>
      </c>
      <c r="AD29" s="1014"/>
      <c r="AE29" s="1016"/>
      <c r="AF29" s="997"/>
      <c r="AG29" s="998">
        <f t="shared" ref="AG29:AH29" si="44">F29+H29+J29+L29+N29+P29+R29+T29+V29+X29+Z29+AB29+AD29</f>
        <v>22</v>
      </c>
      <c r="AH29" s="999">
        <f t="shared" si="44"/>
        <v>59</v>
      </c>
      <c r="AI29" s="1000">
        <f t="shared" ref="AI29:AJ29" si="45">J29+H29+L29+N29+P29+R29+T29+V29+X29+Z29+AB29+AD29</f>
        <v>2</v>
      </c>
      <c r="AJ29" s="1001">
        <f t="shared" si="45"/>
        <v>13</v>
      </c>
      <c r="AK29" s="522"/>
      <c r="AL29" s="522"/>
      <c r="AM29" s="1002" t="s">
        <v>2941</v>
      </c>
    </row>
    <row r="30" spans="1:39" ht="26.25" customHeight="1">
      <c r="A30" s="1003">
        <v>22</v>
      </c>
      <c r="B30" s="1004" t="s">
        <v>291</v>
      </c>
      <c r="C30" s="1005" t="s">
        <v>2968</v>
      </c>
      <c r="D30" s="885" t="s">
        <v>2948</v>
      </c>
      <c r="E30" s="1007">
        <v>5</v>
      </c>
      <c r="F30" s="1008">
        <v>20</v>
      </c>
      <c r="G30" s="1009">
        <v>50</v>
      </c>
      <c r="H30" s="1010"/>
      <c r="I30" s="1011"/>
      <c r="J30" s="1008">
        <v>0</v>
      </c>
      <c r="K30" s="1012">
        <v>2</v>
      </c>
      <c r="L30" s="1013">
        <v>0</v>
      </c>
      <c r="M30" s="1013">
        <v>0</v>
      </c>
      <c r="N30" s="1014">
        <v>0</v>
      </c>
      <c r="O30" s="1015">
        <v>6</v>
      </c>
      <c r="P30" s="994">
        <v>1</v>
      </c>
      <c r="Q30" s="994">
        <v>3</v>
      </c>
      <c r="R30" s="994">
        <v>0</v>
      </c>
      <c r="S30" s="994">
        <v>1</v>
      </c>
      <c r="T30" s="994">
        <v>0</v>
      </c>
      <c r="U30" s="994">
        <v>0</v>
      </c>
      <c r="V30" s="994">
        <v>0</v>
      </c>
      <c r="W30" s="994">
        <v>3</v>
      </c>
      <c r="X30" s="994">
        <v>1</v>
      </c>
      <c r="Y30" s="994">
        <v>5</v>
      </c>
      <c r="Z30" s="994">
        <v>0</v>
      </c>
      <c r="AA30" s="994">
        <v>2</v>
      </c>
      <c r="AB30" s="994">
        <v>0</v>
      </c>
      <c r="AC30" s="994">
        <v>5</v>
      </c>
      <c r="AD30" s="1014"/>
      <c r="AE30" s="1016"/>
      <c r="AF30" s="997"/>
      <c r="AG30" s="998">
        <f t="shared" ref="AG30:AH30" si="46">F30+H30+J30+L30+N30+P30+R30+T30+V30+X30+Z30+AB30+AD30</f>
        <v>22</v>
      </c>
      <c r="AH30" s="999">
        <f t="shared" si="46"/>
        <v>77</v>
      </c>
      <c r="AI30" s="1000">
        <f t="shared" ref="AI30:AJ30" si="47">J30+H30+L30+N30+P30+R30+T30+V30+X30+Z30+AB30+AD30</f>
        <v>2</v>
      </c>
      <c r="AJ30" s="1001">
        <f t="shared" si="47"/>
        <v>27</v>
      </c>
      <c r="AK30" s="522"/>
      <c r="AL30" s="522"/>
      <c r="AM30" s="1002"/>
    </row>
    <row r="31" spans="1:39" ht="26.25" customHeight="1">
      <c r="A31" s="982">
        <v>23</v>
      </c>
      <c r="B31" s="1004" t="s">
        <v>376</v>
      </c>
      <c r="C31" s="1005" t="s">
        <v>2969</v>
      </c>
      <c r="D31" s="885" t="s">
        <v>2959</v>
      </c>
      <c r="E31" s="1007">
        <v>5</v>
      </c>
      <c r="F31" s="1008">
        <v>18</v>
      </c>
      <c r="G31" s="1009">
        <v>112</v>
      </c>
      <c r="H31" s="1010"/>
      <c r="I31" s="1011"/>
      <c r="J31" s="1008">
        <v>0</v>
      </c>
      <c r="K31" s="1012">
        <v>1</v>
      </c>
      <c r="L31" s="1013">
        <v>0</v>
      </c>
      <c r="M31" s="1013">
        <v>1</v>
      </c>
      <c r="N31" s="1014">
        <v>0</v>
      </c>
      <c r="O31" s="1015">
        <v>3</v>
      </c>
      <c r="P31" s="994">
        <v>0</v>
      </c>
      <c r="Q31" s="994">
        <v>2</v>
      </c>
      <c r="R31" s="994">
        <v>1</v>
      </c>
      <c r="S31" s="994">
        <v>3</v>
      </c>
      <c r="T31" s="994">
        <v>0</v>
      </c>
      <c r="U31" s="994">
        <v>0</v>
      </c>
      <c r="V31" s="994">
        <v>0</v>
      </c>
      <c r="W31" s="994">
        <v>2</v>
      </c>
      <c r="X31" s="994">
        <v>0</v>
      </c>
      <c r="Y31" s="994">
        <v>1</v>
      </c>
      <c r="Z31" s="994">
        <v>0</v>
      </c>
      <c r="AA31" s="994">
        <v>1</v>
      </c>
      <c r="AB31" s="994">
        <v>0</v>
      </c>
      <c r="AC31" s="994">
        <v>0</v>
      </c>
      <c r="AD31" s="1014"/>
      <c r="AE31" s="1016"/>
      <c r="AF31" s="997"/>
      <c r="AG31" s="998">
        <f t="shared" ref="AG31:AH31" si="48">F31+H31+J31+L31+N31+P31+R31+T31+V31+X31+Z31+AB31+AD31</f>
        <v>19</v>
      </c>
      <c r="AH31" s="999">
        <f t="shared" si="48"/>
        <v>126</v>
      </c>
      <c r="AI31" s="1000">
        <f t="shared" ref="AI31:AJ31" si="49">J31+H31+L31+N31+P31+R31+T31+V31+X31+Z31+AB31+AD31</f>
        <v>1</v>
      </c>
      <c r="AJ31" s="1001">
        <f t="shared" si="49"/>
        <v>14</v>
      </c>
      <c r="AK31" s="522"/>
      <c r="AL31" s="522"/>
      <c r="AM31" s="1002"/>
    </row>
    <row r="32" spans="1:39" ht="26.25" customHeight="1">
      <c r="A32" s="1003"/>
      <c r="B32" s="1019" t="s">
        <v>93</v>
      </c>
      <c r="C32" s="1005" t="s">
        <v>2970</v>
      </c>
      <c r="D32" s="885" t="s">
        <v>2959</v>
      </c>
      <c r="E32" s="1007">
        <v>1</v>
      </c>
      <c r="F32" s="1008">
        <v>6</v>
      </c>
      <c r="G32" s="1009">
        <v>9</v>
      </c>
      <c r="H32" s="1010"/>
      <c r="I32" s="1011"/>
      <c r="J32" s="1008">
        <v>0</v>
      </c>
      <c r="K32" s="1012">
        <v>0</v>
      </c>
      <c r="L32" s="1013">
        <v>0</v>
      </c>
      <c r="M32" s="1013">
        <v>1</v>
      </c>
      <c r="N32" s="1014">
        <v>1</v>
      </c>
      <c r="O32" s="1015">
        <v>0</v>
      </c>
      <c r="P32" s="994">
        <v>0</v>
      </c>
      <c r="Q32" s="994">
        <v>0</v>
      </c>
      <c r="R32" s="994">
        <v>0</v>
      </c>
      <c r="S32" s="994">
        <v>0</v>
      </c>
      <c r="T32" s="994">
        <v>0</v>
      </c>
      <c r="U32" s="1027">
        <v>0</v>
      </c>
      <c r="V32" s="994">
        <v>0</v>
      </c>
      <c r="W32" s="994">
        <v>0</v>
      </c>
      <c r="X32" s="994">
        <v>0</v>
      </c>
      <c r="Y32" s="994">
        <v>0</v>
      </c>
      <c r="Z32" s="994">
        <v>0</v>
      </c>
      <c r="AA32" s="994">
        <v>0</v>
      </c>
      <c r="AB32" s="994">
        <v>0</v>
      </c>
      <c r="AC32" s="994">
        <v>0</v>
      </c>
      <c r="AD32" s="1014"/>
      <c r="AE32" s="1016"/>
      <c r="AF32" s="997"/>
      <c r="AG32" s="998">
        <f t="shared" ref="AG32:AH32" si="50">F32+H32+J32+L32+N32+P32+R32+T32+V32+X32+Z32+AB32+AD32</f>
        <v>7</v>
      </c>
      <c r="AH32" s="999">
        <f t="shared" si="50"/>
        <v>10</v>
      </c>
      <c r="AI32" s="1028">
        <f t="shared" ref="AI32:AJ32" si="51">J32+H32+L32+N32+P32+R32+T32+V32+X32+Z32+AB32+AD32</f>
        <v>1</v>
      </c>
      <c r="AJ32" s="1028">
        <f t="shared" si="51"/>
        <v>1</v>
      </c>
      <c r="AK32" s="522"/>
      <c r="AL32" s="522"/>
      <c r="AM32" s="1002"/>
    </row>
    <row r="33" spans="1:39" ht="26.25" customHeight="1">
      <c r="A33" s="982">
        <v>24</v>
      </c>
      <c r="B33" s="1004" t="s">
        <v>229</v>
      </c>
      <c r="C33" s="1005" t="s">
        <v>2971</v>
      </c>
      <c r="D33" s="885" t="s">
        <v>2946</v>
      </c>
      <c r="E33" s="1007">
        <v>2</v>
      </c>
      <c r="F33" s="1008">
        <v>5</v>
      </c>
      <c r="G33" s="1009">
        <v>35</v>
      </c>
      <c r="H33" s="1010"/>
      <c r="I33" s="1011"/>
      <c r="J33" s="1008">
        <v>0</v>
      </c>
      <c r="K33" s="1012">
        <v>0</v>
      </c>
      <c r="L33" s="1013">
        <v>0</v>
      </c>
      <c r="M33" s="1013">
        <v>0</v>
      </c>
      <c r="N33" s="1014">
        <v>1</v>
      </c>
      <c r="O33" s="1015">
        <v>0</v>
      </c>
      <c r="P33" s="994">
        <v>0</v>
      </c>
      <c r="Q33" s="994">
        <v>2</v>
      </c>
      <c r="R33" s="994">
        <v>0</v>
      </c>
      <c r="S33" s="994">
        <v>0</v>
      </c>
      <c r="T33" s="994">
        <v>0</v>
      </c>
      <c r="U33" s="994">
        <v>2</v>
      </c>
      <c r="V33" s="994">
        <v>0</v>
      </c>
      <c r="W33" s="994">
        <v>1</v>
      </c>
      <c r="X33" s="994">
        <v>0</v>
      </c>
      <c r="Y33" s="994">
        <v>0</v>
      </c>
      <c r="Z33" s="994">
        <v>0</v>
      </c>
      <c r="AA33" s="994">
        <v>0</v>
      </c>
      <c r="AB33" s="994">
        <v>0</v>
      </c>
      <c r="AC33" s="994">
        <v>0</v>
      </c>
      <c r="AD33" s="1014"/>
      <c r="AE33" s="1016"/>
      <c r="AF33" s="997"/>
      <c r="AG33" s="998">
        <f t="shared" ref="AG33:AH33" si="52">F33+H33+J33+L33+N33+P33+R33+T33+V33+X33+Z33+AB33+AD33</f>
        <v>6</v>
      </c>
      <c r="AH33" s="999">
        <f t="shared" si="52"/>
        <v>40</v>
      </c>
      <c r="AI33" s="1000">
        <f t="shared" ref="AI33:AJ33" si="53">J33+H33+L33+N33+P33+R33+T33+V33+X33+Z33+AB33+AD33</f>
        <v>1</v>
      </c>
      <c r="AJ33" s="1001">
        <f t="shared" si="53"/>
        <v>5</v>
      </c>
      <c r="AK33" s="522"/>
      <c r="AL33" s="522"/>
      <c r="AM33" s="1002"/>
    </row>
    <row r="34" spans="1:39" ht="26.25" customHeight="1">
      <c r="A34" s="1003">
        <v>25</v>
      </c>
      <c r="B34" s="1004" t="s">
        <v>496</v>
      </c>
      <c r="C34" s="1005" t="s">
        <v>2972</v>
      </c>
      <c r="D34" s="885" t="s">
        <v>2946</v>
      </c>
      <c r="E34" s="1007">
        <v>3</v>
      </c>
      <c r="F34" s="1008">
        <v>8</v>
      </c>
      <c r="G34" s="1009">
        <v>31</v>
      </c>
      <c r="H34" s="1010"/>
      <c r="I34" s="1011"/>
      <c r="J34" s="1008">
        <v>0</v>
      </c>
      <c r="K34" s="1012">
        <v>1</v>
      </c>
      <c r="L34" s="1013">
        <v>0</v>
      </c>
      <c r="M34" s="1013">
        <v>2</v>
      </c>
      <c r="N34" s="1014">
        <v>0</v>
      </c>
      <c r="O34" s="1015">
        <v>3</v>
      </c>
      <c r="P34" s="994">
        <v>0</v>
      </c>
      <c r="Q34" s="994">
        <v>2</v>
      </c>
      <c r="R34" s="994">
        <v>0</v>
      </c>
      <c r="S34" s="994">
        <v>0</v>
      </c>
      <c r="T34" s="994">
        <v>0</v>
      </c>
      <c r="U34" s="994">
        <v>0</v>
      </c>
      <c r="V34" s="994">
        <v>1</v>
      </c>
      <c r="W34" s="994">
        <v>0</v>
      </c>
      <c r="X34" s="994">
        <v>0</v>
      </c>
      <c r="Y34" s="994">
        <v>0</v>
      </c>
      <c r="Z34" s="994">
        <v>0</v>
      </c>
      <c r="AA34" s="994">
        <v>1</v>
      </c>
      <c r="AB34" s="994">
        <v>0</v>
      </c>
      <c r="AC34" s="994">
        <v>0</v>
      </c>
      <c r="AD34" s="1014"/>
      <c r="AE34" s="1016"/>
      <c r="AF34" s="997"/>
      <c r="AG34" s="998">
        <f t="shared" ref="AG34:AH34" si="54">F34+H34+J34+L34+N34+P34+R34+T34+V34+X34+Z34+AB34+AD34</f>
        <v>9</v>
      </c>
      <c r="AH34" s="999">
        <f t="shared" si="54"/>
        <v>40</v>
      </c>
      <c r="AI34" s="1000">
        <f t="shared" ref="AI34:AJ34" si="55">J34+H34+L34+N34+P34+R34+T34+V34+X34+Z34+AB34+AD34</f>
        <v>1</v>
      </c>
      <c r="AJ34" s="1001">
        <f t="shared" si="55"/>
        <v>9</v>
      </c>
      <c r="AK34" s="522"/>
      <c r="AL34" s="522"/>
      <c r="AM34" s="1002"/>
    </row>
    <row r="35" spans="1:39" ht="26.25" customHeight="1">
      <c r="A35" s="982">
        <v>26</v>
      </c>
      <c r="B35" s="1004" t="s">
        <v>184</v>
      </c>
      <c r="C35" s="1005" t="s">
        <v>2973</v>
      </c>
      <c r="D35" s="885" t="s">
        <v>2932</v>
      </c>
      <c r="E35" s="1007">
        <v>4</v>
      </c>
      <c r="F35" s="1008">
        <v>9</v>
      </c>
      <c r="G35" s="1009">
        <v>98</v>
      </c>
      <c r="H35" s="1010"/>
      <c r="I35" s="1011"/>
      <c r="J35" s="1008">
        <v>0</v>
      </c>
      <c r="K35" s="1012">
        <v>1</v>
      </c>
      <c r="L35" s="1013">
        <v>0</v>
      </c>
      <c r="M35" s="1013">
        <v>2</v>
      </c>
      <c r="N35" s="1014">
        <v>0</v>
      </c>
      <c r="O35" s="1015">
        <v>1</v>
      </c>
      <c r="P35" s="994">
        <v>0</v>
      </c>
      <c r="Q35" s="994">
        <v>2</v>
      </c>
      <c r="R35" s="994">
        <v>0</v>
      </c>
      <c r="S35" s="994">
        <v>0</v>
      </c>
      <c r="T35" s="994">
        <v>0</v>
      </c>
      <c r="U35" s="994">
        <v>0</v>
      </c>
      <c r="V35" s="994">
        <v>0</v>
      </c>
      <c r="W35" s="994">
        <v>0</v>
      </c>
      <c r="X35" s="994">
        <v>0</v>
      </c>
      <c r="Y35" s="994">
        <v>0</v>
      </c>
      <c r="Z35" s="994">
        <v>0</v>
      </c>
      <c r="AA35" s="994">
        <v>2</v>
      </c>
      <c r="AB35" s="994">
        <v>0</v>
      </c>
      <c r="AC35" s="994">
        <v>1</v>
      </c>
      <c r="AD35" s="1014"/>
      <c r="AE35" s="1016"/>
      <c r="AF35" s="997"/>
      <c r="AG35" s="998">
        <f t="shared" ref="AG35:AH35" si="56">F35+H35+J35+L35+N35+P35+R35+T35+V35+X35+Z35+AB35+AD35</f>
        <v>9</v>
      </c>
      <c r="AH35" s="999">
        <f t="shared" si="56"/>
        <v>107</v>
      </c>
      <c r="AI35" s="1000">
        <f t="shared" ref="AI35:AJ35" si="57">J35+H35+L35+N35+P35+R35+T35+V35+X35+Z35+AB35+AD35</f>
        <v>0</v>
      </c>
      <c r="AJ35" s="1001">
        <f t="shared" si="57"/>
        <v>9</v>
      </c>
      <c r="AK35" s="522"/>
      <c r="AL35" s="522"/>
      <c r="AM35" s="1002"/>
    </row>
    <row r="36" spans="1:39" ht="26.25" customHeight="1">
      <c r="A36" s="1003">
        <v>27</v>
      </c>
      <c r="B36" s="1029" t="s">
        <v>416</v>
      </c>
      <c r="C36" s="1005" t="s">
        <v>2974</v>
      </c>
      <c r="D36" s="885" t="s">
        <v>2950</v>
      </c>
      <c r="E36" s="1007">
        <v>4</v>
      </c>
      <c r="F36" s="1008">
        <v>7</v>
      </c>
      <c r="G36" s="1009">
        <v>30</v>
      </c>
      <c r="H36" s="1010"/>
      <c r="I36" s="1011"/>
      <c r="J36" s="1008">
        <v>0</v>
      </c>
      <c r="K36" s="1012">
        <v>4</v>
      </c>
      <c r="L36" s="1013">
        <v>0</v>
      </c>
      <c r="M36" s="1013">
        <v>2</v>
      </c>
      <c r="N36" s="1014">
        <v>0</v>
      </c>
      <c r="O36" s="1015">
        <v>3</v>
      </c>
      <c r="P36" s="994">
        <v>0</v>
      </c>
      <c r="Q36" s="994">
        <v>3</v>
      </c>
      <c r="R36" s="994">
        <v>0</v>
      </c>
      <c r="S36" s="994">
        <v>0</v>
      </c>
      <c r="T36" s="994">
        <v>0</v>
      </c>
      <c r="U36" s="994">
        <v>2</v>
      </c>
      <c r="V36" s="994">
        <v>0</v>
      </c>
      <c r="W36" s="994">
        <v>1</v>
      </c>
      <c r="X36" s="994">
        <v>0</v>
      </c>
      <c r="Y36" s="994">
        <v>1</v>
      </c>
      <c r="Z36" s="994">
        <v>0</v>
      </c>
      <c r="AA36" s="994">
        <v>0</v>
      </c>
      <c r="AB36" s="994">
        <v>1</v>
      </c>
      <c r="AC36" s="994">
        <v>0</v>
      </c>
      <c r="AD36" s="1014"/>
      <c r="AE36" s="1016"/>
      <c r="AF36" s="997"/>
      <c r="AG36" s="998">
        <f t="shared" ref="AG36:AH36" si="58">F36+H36+J36+L36+N36+P36+R36+T36+V36+X36+Z36+AB36+AD36</f>
        <v>8</v>
      </c>
      <c r="AH36" s="999">
        <f t="shared" si="58"/>
        <v>46</v>
      </c>
      <c r="AI36" s="1000">
        <f t="shared" ref="AI36:AJ36" si="59">J36+H36+L36+N36+P36+R36+T36+V36+X36+Z36+AB36+AD36</f>
        <v>1</v>
      </c>
      <c r="AJ36" s="1001">
        <f t="shared" si="59"/>
        <v>16</v>
      </c>
      <c r="AK36" s="522"/>
      <c r="AL36" s="522"/>
      <c r="AM36" s="1002"/>
    </row>
    <row r="37" spans="1:39" ht="26.25" customHeight="1">
      <c r="A37" s="982">
        <v>28</v>
      </c>
      <c r="B37" s="1026" t="s">
        <v>523</v>
      </c>
      <c r="C37" s="1005" t="s">
        <v>2975</v>
      </c>
      <c r="D37" s="885" t="s">
        <v>2932</v>
      </c>
      <c r="E37" s="1007">
        <v>6</v>
      </c>
      <c r="F37" s="1008">
        <v>35</v>
      </c>
      <c r="G37" s="1009">
        <v>100</v>
      </c>
      <c r="H37" s="1010"/>
      <c r="I37" s="1011"/>
      <c r="J37" s="1008">
        <v>0</v>
      </c>
      <c r="K37" s="1012">
        <v>1</v>
      </c>
      <c r="L37" s="1013">
        <v>0</v>
      </c>
      <c r="M37" s="1013">
        <v>3</v>
      </c>
      <c r="N37" s="1014">
        <v>0</v>
      </c>
      <c r="O37" s="1015">
        <v>2</v>
      </c>
      <c r="P37" s="994">
        <v>0</v>
      </c>
      <c r="Q37" s="994">
        <v>2</v>
      </c>
      <c r="R37" s="994">
        <v>0</v>
      </c>
      <c r="S37" s="994">
        <v>2</v>
      </c>
      <c r="T37" s="994">
        <v>0</v>
      </c>
      <c r="U37" s="994">
        <v>2</v>
      </c>
      <c r="V37" s="994">
        <v>1</v>
      </c>
      <c r="W37" s="994">
        <v>10</v>
      </c>
      <c r="X37" s="994">
        <v>0</v>
      </c>
      <c r="Y37" s="994">
        <v>0</v>
      </c>
      <c r="Z37" s="994">
        <v>0</v>
      </c>
      <c r="AA37" s="994">
        <v>1</v>
      </c>
      <c r="AB37" s="994">
        <v>0</v>
      </c>
      <c r="AC37" s="994">
        <v>3</v>
      </c>
      <c r="AD37" s="1014"/>
      <c r="AE37" s="1016"/>
      <c r="AF37" s="997"/>
      <c r="AG37" s="998">
        <f t="shared" ref="AG37:AH37" si="60">F37+H37+J37+L37+N37+P37+R37+T37+V37+X37+Z37+AB37+AD37</f>
        <v>36</v>
      </c>
      <c r="AH37" s="999">
        <f t="shared" si="60"/>
        <v>126</v>
      </c>
      <c r="AI37" s="1000">
        <f t="shared" ref="AI37:AJ37" si="61">J37+H37+L37+N37+P37+R37+T37+V37+X37+Z37+AB37+AD37</f>
        <v>1</v>
      </c>
      <c r="AJ37" s="1001">
        <f t="shared" si="61"/>
        <v>26</v>
      </c>
      <c r="AK37" s="522"/>
      <c r="AL37" s="522"/>
      <c r="AM37" s="1002"/>
    </row>
    <row r="38" spans="1:39" ht="26.25" customHeight="1">
      <c r="A38" s="1003">
        <v>29</v>
      </c>
      <c r="B38" s="1026" t="s">
        <v>374</v>
      </c>
      <c r="C38" s="1005" t="s">
        <v>2976</v>
      </c>
      <c r="D38" s="885" t="s">
        <v>2959</v>
      </c>
      <c r="E38" s="1007">
        <v>5</v>
      </c>
      <c r="F38" s="1008">
        <v>26</v>
      </c>
      <c r="G38" s="1009">
        <v>119</v>
      </c>
      <c r="H38" s="1010"/>
      <c r="I38" s="1011"/>
      <c r="J38" s="1008">
        <v>0</v>
      </c>
      <c r="K38" s="1012">
        <v>1</v>
      </c>
      <c r="L38" s="1013">
        <v>0</v>
      </c>
      <c r="M38" s="1013">
        <v>1</v>
      </c>
      <c r="N38" s="1014">
        <v>0</v>
      </c>
      <c r="O38" s="1015">
        <v>3</v>
      </c>
      <c r="P38" s="994">
        <v>0</v>
      </c>
      <c r="Q38" s="994">
        <v>2</v>
      </c>
      <c r="R38" s="994">
        <v>1</v>
      </c>
      <c r="S38" s="994">
        <v>4</v>
      </c>
      <c r="T38" s="994">
        <v>0</v>
      </c>
      <c r="U38" s="994">
        <v>0</v>
      </c>
      <c r="V38" s="994">
        <v>1</v>
      </c>
      <c r="W38" s="994">
        <v>3</v>
      </c>
      <c r="X38" s="994">
        <v>0</v>
      </c>
      <c r="Y38" s="994">
        <v>1</v>
      </c>
      <c r="Z38" s="994">
        <v>0</v>
      </c>
      <c r="AA38" s="994">
        <v>1</v>
      </c>
      <c r="AB38" s="994">
        <v>0</v>
      </c>
      <c r="AC38" s="994">
        <v>0</v>
      </c>
      <c r="AD38" s="1014"/>
      <c r="AE38" s="1016"/>
      <c r="AF38" s="997"/>
      <c r="AG38" s="998">
        <f t="shared" ref="AG38:AH38" si="62">F38+H38+J38+L38+N38+P38+R38+T38+V38+X38+Z38+AB38+AD38</f>
        <v>28</v>
      </c>
      <c r="AH38" s="999">
        <f t="shared" si="62"/>
        <v>135</v>
      </c>
      <c r="AI38" s="1000">
        <f t="shared" ref="AI38:AJ38" si="63">J38+H38+L38+N38+P38+R38+T38+V38+X38+Z38+AB38+AD38</f>
        <v>2</v>
      </c>
      <c r="AJ38" s="1001">
        <f t="shared" si="63"/>
        <v>16</v>
      </c>
      <c r="AK38" s="522"/>
      <c r="AL38" s="522"/>
      <c r="AM38" s="1002"/>
    </row>
    <row r="39" spans="1:39" ht="26.25" customHeight="1">
      <c r="A39" s="982">
        <v>30</v>
      </c>
      <c r="B39" s="1004" t="s">
        <v>59</v>
      </c>
      <c r="C39" s="1005" t="s">
        <v>2977</v>
      </c>
      <c r="D39" s="885" t="s">
        <v>2948</v>
      </c>
      <c r="E39" s="1007">
        <v>4</v>
      </c>
      <c r="F39" s="1008">
        <v>22</v>
      </c>
      <c r="G39" s="1009">
        <v>36</v>
      </c>
      <c r="H39" s="1010"/>
      <c r="I39" s="1011"/>
      <c r="J39" s="1008">
        <v>1</v>
      </c>
      <c r="K39" s="1012">
        <v>0</v>
      </c>
      <c r="L39" s="1013">
        <v>0</v>
      </c>
      <c r="M39" s="1013">
        <v>1</v>
      </c>
      <c r="N39" s="1014">
        <v>0</v>
      </c>
      <c r="O39" s="1015">
        <v>1</v>
      </c>
      <c r="P39" s="994">
        <v>0</v>
      </c>
      <c r="Q39" s="994">
        <v>1</v>
      </c>
      <c r="R39" s="994">
        <v>1</v>
      </c>
      <c r="S39" s="994">
        <v>1</v>
      </c>
      <c r="T39" s="994">
        <v>0</v>
      </c>
      <c r="U39" s="994">
        <v>4</v>
      </c>
      <c r="V39" s="994">
        <v>1</v>
      </c>
      <c r="W39" s="994">
        <v>10</v>
      </c>
      <c r="X39" s="994">
        <v>0</v>
      </c>
      <c r="Y39" s="994">
        <v>0</v>
      </c>
      <c r="Z39" s="994">
        <v>0</v>
      </c>
      <c r="AA39" s="994">
        <v>2</v>
      </c>
      <c r="AB39" s="994">
        <v>1</v>
      </c>
      <c r="AC39" s="994">
        <v>0</v>
      </c>
      <c r="AD39" s="1014"/>
      <c r="AE39" s="1016"/>
      <c r="AF39" s="997"/>
      <c r="AG39" s="998">
        <f t="shared" ref="AG39:AH39" si="64">F39+H39+J39+L39+N39+P39+R39+T39+V39+X39+Z39+AB39+AD39</f>
        <v>26</v>
      </c>
      <c r="AH39" s="999">
        <f t="shared" si="64"/>
        <v>56</v>
      </c>
      <c r="AI39" s="1000">
        <f t="shared" ref="AI39:AJ39" si="65">J39+H39+L39+N39+P39+R39+T39+V39+X39+Z39+AB39+AD39</f>
        <v>4</v>
      </c>
      <c r="AJ39" s="1001">
        <f t="shared" si="65"/>
        <v>20</v>
      </c>
      <c r="AK39" s="522"/>
      <c r="AL39" s="522"/>
      <c r="AM39" s="1002"/>
    </row>
    <row r="40" spans="1:39" ht="26.25" customHeight="1">
      <c r="A40" s="1003">
        <v>31</v>
      </c>
      <c r="B40" s="1004" t="s">
        <v>358</v>
      </c>
      <c r="C40" s="1005" t="s">
        <v>2978</v>
      </c>
      <c r="D40" s="885" t="s">
        <v>2959</v>
      </c>
      <c r="E40" s="1007">
        <v>1</v>
      </c>
      <c r="F40" s="1008">
        <v>2</v>
      </c>
      <c r="G40" s="1009">
        <v>5</v>
      </c>
      <c r="H40" s="1010"/>
      <c r="I40" s="1011"/>
      <c r="J40" s="1008">
        <v>0</v>
      </c>
      <c r="K40" s="1012">
        <v>0</v>
      </c>
      <c r="L40" s="1013">
        <v>0</v>
      </c>
      <c r="M40" s="1013">
        <v>0</v>
      </c>
      <c r="N40" s="1014">
        <v>0</v>
      </c>
      <c r="O40" s="1015">
        <v>1</v>
      </c>
      <c r="P40" s="994">
        <v>0</v>
      </c>
      <c r="Q40" s="994">
        <v>0</v>
      </c>
      <c r="R40" s="994">
        <v>0</v>
      </c>
      <c r="S40" s="994">
        <v>0</v>
      </c>
      <c r="T40" s="994">
        <v>0</v>
      </c>
      <c r="U40" s="994">
        <v>0</v>
      </c>
      <c r="V40" s="994">
        <v>0</v>
      </c>
      <c r="W40" s="994">
        <v>1</v>
      </c>
      <c r="X40" s="994">
        <v>0</v>
      </c>
      <c r="Y40" s="994">
        <v>1</v>
      </c>
      <c r="Z40" s="994">
        <v>0</v>
      </c>
      <c r="AA40" s="994">
        <v>1</v>
      </c>
      <c r="AB40" s="994">
        <v>0</v>
      </c>
      <c r="AC40" s="994">
        <v>1</v>
      </c>
      <c r="AD40" s="1014"/>
      <c r="AE40" s="1016"/>
      <c r="AF40" s="997"/>
      <c r="AG40" s="998">
        <f t="shared" ref="AG40:AH40" si="66">F40+H40+J40+L40+N40+P40+R40+T40+V40+X40+Z40+AB40+AD40</f>
        <v>2</v>
      </c>
      <c r="AH40" s="999">
        <f t="shared" si="66"/>
        <v>10</v>
      </c>
      <c r="AI40" s="1000">
        <f t="shared" ref="AI40:AJ40" si="67">J40+H40+L40+N40+P40+R40+T40+V40+X40+Z40+AB40+AD40</f>
        <v>0</v>
      </c>
      <c r="AJ40" s="1001">
        <f t="shared" si="67"/>
        <v>5</v>
      </c>
      <c r="AK40" s="522"/>
      <c r="AL40" s="522"/>
      <c r="AM40" s="1002"/>
    </row>
    <row r="41" spans="1:39" ht="26.25" customHeight="1">
      <c r="A41" s="982">
        <v>32</v>
      </c>
      <c r="B41" s="1004" t="s">
        <v>414</v>
      </c>
      <c r="C41" s="1005" t="s">
        <v>2979</v>
      </c>
      <c r="D41" s="885" t="s">
        <v>2965</v>
      </c>
      <c r="E41" s="1007">
        <v>4</v>
      </c>
      <c r="F41" s="1008">
        <v>10</v>
      </c>
      <c r="G41" s="1009">
        <v>27</v>
      </c>
      <c r="H41" s="1010"/>
      <c r="I41" s="1011"/>
      <c r="J41" s="1008">
        <v>0</v>
      </c>
      <c r="K41" s="1012">
        <v>0</v>
      </c>
      <c r="L41" s="1013">
        <v>0</v>
      </c>
      <c r="M41" s="1013">
        <v>1</v>
      </c>
      <c r="N41" s="1014">
        <v>0</v>
      </c>
      <c r="O41" s="1015">
        <v>1</v>
      </c>
      <c r="P41" s="994">
        <v>0</v>
      </c>
      <c r="Q41" s="994">
        <v>5</v>
      </c>
      <c r="R41" s="994">
        <v>0</v>
      </c>
      <c r="S41" s="994">
        <v>4</v>
      </c>
      <c r="T41" s="994">
        <v>0</v>
      </c>
      <c r="U41" s="994">
        <v>0</v>
      </c>
      <c r="V41" s="994">
        <v>1</v>
      </c>
      <c r="W41" s="994">
        <v>2</v>
      </c>
      <c r="X41" s="994">
        <v>0</v>
      </c>
      <c r="Y41" s="994">
        <v>2</v>
      </c>
      <c r="Z41" s="994">
        <v>0</v>
      </c>
      <c r="AA41" s="994">
        <v>0</v>
      </c>
      <c r="AB41" s="994">
        <v>1</v>
      </c>
      <c r="AC41" s="994">
        <v>0</v>
      </c>
      <c r="AD41" s="1014"/>
      <c r="AE41" s="1016"/>
      <c r="AF41" s="997"/>
      <c r="AG41" s="998">
        <f t="shared" ref="AG41:AH41" si="68">F41+H41+J41+L41+N41+P41+R41+T41+V41+X41+Z41+AB41+AD41</f>
        <v>12</v>
      </c>
      <c r="AH41" s="999">
        <f t="shared" si="68"/>
        <v>42</v>
      </c>
      <c r="AI41" s="1000">
        <f t="shared" ref="AI41:AJ41" si="69">J41+H41+L41+N41+P41+R41+T41+V41+X41+Z41+AB41+AD41</f>
        <v>2</v>
      </c>
      <c r="AJ41" s="1001">
        <f t="shared" si="69"/>
        <v>15</v>
      </c>
      <c r="AK41" s="1030"/>
      <c r="AL41" s="522"/>
      <c r="AM41" s="1002"/>
    </row>
    <row r="42" spans="1:39" ht="26.25" customHeight="1">
      <c r="A42" s="1003">
        <v>33</v>
      </c>
      <c r="B42" s="1004" t="s">
        <v>237</v>
      </c>
      <c r="C42" s="1005" t="s">
        <v>2980</v>
      </c>
      <c r="D42" s="885" t="s">
        <v>2935</v>
      </c>
      <c r="E42" s="1007">
        <v>7</v>
      </c>
      <c r="F42" s="1008">
        <v>33</v>
      </c>
      <c r="G42" s="1009">
        <v>86</v>
      </c>
      <c r="H42" s="1010"/>
      <c r="I42" s="1011"/>
      <c r="J42" s="1008">
        <v>0</v>
      </c>
      <c r="K42" s="1012">
        <v>0</v>
      </c>
      <c r="L42" s="1013">
        <v>0</v>
      </c>
      <c r="M42" s="1013">
        <v>9</v>
      </c>
      <c r="N42" s="1014">
        <v>1</v>
      </c>
      <c r="O42" s="1015">
        <v>4</v>
      </c>
      <c r="P42" s="994">
        <v>0</v>
      </c>
      <c r="Q42" s="994">
        <v>2</v>
      </c>
      <c r="R42" s="994">
        <v>1</v>
      </c>
      <c r="S42" s="994">
        <v>4</v>
      </c>
      <c r="T42" s="994">
        <v>0</v>
      </c>
      <c r="U42" s="994">
        <v>4</v>
      </c>
      <c r="V42" s="994">
        <v>1</v>
      </c>
      <c r="W42" s="994">
        <v>6</v>
      </c>
      <c r="X42" s="994">
        <v>0</v>
      </c>
      <c r="Y42" s="994">
        <v>4</v>
      </c>
      <c r="Z42" s="994">
        <v>0</v>
      </c>
      <c r="AA42" s="994">
        <v>4</v>
      </c>
      <c r="AB42" s="994">
        <v>0</v>
      </c>
      <c r="AC42" s="994">
        <v>4</v>
      </c>
      <c r="AD42" s="1014"/>
      <c r="AE42" s="1016"/>
      <c r="AF42" s="997"/>
      <c r="AG42" s="998">
        <f t="shared" ref="AG42:AH42" si="70">F42+H42+J42+L42+N42+P42+R42+T42+V42+X42+Z42+AB42+AD42</f>
        <v>36</v>
      </c>
      <c r="AH42" s="999">
        <f t="shared" si="70"/>
        <v>127</v>
      </c>
      <c r="AI42" s="1000">
        <f t="shared" ref="AI42:AJ42" si="71">J42+H42+L42+N42+P42+R42+T42+V42+X42+Z42+AB42+AD42</f>
        <v>3</v>
      </c>
      <c r="AJ42" s="1001">
        <f t="shared" si="71"/>
        <v>41</v>
      </c>
      <c r="AK42" s="522"/>
      <c r="AL42" s="522"/>
      <c r="AM42" s="1002"/>
    </row>
    <row r="43" spans="1:39" ht="26.25" customHeight="1">
      <c r="A43" s="982">
        <v>34</v>
      </c>
      <c r="B43" s="1004" t="s">
        <v>261</v>
      </c>
      <c r="C43" s="1005" t="s">
        <v>2981</v>
      </c>
      <c r="D43" s="885" t="s">
        <v>2948</v>
      </c>
      <c r="E43" s="1007">
        <v>6</v>
      </c>
      <c r="F43" s="1008">
        <v>31</v>
      </c>
      <c r="G43" s="1009">
        <v>65</v>
      </c>
      <c r="H43" s="1010"/>
      <c r="I43" s="1011"/>
      <c r="J43" s="1008">
        <v>0</v>
      </c>
      <c r="K43" s="1012">
        <v>1</v>
      </c>
      <c r="L43" s="1013">
        <v>0</v>
      </c>
      <c r="M43" s="1013">
        <v>3</v>
      </c>
      <c r="N43" s="1014">
        <v>0</v>
      </c>
      <c r="O43" s="1015">
        <v>4</v>
      </c>
      <c r="P43" s="994">
        <v>1</v>
      </c>
      <c r="Q43" s="994">
        <v>1</v>
      </c>
      <c r="R43" s="994">
        <v>0</v>
      </c>
      <c r="S43" s="994">
        <v>0</v>
      </c>
      <c r="T43" s="994">
        <v>0</v>
      </c>
      <c r="U43" s="994">
        <v>0</v>
      </c>
      <c r="V43" s="994">
        <v>2</v>
      </c>
      <c r="W43" s="994">
        <v>3</v>
      </c>
      <c r="X43" s="994">
        <v>0</v>
      </c>
      <c r="Y43" s="994">
        <v>0</v>
      </c>
      <c r="Z43" s="994">
        <v>0</v>
      </c>
      <c r="AA43" s="994">
        <v>0</v>
      </c>
      <c r="AB43" s="994">
        <v>1</v>
      </c>
      <c r="AC43" s="994">
        <v>1</v>
      </c>
      <c r="AD43" s="1014"/>
      <c r="AE43" s="1016"/>
      <c r="AF43" s="997"/>
      <c r="AG43" s="998">
        <f t="shared" ref="AG43:AH43" si="72">F43+H43+J43+L43+N43+P43+R43+T43+V43+X43+Z43+AB43+AD43</f>
        <v>35</v>
      </c>
      <c r="AH43" s="999">
        <f t="shared" si="72"/>
        <v>78</v>
      </c>
      <c r="AI43" s="1000">
        <f t="shared" ref="AI43:AJ43" si="73">J43+H43+L43+N43+P43+R43+T43+V43+X43+Z43+AB43+AD43</f>
        <v>4</v>
      </c>
      <c r="AJ43" s="1001">
        <f t="shared" si="73"/>
        <v>13</v>
      </c>
      <c r="AK43" s="522"/>
      <c r="AL43" s="522"/>
      <c r="AM43" s="1002"/>
    </row>
    <row r="44" spans="1:39" ht="26.25" customHeight="1">
      <c r="A44" s="1003">
        <v>35</v>
      </c>
      <c r="B44" s="1004" t="s">
        <v>359</v>
      </c>
      <c r="C44" s="1005" t="s">
        <v>2982</v>
      </c>
      <c r="D44" s="885" t="s">
        <v>2965</v>
      </c>
      <c r="E44" s="1007">
        <v>3</v>
      </c>
      <c r="F44" s="1008">
        <v>8</v>
      </c>
      <c r="G44" s="1009">
        <v>19</v>
      </c>
      <c r="H44" s="1010"/>
      <c r="I44" s="1011"/>
      <c r="J44" s="1008">
        <v>0</v>
      </c>
      <c r="K44" s="1012">
        <v>0</v>
      </c>
      <c r="L44" s="1013">
        <v>0</v>
      </c>
      <c r="M44" s="1013">
        <v>0</v>
      </c>
      <c r="N44" s="1014">
        <v>0</v>
      </c>
      <c r="O44" s="1015">
        <v>0</v>
      </c>
      <c r="P44" s="994">
        <v>0</v>
      </c>
      <c r="Q44" s="994">
        <v>2</v>
      </c>
      <c r="R44" s="994">
        <v>0</v>
      </c>
      <c r="S44" s="994">
        <v>4</v>
      </c>
      <c r="T44" s="994">
        <v>0</v>
      </c>
      <c r="U44" s="994">
        <v>0</v>
      </c>
      <c r="V44" s="994">
        <v>1</v>
      </c>
      <c r="W44" s="994">
        <v>1</v>
      </c>
      <c r="X44" s="994">
        <v>0</v>
      </c>
      <c r="Y44" s="994">
        <v>1</v>
      </c>
      <c r="Z44" s="994">
        <v>0</v>
      </c>
      <c r="AA44" s="994">
        <v>0</v>
      </c>
      <c r="AB44" s="994">
        <v>1</v>
      </c>
      <c r="AC44" s="994">
        <v>0</v>
      </c>
      <c r="AD44" s="1014"/>
      <c r="AE44" s="1016"/>
      <c r="AF44" s="997"/>
      <c r="AG44" s="998">
        <f t="shared" ref="AG44:AH44" si="74">F44+H44+J44+L44+N44+P44+R44+T44+V44+X44+Z44+AB44+AD44</f>
        <v>10</v>
      </c>
      <c r="AH44" s="999">
        <f t="shared" si="74"/>
        <v>27</v>
      </c>
      <c r="AI44" s="1000">
        <f t="shared" ref="AI44:AJ44" si="75">J44+H44+L44+N44+P44+R44+T44+V44+X44+Z44+AB44+AD44</f>
        <v>2</v>
      </c>
      <c r="AJ44" s="1001">
        <f t="shared" si="75"/>
        <v>8</v>
      </c>
      <c r="AK44" s="522"/>
      <c r="AL44" s="522"/>
      <c r="AM44" s="1002"/>
    </row>
    <row r="45" spans="1:39" ht="26.25" customHeight="1">
      <c r="A45" s="982">
        <v>36</v>
      </c>
      <c r="B45" s="1004" t="s">
        <v>68</v>
      </c>
      <c r="C45" s="1005" t="s">
        <v>2983</v>
      </c>
      <c r="D45" s="885" t="s">
        <v>2932</v>
      </c>
      <c r="E45" s="1007">
        <v>24</v>
      </c>
      <c r="F45" s="1008">
        <v>90</v>
      </c>
      <c r="G45" s="1009">
        <v>1872</v>
      </c>
      <c r="H45" s="1010"/>
      <c r="I45" s="1011"/>
      <c r="J45" s="1008">
        <v>3</v>
      </c>
      <c r="K45" s="1012">
        <v>33</v>
      </c>
      <c r="L45" s="1013">
        <v>0</v>
      </c>
      <c r="M45" s="1013">
        <v>53</v>
      </c>
      <c r="N45" s="1014">
        <v>3</v>
      </c>
      <c r="O45" s="1015">
        <v>55</v>
      </c>
      <c r="P45" s="994">
        <v>0</v>
      </c>
      <c r="Q45" s="994">
        <v>52</v>
      </c>
      <c r="R45" s="994">
        <v>0</v>
      </c>
      <c r="S45" s="994">
        <v>26</v>
      </c>
      <c r="T45" s="994">
        <v>0</v>
      </c>
      <c r="U45" s="994">
        <v>55</v>
      </c>
      <c r="V45" s="994">
        <v>1</v>
      </c>
      <c r="W45" s="994">
        <v>38</v>
      </c>
      <c r="X45" s="994">
        <v>1</v>
      </c>
      <c r="Y45" s="994">
        <v>35</v>
      </c>
      <c r="Z45" s="994">
        <v>0</v>
      </c>
      <c r="AA45" s="994">
        <v>36</v>
      </c>
      <c r="AB45" s="994">
        <v>3</v>
      </c>
      <c r="AC45" s="994">
        <v>30</v>
      </c>
      <c r="AD45" s="1014"/>
      <c r="AE45" s="1016"/>
      <c r="AF45" s="997"/>
      <c r="AG45" s="998">
        <f t="shared" ref="AG45:AH45" si="76">F45+H45+J45+L45+N45+P45+R45+T45+V45+X45+Z45+AB45+AD45</f>
        <v>101</v>
      </c>
      <c r="AH45" s="999">
        <f t="shared" si="76"/>
        <v>2285</v>
      </c>
      <c r="AI45" s="1000">
        <f t="shared" ref="AI45:AJ45" si="77">J45+H45+L45+N45+P45+R45+T45+V45+X45+Z45+AB45+AD45</f>
        <v>11</v>
      </c>
      <c r="AJ45" s="1001">
        <f t="shared" si="77"/>
        <v>413</v>
      </c>
      <c r="AK45" s="522"/>
      <c r="AL45" s="522"/>
      <c r="AM45" s="1002"/>
    </row>
    <row r="46" spans="1:39" ht="26.25" customHeight="1">
      <c r="A46" s="1003">
        <v>37</v>
      </c>
      <c r="B46" s="1004" t="s">
        <v>275</v>
      </c>
      <c r="C46" s="1005" t="s">
        <v>2984</v>
      </c>
      <c r="D46" s="885" t="s">
        <v>2950</v>
      </c>
      <c r="E46" s="1007">
        <v>2</v>
      </c>
      <c r="F46" s="1008">
        <v>6</v>
      </c>
      <c r="G46" s="1009">
        <v>2</v>
      </c>
      <c r="H46" s="1010"/>
      <c r="I46" s="1011"/>
      <c r="J46" s="1008">
        <v>0</v>
      </c>
      <c r="K46" s="1012">
        <v>0</v>
      </c>
      <c r="L46" s="1013">
        <v>0</v>
      </c>
      <c r="M46" s="1013">
        <v>0</v>
      </c>
      <c r="N46" s="1014">
        <v>0</v>
      </c>
      <c r="O46" s="1015">
        <v>0</v>
      </c>
      <c r="P46" s="994">
        <v>0</v>
      </c>
      <c r="Q46" s="994">
        <v>2</v>
      </c>
      <c r="R46" s="994">
        <v>0</v>
      </c>
      <c r="S46" s="994">
        <v>0</v>
      </c>
      <c r="T46" s="994">
        <v>0</v>
      </c>
      <c r="U46" s="994">
        <v>0</v>
      </c>
      <c r="V46" s="994">
        <v>0</v>
      </c>
      <c r="W46" s="994">
        <v>0</v>
      </c>
      <c r="X46" s="994">
        <v>1</v>
      </c>
      <c r="Y46" s="994">
        <v>0</v>
      </c>
      <c r="Z46" s="994">
        <v>0</v>
      </c>
      <c r="AA46" s="994">
        <v>0</v>
      </c>
      <c r="AB46" s="994">
        <v>1</v>
      </c>
      <c r="AC46" s="994">
        <v>0</v>
      </c>
      <c r="AD46" s="1014"/>
      <c r="AE46" s="1016"/>
      <c r="AF46" s="997"/>
      <c r="AG46" s="998">
        <f t="shared" ref="AG46:AH46" si="78">F46+H46+J46+L46+N46+P46+R46+T46+V46+X46+Z46+AB46+AD46</f>
        <v>8</v>
      </c>
      <c r="AH46" s="999">
        <f t="shared" si="78"/>
        <v>4</v>
      </c>
      <c r="AI46" s="1000">
        <f t="shared" ref="AI46:AJ46" si="79">J46+H46+L46+N46+P46+R46+T46+V46+X46+Z46+AB46+AD46</f>
        <v>2</v>
      </c>
      <c r="AJ46" s="1001">
        <f t="shared" si="79"/>
        <v>2</v>
      </c>
      <c r="AK46" s="522"/>
      <c r="AL46" s="522"/>
      <c r="AM46" s="1002"/>
    </row>
    <row r="47" spans="1:39" ht="26.25" customHeight="1">
      <c r="A47" s="982">
        <v>38</v>
      </c>
      <c r="B47" s="1004" t="s">
        <v>497</v>
      </c>
      <c r="C47" s="1005" t="s">
        <v>2985</v>
      </c>
      <c r="D47" s="885" t="s">
        <v>2932</v>
      </c>
      <c r="E47" s="1007">
        <v>7</v>
      </c>
      <c r="F47" s="1008">
        <v>14</v>
      </c>
      <c r="G47" s="1009">
        <v>76</v>
      </c>
      <c r="H47" s="1010"/>
      <c r="I47" s="1011"/>
      <c r="J47" s="1008">
        <v>0</v>
      </c>
      <c r="K47" s="1012">
        <v>0</v>
      </c>
      <c r="L47" s="1013">
        <v>0</v>
      </c>
      <c r="M47" s="1013">
        <v>1</v>
      </c>
      <c r="N47" s="1014">
        <v>0</v>
      </c>
      <c r="O47" s="1015">
        <v>4</v>
      </c>
      <c r="P47" s="994">
        <v>0</v>
      </c>
      <c r="Q47" s="994">
        <v>0</v>
      </c>
      <c r="R47" s="994">
        <v>0</v>
      </c>
      <c r="S47" s="994">
        <v>3</v>
      </c>
      <c r="T47" s="994">
        <v>0</v>
      </c>
      <c r="U47" s="994">
        <v>2</v>
      </c>
      <c r="V47" s="994">
        <v>1</v>
      </c>
      <c r="W47" s="994">
        <v>1</v>
      </c>
      <c r="X47" s="994">
        <v>0</v>
      </c>
      <c r="Y47" s="994">
        <v>2</v>
      </c>
      <c r="Z47" s="994">
        <v>0</v>
      </c>
      <c r="AA47" s="994">
        <v>0</v>
      </c>
      <c r="AB47" s="994">
        <v>0</v>
      </c>
      <c r="AC47" s="994">
        <v>2</v>
      </c>
      <c r="AD47" s="1014"/>
      <c r="AE47" s="1016"/>
      <c r="AF47" s="997"/>
      <c r="AG47" s="998">
        <f t="shared" ref="AG47:AH47" si="80">F47+H47+J47+L47+N47+P47+R47+T47+V47+X47+Z47+AB47+AD47</f>
        <v>15</v>
      </c>
      <c r="AH47" s="999">
        <f t="shared" si="80"/>
        <v>91</v>
      </c>
      <c r="AI47" s="1000">
        <f t="shared" ref="AI47:AJ47" si="81">J47+H47+L47+N47+P47+R47+T47+V47+X47+Z47+AB47+AD47</f>
        <v>1</v>
      </c>
      <c r="AJ47" s="1001">
        <f t="shared" si="81"/>
        <v>15</v>
      </c>
      <c r="AK47" s="522"/>
      <c r="AL47" s="522"/>
      <c r="AM47" s="1002"/>
    </row>
    <row r="48" spans="1:39" ht="26.25" customHeight="1">
      <c r="A48" s="1003">
        <v>39</v>
      </c>
      <c r="B48" s="1029" t="s">
        <v>273</v>
      </c>
      <c r="C48" s="1005" t="s">
        <v>2986</v>
      </c>
      <c r="D48" s="885" t="s">
        <v>2950</v>
      </c>
      <c r="E48" s="1007">
        <v>5</v>
      </c>
      <c r="F48" s="1008">
        <v>14</v>
      </c>
      <c r="G48" s="1009">
        <v>61</v>
      </c>
      <c r="H48" s="1010"/>
      <c r="I48" s="1011"/>
      <c r="J48" s="1008">
        <v>0</v>
      </c>
      <c r="K48" s="1012">
        <v>4</v>
      </c>
      <c r="L48" s="1013">
        <v>0</v>
      </c>
      <c r="M48" s="1013">
        <v>12</v>
      </c>
      <c r="N48" s="1014">
        <v>0</v>
      </c>
      <c r="O48" s="1015">
        <v>9</v>
      </c>
      <c r="P48" s="994">
        <v>1</v>
      </c>
      <c r="Q48" s="994">
        <v>9</v>
      </c>
      <c r="R48" s="994">
        <v>0</v>
      </c>
      <c r="S48" s="994">
        <v>4</v>
      </c>
      <c r="T48" s="994">
        <v>0</v>
      </c>
      <c r="U48" s="994">
        <v>5</v>
      </c>
      <c r="V48" s="994">
        <v>0</v>
      </c>
      <c r="W48" s="994">
        <v>7</v>
      </c>
      <c r="X48" s="994">
        <v>0</v>
      </c>
      <c r="Y48" s="994">
        <v>7</v>
      </c>
      <c r="Z48" s="994">
        <v>0</v>
      </c>
      <c r="AA48" s="994">
        <v>7</v>
      </c>
      <c r="AB48" s="994">
        <v>1</v>
      </c>
      <c r="AC48" s="994">
        <v>3</v>
      </c>
      <c r="AD48" s="1014"/>
      <c r="AE48" s="1016"/>
      <c r="AF48" s="997"/>
      <c r="AG48" s="998">
        <f t="shared" ref="AG48:AH48" si="82">F48+H48+J48+L48+N48+P48+R48+T48+V48+X48+Z48+AB48+AD48</f>
        <v>16</v>
      </c>
      <c r="AH48" s="999">
        <f t="shared" si="82"/>
        <v>128</v>
      </c>
      <c r="AI48" s="1000">
        <f t="shared" ref="AI48:AJ48" si="83">J48+H48+L48+N48+P48+R48+T48+V48+X48+Z48+AB48+AD48</f>
        <v>2</v>
      </c>
      <c r="AJ48" s="1001">
        <f t="shared" si="83"/>
        <v>67</v>
      </c>
      <c r="AK48" s="522"/>
      <c r="AL48" s="522"/>
      <c r="AM48" s="1002"/>
    </row>
    <row r="49" spans="1:39" ht="26.25" customHeight="1">
      <c r="A49" s="982">
        <v>40</v>
      </c>
      <c r="B49" s="1026" t="s">
        <v>276</v>
      </c>
      <c r="C49" s="1005" t="s">
        <v>2987</v>
      </c>
      <c r="D49" s="885" t="s">
        <v>2965</v>
      </c>
      <c r="E49" s="1007">
        <v>2</v>
      </c>
      <c r="F49" s="1008">
        <v>2</v>
      </c>
      <c r="G49" s="1018">
        <v>9</v>
      </c>
      <c r="H49" s="1010"/>
      <c r="I49" s="1011"/>
      <c r="J49" s="1008"/>
      <c r="K49" s="1012"/>
      <c r="L49" s="1013">
        <v>0</v>
      </c>
      <c r="M49" s="1013">
        <v>0</v>
      </c>
      <c r="N49" s="1014">
        <v>0</v>
      </c>
      <c r="O49" s="1015">
        <v>0</v>
      </c>
      <c r="P49" s="994">
        <v>0</v>
      </c>
      <c r="Q49" s="994">
        <v>1</v>
      </c>
      <c r="R49" s="994">
        <v>0</v>
      </c>
      <c r="S49" s="994">
        <v>1</v>
      </c>
      <c r="T49" s="994">
        <v>0</v>
      </c>
      <c r="U49" s="994">
        <v>0</v>
      </c>
      <c r="V49" s="994">
        <v>0</v>
      </c>
      <c r="W49" s="994">
        <v>0</v>
      </c>
      <c r="X49" s="994">
        <v>0</v>
      </c>
      <c r="Y49" s="994">
        <v>0</v>
      </c>
      <c r="Z49" s="994">
        <v>0</v>
      </c>
      <c r="AA49" s="994">
        <v>0</v>
      </c>
      <c r="AB49" s="994">
        <v>0</v>
      </c>
      <c r="AC49" s="994">
        <v>0</v>
      </c>
      <c r="AD49" s="1014"/>
      <c r="AE49" s="1016"/>
      <c r="AF49" s="997"/>
      <c r="AG49" s="998">
        <f t="shared" ref="AG49:AH49" si="84">F49+H49+J49+L49+N49+P49+R49+T49+V49+X49+Z49+AB49+AD49</f>
        <v>2</v>
      </c>
      <c r="AH49" s="999">
        <f t="shared" si="84"/>
        <v>11</v>
      </c>
      <c r="AI49" s="1000">
        <f t="shared" ref="AI49:AJ49" si="85">J49+H49+L49+N49+P49+R49+T49+V49+X49+Z49+AB49+AD49</f>
        <v>0</v>
      </c>
      <c r="AJ49" s="1001">
        <f t="shared" si="85"/>
        <v>2</v>
      </c>
      <c r="AK49" s="522"/>
      <c r="AL49" s="522"/>
      <c r="AM49" s="1002"/>
    </row>
    <row r="50" spans="1:39" ht="26.25" customHeight="1">
      <c r="A50" s="1003">
        <v>41</v>
      </c>
      <c r="B50" s="1029" t="s">
        <v>652</v>
      </c>
      <c r="C50" s="1005" t="s">
        <v>2988</v>
      </c>
      <c r="D50" s="885" t="s">
        <v>2950</v>
      </c>
      <c r="E50" s="1007">
        <v>3</v>
      </c>
      <c r="F50" s="1008">
        <v>3</v>
      </c>
      <c r="G50" s="1009">
        <v>37</v>
      </c>
      <c r="H50" s="1010"/>
      <c r="I50" s="1011"/>
      <c r="J50" s="1008">
        <v>0</v>
      </c>
      <c r="K50" s="1012">
        <v>1</v>
      </c>
      <c r="L50" s="1013">
        <v>0</v>
      </c>
      <c r="M50" s="1013">
        <v>0</v>
      </c>
      <c r="N50" s="1014">
        <v>0</v>
      </c>
      <c r="O50" s="1015">
        <v>2</v>
      </c>
      <c r="P50" s="994">
        <v>0</v>
      </c>
      <c r="Q50" s="994">
        <v>4</v>
      </c>
      <c r="R50" s="994">
        <v>0</v>
      </c>
      <c r="S50" s="994">
        <v>1</v>
      </c>
      <c r="T50" s="994">
        <v>0</v>
      </c>
      <c r="U50" s="994">
        <v>0</v>
      </c>
      <c r="V50" s="994">
        <v>0</v>
      </c>
      <c r="W50" s="994">
        <v>2</v>
      </c>
      <c r="X50" s="994">
        <v>0</v>
      </c>
      <c r="Y50" s="994">
        <v>0</v>
      </c>
      <c r="Z50" s="994">
        <v>0</v>
      </c>
      <c r="AA50" s="994">
        <v>1</v>
      </c>
      <c r="AB50" s="994">
        <v>0</v>
      </c>
      <c r="AC50" s="994">
        <v>0</v>
      </c>
      <c r="AD50" s="1014"/>
      <c r="AE50" s="1016"/>
      <c r="AF50" s="997"/>
      <c r="AG50" s="998">
        <f t="shared" ref="AG50:AH50" si="86">F50+H50+J50+L50+N50+P50+R50+T50+V50+X50+Z50+AB50+AD50</f>
        <v>3</v>
      </c>
      <c r="AH50" s="999">
        <f t="shared" si="86"/>
        <v>48</v>
      </c>
      <c r="AI50" s="1000">
        <f t="shared" ref="AI50:AJ50" si="87">J50+H50+L50+N50+P50+R50+T50+V50+X50+Z50+AB50+AD50</f>
        <v>0</v>
      </c>
      <c r="AJ50" s="1001">
        <f t="shared" si="87"/>
        <v>11</v>
      </c>
      <c r="AK50" s="522"/>
      <c r="AL50" s="522"/>
      <c r="AM50" s="1002"/>
    </row>
    <row r="51" spans="1:39" ht="26.25" customHeight="1">
      <c r="A51" s="982">
        <v>42</v>
      </c>
      <c r="B51" s="1004" t="s">
        <v>360</v>
      </c>
      <c r="C51" s="1005" t="s">
        <v>2989</v>
      </c>
      <c r="D51" s="885" t="s">
        <v>2965</v>
      </c>
      <c r="E51" s="1007">
        <v>4</v>
      </c>
      <c r="F51" s="1008">
        <v>10</v>
      </c>
      <c r="G51" s="1009">
        <v>24</v>
      </c>
      <c r="H51" s="1010"/>
      <c r="I51" s="1011"/>
      <c r="J51" s="1008">
        <v>0</v>
      </c>
      <c r="K51" s="1012">
        <v>0</v>
      </c>
      <c r="L51" s="1013">
        <v>0</v>
      </c>
      <c r="M51" s="1013">
        <v>0</v>
      </c>
      <c r="N51" s="1014">
        <v>0</v>
      </c>
      <c r="O51" s="1015">
        <v>0</v>
      </c>
      <c r="P51" s="994">
        <v>0</v>
      </c>
      <c r="Q51" s="994">
        <v>2</v>
      </c>
      <c r="R51" s="994">
        <v>0</v>
      </c>
      <c r="S51" s="994">
        <v>5</v>
      </c>
      <c r="T51" s="994">
        <v>0</v>
      </c>
      <c r="U51" s="994">
        <v>0</v>
      </c>
      <c r="V51" s="994">
        <v>1</v>
      </c>
      <c r="W51" s="994">
        <v>1</v>
      </c>
      <c r="X51" s="994">
        <v>0</v>
      </c>
      <c r="Y51" s="994">
        <v>1</v>
      </c>
      <c r="Z51" s="994">
        <v>0</v>
      </c>
      <c r="AA51" s="994">
        <v>0</v>
      </c>
      <c r="AB51" s="994">
        <v>1</v>
      </c>
      <c r="AC51" s="994">
        <v>0</v>
      </c>
      <c r="AD51" s="1014"/>
      <c r="AE51" s="1016"/>
      <c r="AF51" s="997"/>
      <c r="AG51" s="998">
        <f t="shared" ref="AG51:AH51" si="88">F51+H51+J51+L51+N51+P51+R51+T51+V51+X51+Z51+AB51+AD51</f>
        <v>12</v>
      </c>
      <c r="AH51" s="999">
        <f t="shared" si="88"/>
        <v>33</v>
      </c>
      <c r="AI51" s="1000">
        <f t="shared" ref="AI51:AJ51" si="89">J51+H51+L51+N51+P51+R51+T51+V51+X51+Z51+AB51+AD51</f>
        <v>2</v>
      </c>
      <c r="AJ51" s="1001">
        <f t="shared" si="89"/>
        <v>9</v>
      </c>
      <c r="AK51" s="522"/>
      <c r="AL51" s="522"/>
      <c r="AM51" s="1002"/>
    </row>
    <row r="52" spans="1:39" ht="26.25" customHeight="1">
      <c r="A52" s="1003">
        <v>43</v>
      </c>
      <c r="B52" s="1004" t="s">
        <v>112</v>
      </c>
      <c r="C52" s="1005" t="s">
        <v>2990</v>
      </c>
      <c r="D52" s="885" t="s">
        <v>2932</v>
      </c>
      <c r="E52" s="1007">
        <v>3</v>
      </c>
      <c r="F52" s="1008">
        <v>12</v>
      </c>
      <c r="G52" s="1009">
        <v>30</v>
      </c>
      <c r="H52" s="1010"/>
      <c r="I52" s="1011"/>
      <c r="J52" s="1008">
        <v>0</v>
      </c>
      <c r="K52" s="1012">
        <v>0</v>
      </c>
      <c r="L52" s="1013">
        <v>1</v>
      </c>
      <c r="M52" s="1013">
        <v>1</v>
      </c>
      <c r="N52" s="1014">
        <v>0</v>
      </c>
      <c r="O52" s="1015">
        <v>1</v>
      </c>
      <c r="P52" s="994">
        <v>1</v>
      </c>
      <c r="Q52" s="994">
        <v>0</v>
      </c>
      <c r="R52" s="994">
        <v>0</v>
      </c>
      <c r="S52" s="994">
        <v>1</v>
      </c>
      <c r="T52" s="994">
        <v>1</v>
      </c>
      <c r="U52" s="994">
        <v>2</v>
      </c>
      <c r="V52" s="994">
        <v>0</v>
      </c>
      <c r="W52" s="994">
        <v>2</v>
      </c>
      <c r="X52" s="994">
        <v>0</v>
      </c>
      <c r="Y52" s="994">
        <v>1</v>
      </c>
      <c r="Z52" s="994">
        <v>0</v>
      </c>
      <c r="AA52" s="994">
        <v>0</v>
      </c>
      <c r="AB52" s="994">
        <v>1</v>
      </c>
      <c r="AC52" s="994">
        <v>3</v>
      </c>
      <c r="AD52" s="1014"/>
      <c r="AE52" s="1016"/>
      <c r="AF52" s="997"/>
      <c r="AG52" s="998">
        <f t="shared" ref="AG52:AH52" si="90">F52+H52+J52+L52+N52+P52+R52+T52+V52+X52+Z52+AB52+AD52</f>
        <v>16</v>
      </c>
      <c r="AH52" s="999">
        <f t="shared" si="90"/>
        <v>41</v>
      </c>
      <c r="AI52" s="1000">
        <f t="shared" ref="AI52:AJ52" si="91">J52+H52+L52+N52+P52+R52+T52+V52+X52+Z52+AB52+AD52</f>
        <v>4</v>
      </c>
      <c r="AJ52" s="1001">
        <f t="shared" si="91"/>
        <v>11</v>
      </c>
      <c r="AK52" s="522"/>
      <c r="AL52" s="522"/>
      <c r="AM52" s="1002"/>
    </row>
    <row r="53" spans="1:39" ht="26.25" customHeight="1">
      <c r="A53" s="982">
        <v>44</v>
      </c>
      <c r="B53" s="1004" t="s">
        <v>2991</v>
      </c>
      <c r="C53" s="1005" t="s">
        <v>2992</v>
      </c>
      <c r="D53" s="885" t="s">
        <v>2959</v>
      </c>
      <c r="E53" s="1007">
        <v>2</v>
      </c>
      <c r="F53" s="1008">
        <v>8</v>
      </c>
      <c r="G53" s="1009">
        <v>6</v>
      </c>
      <c r="H53" s="1010"/>
      <c r="I53" s="1011"/>
      <c r="J53" s="1008">
        <v>0</v>
      </c>
      <c r="K53" s="1012">
        <v>0</v>
      </c>
      <c r="L53" s="1013">
        <v>0</v>
      </c>
      <c r="M53" s="1013">
        <v>0</v>
      </c>
      <c r="N53" s="1014">
        <v>0</v>
      </c>
      <c r="O53" s="1015">
        <v>0</v>
      </c>
      <c r="P53" s="994">
        <v>0</v>
      </c>
      <c r="Q53" s="994">
        <v>1</v>
      </c>
      <c r="R53" s="994">
        <v>0</v>
      </c>
      <c r="S53" s="994">
        <v>4</v>
      </c>
      <c r="T53" s="994">
        <v>0</v>
      </c>
      <c r="U53" s="994">
        <v>1</v>
      </c>
      <c r="V53" s="994">
        <v>1</v>
      </c>
      <c r="W53" s="994">
        <v>1</v>
      </c>
      <c r="X53" s="994">
        <v>0</v>
      </c>
      <c r="Y53" s="994">
        <v>1</v>
      </c>
      <c r="Z53" s="994">
        <v>0</v>
      </c>
      <c r="AA53" s="994">
        <v>0</v>
      </c>
      <c r="AB53" s="994">
        <v>1</v>
      </c>
      <c r="AC53" s="994">
        <v>0</v>
      </c>
      <c r="AD53" s="1014"/>
      <c r="AE53" s="1016"/>
      <c r="AF53" s="997"/>
      <c r="AG53" s="998">
        <f t="shared" ref="AG53:AH53" si="92">F53+H53+J53+L53+N53+P53+R53+T53+V53+X53+Z53+AB53+AD53</f>
        <v>10</v>
      </c>
      <c r="AH53" s="999">
        <f t="shared" si="92"/>
        <v>14</v>
      </c>
      <c r="AI53" s="1000">
        <f t="shared" ref="AI53:AJ53" si="93">J53+H53+L53+N53+P53+R53+T53+V53+X53+Z53+AB53+AD53</f>
        <v>2</v>
      </c>
      <c r="AJ53" s="1001">
        <f t="shared" si="93"/>
        <v>8</v>
      </c>
      <c r="AK53" s="522"/>
      <c r="AL53" s="522"/>
      <c r="AM53" s="1002"/>
    </row>
    <row r="54" spans="1:39" ht="26.25" customHeight="1">
      <c r="A54" s="1003">
        <v>45</v>
      </c>
      <c r="B54" s="1004" t="s">
        <v>136</v>
      </c>
      <c r="C54" s="1005" t="s">
        <v>2993</v>
      </c>
      <c r="D54" s="885" t="s">
        <v>2932</v>
      </c>
      <c r="E54" s="1007">
        <v>3</v>
      </c>
      <c r="F54" s="1008">
        <v>16</v>
      </c>
      <c r="G54" s="1009">
        <v>22</v>
      </c>
      <c r="H54" s="1010"/>
      <c r="I54" s="1011"/>
      <c r="J54" s="1008">
        <v>0</v>
      </c>
      <c r="K54" s="1012">
        <v>1</v>
      </c>
      <c r="L54" s="1013">
        <v>0</v>
      </c>
      <c r="M54" s="1013">
        <v>2</v>
      </c>
      <c r="N54" s="1014">
        <v>0</v>
      </c>
      <c r="O54" s="1015">
        <v>2</v>
      </c>
      <c r="P54" s="994">
        <v>0</v>
      </c>
      <c r="Q54" s="994">
        <v>3</v>
      </c>
      <c r="R54" s="994">
        <v>0</v>
      </c>
      <c r="S54" s="994">
        <v>0</v>
      </c>
      <c r="T54" s="994">
        <v>0</v>
      </c>
      <c r="U54" s="994">
        <v>1</v>
      </c>
      <c r="V54" s="994">
        <v>0</v>
      </c>
      <c r="W54" s="994">
        <v>0</v>
      </c>
      <c r="X54" s="994">
        <v>0</v>
      </c>
      <c r="Y54" s="994">
        <v>0</v>
      </c>
      <c r="Z54" s="994">
        <v>0</v>
      </c>
      <c r="AA54" s="994">
        <v>1</v>
      </c>
      <c r="AB54" s="994">
        <v>0</v>
      </c>
      <c r="AC54" s="994">
        <v>3</v>
      </c>
      <c r="AD54" s="1014"/>
      <c r="AE54" s="1016"/>
      <c r="AF54" s="997"/>
      <c r="AG54" s="998">
        <f t="shared" ref="AG54:AH54" si="94">F54+H54+J54+L54+N54+P54+R54+T54+V54+X54+Z54+AB54+AD54</f>
        <v>16</v>
      </c>
      <c r="AH54" s="999">
        <f t="shared" si="94"/>
        <v>35</v>
      </c>
      <c r="AI54" s="1000">
        <f t="shared" ref="AI54:AJ54" si="95">J54+H54+L54+N54+P54+R54+T54+V54+X54+Z54+AB54+AD54</f>
        <v>0</v>
      </c>
      <c r="AJ54" s="1001">
        <f t="shared" si="95"/>
        <v>13</v>
      </c>
      <c r="AK54" s="522"/>
      <c r="AL54" s="522"/>
      <c r="AM54" s="1002"/>
    </row>
    <row r="55" spans="1:39" ht="26.25" customHeight="1">
      <c r="A55" s="982">
        <v>46</v>
      </c>
      <c r="B55" s="1004" t="s">
        <v>260</v>
      </c>
      <c r="C55" s="1005" t="s">
        <v>2994</v>
      </c>
      <c r="D55" s="885" t="s">
        <v>2948</v>
      </c>
      <c r="E55" s="1007">
        <v>6</v>
      </c>
      <c r="F55" s="1008">
        <v>33</v>
      </c>
      <c r="G55" s="1009">
        <v>85</v>
      </c>
      <c r="H55" s="1010"/>
      <c r="I55" s="1011"/>
      <c r="J55" s="1008">
        <v>0</v>
      </c>
      <c r="K55" s="1012">
        <v>2</v>
      </c>
      <c r="L55" s="1013">
        <v>0</v>
      </c>
      <c r="M55" s="1013">
        <v>4</v>
      </c>
      <c r="N55" s="1014">
        <v>0</v>
      </c>
      <c r="O55" s="1015">
        <v>3</v>
      </c>
      <c r="P55" s="994">
        <v>1</v>
      </c>
      <c r="Q55" s="994">
        <v>3</v>
      </c>
      <c r="R55" s="994">
        <v>0</v>
      </c>
      <c r="S55" s="994">
        <v>2</v>
      </c>
      <c r="T55" s="994">
        <v>1</v>
      </c>
      <c r="U55" s="994">
        <v>1</v>
      </c>
      <c r="V55" s="994">
        <v>0</v>
      </c>
      <c r="W55" s="994">
        <v>3</v>
      </c>
      <c r="X55" s="994">
        <v>0</v>
      </c>
      <c r="Y55" s="994">
        <v>0</v>
      </c>
      <c r="Z55" s="994">
        <v>0</v>
      </c>
      <c r="AA55" s="994">
        <v>1</v>
      </c>
      <c r="AB55" s="994">
        <v>1</v>
      </c>
      <c r="AC55" s="994">
        <v>1</v>
      </c>
      <c r="AD55" s="1014"/>
      <c r="AE55" s="1016"/>
      <c r="AF55" s="997"/>
      <c r="AG55" s="998">
        <f t="shared" ref="AG55:AH55" si="96">F55+H55+J55+L55+N55+P55+R55+T55+V55+X55+Z55+AB55+AD55</f>
        <v>36</v>
      </c>
      <c r="AH55" s="999">
        <f t="shared" si="96"/>
        <v>105</v>
      </c>
      <c r="AI55" s="1000">
        <f t="shared" ref="AI55:AJ55" si="97">J55+H55+L55+N55+P55+R55+T55+V55+X55+Z55+AB55+AD55</f>
        <v>3</v>
      </c>
      <c r="AJ55" s="1001">
        <f t="shared" si="97"/>
        <v>20</v>
      </c>
      <c r="AK55" s="522"/>
      <c r="AL55" s="522"/>
      <c r="AM55" s="1002"/>
    </row>
    <row r="56" spans="1:39" ht="26.25" customHeight="1">
      <c r="A56" s="1003">
        <v>47</v>
      </c>
      <c r="B56" s="1004" t="s">
        <v>193</v>
      </c>
      <c r="C56" s="1005" t="s">
        <v>2995</v>
      </c>
      <c r="D56" s="885" t="s">
        <v>2948</v>
      </c>
      <c r="E56" s="1007">
        <v>3</v>
      </c>
      <c r="F56" s="1008">
        <v>8</v>
      </c>
      <c r="G56" s="1009">
        <v>27</v>
      </c>
      <c r="H56" s="1010"/>
      <c r="I56" s="1011"/>
      <c r="J56" s="1008">
        <v>0</v>
      </c>
      <c r="K56" s="1012">
        <v>1</v>
      </c>
      <c r="L56" s="1013">
        <v>0</v>
      </c>
      <c r="M56" s="1013">
        <v>0</v>
      </c>
      <c r="N56" s="1014">
        <v>0</v>
      </c>
      <c r="O56" s="1015">
        <v>0</v>
      </c>
      <c r="P56" s="994">
        <v>0</v>
      </c>
      <c r="Q56" s="994">
        <v>0</v>
      </c>
      <c r="R56" s="994">
        <v>0</v>
      </c>
      <c r="S56" s="994">
        <v>1</v>
      </c>
      <c r="T56" s="994">
        <v>0</v>
      </c>
      <c r="U56" s="994">
        <v>2</v>
      </c>
      <c r="V56" s="994">
        <v>0</v>
      </c>
      <c r="W56" s="994">
        <v>0</v>
      </c>
      <c r="X56" s="994">
        <v>0</v>
      </c>
      <c r="Y56" s="994">
        <v>0</v>
      </c>
      <c r="Z56" s="994">
        <v>0</v>
      </c>
      <c r="AA56" s="994">
        <v>0</v>
      </c>
      <c r="AB56" s="994">
        <v>0</v>
      </c>
      <c r="AC56" s="994">
        <v>0</v>
      </c>
      <c r="AD56" s="1014"/>
      <c r="AE56" s="1016"/>
      <c r="AF56" s="997"/>
      <c r="AG56" s="998">
        <f t="shared" ref="AG56:AH56" si="98">F56+H56+J56+L56+N56+P56+R56+T56+V56+X56+Z56+AB56+AD56</f>
        <v>8</v>
      </c>
      <c r="AH56" s="999">
        <f t="shared" si="98"/>
        <v>31</v>
      </c>
      <c r="AI56" s="1000">
        <f t="shared" ref="AI56:AJ56" si="99">J56+H56+L56+N56+P56+R56+T56+V56+X56+Z56+AB56+AD56</f>
        <v>0</v>
      </c>
      <c r="AJ56" s="1001">
        <f t="shared" si="99"/>
        <v>4</v>
      </c>
      <c r="AK56" s="522"/>
      <c r="AL56" s="522"/>
      <c r="AM56" s="1002"/>
    </row>
    <row r="57" spans="1:39" ht="26.25" customHeight="1">
      <c r="A57" s="982">
        <v>48</v>
      </c>
      <c r="B57" s="1004" t="s">
        <v>698</v>
      </c>
      <c r="C57" s="1005" t="s">
        <v>2996</v>
      </c>
      <c r="D57" s="885" t="s">
        <v>2959</v>
      </c>
      <c r="E57" s="1007"/>
      <c r="F57" s="1008"/>
      <c r="G57" s="1018"/>
      <c r="H57" s="1010"/>
      <c r="I57" s="1011"/>
      <c r="J57" s="1008">
        <v>0</v>
      </c>
      <c r="K57" s="1012">
        <v>0</v>
      </c>
      <c r="L57" s="1013">
        <v>0</v>
      </c>
      <c r="M57" s="1013">
        <v>0</v>
      </c>
      <c r="N57" s="1014">
        <v>0</v>
      </c>
      <c r="O57" s="1015">
        <v>0</v>
      </c>
      <c r="P57" s="994">
        <v>0</v>
      </c>
      <c r="Q57" s="994">
        <v>0</v>
      </c>
      <c r="R57" s="994">
        <v>0</v>
      </c>
      <c r="S57" s="994">
        <v>0</v>
      </c>
      <c r="T57" s="994">
        <v>0</v>
      </c>
      <c r="U57" s="994">
        <v>0</v>
      </c>
      <c r="V57" s="994">
        <v>0</v>
      </c>
      <c r="W57" s="994">
        <v>0</v>
      </c>
      <c r="X57" s="994">
        <v>0</v>
      </c>
      <c r="Y57" s="994">
        <v>0</v>
      </c>
      <c r="Z57" s="994">
        <v>0</v>
      </c>
      <c r="AA57" s="994">
        <v>0</v>
      </c>
      <c r="AB57" s="994">
        <v>0</v>
      </c>
      <c r="AC57" s="994">
        <v>0</v>
      </c>
      <c r="AD57" s="1014"/>
      <c r="AE57" s="1016"/>
      <c r="AF57" s="997"/>
      <c r="AG57" s="998">
        <f t="shared" ref="AG57:AH57" si="100">F57+H57+J57+L57+N57+P57+R57+T57+V57+X57+Z57+AB57+AD57</f>
        <v>0</v>
      </c>
      <c r="AH57" s="999">
        <f t="shared" si="100"/>
        <v>0</v>
      </c>
      <c r="AI57" s="1000">
        <f t="shared" ref="AI57:AJ57" si="101">J57+H57+L57+N57+P57+R57+T57+V57+X57+Z57+AB57+AD57</f>
        <v>0</v>
      </c>
      <c r="AJ57" s="1001">
        <f t="shared" si="101"/>
        <v>0</v>
      </c>
      <c r="AK57" s="522"/>
      <c r="AL57" s="522"/>
      <c r="AM57" s="1002"/>
    </row>
    <row r="58" spans="1:39" ht="26.25" customHeight="1">
      <c r="A58" s="1003">
        <v>49</v>
      </c>
      <c r="B58" s="1004" t="s">
        <v>664</v>
      </c>
      <c r="C58" s="1031" t="s">
        <v>2997</v>
      </c>
      <c r="D58" s="547" t="s">
        <v>2998</v>
      </c>
      <c r="E58" s="1032"/>
      <c r="F58" s="1010"/>
      <c r="G58" s="1033"/>
      <c r="H58" s="1010"/>
      <c r="I58" s="1011"/>
      <c r="J58" s="1034"/>
      <c r="K58" s="1035"/>
      <c r="L58" s="1014"/>
      <c r="M58" s="1016"/>
      <c r="N58" s="1014">
        <v>0</v>
      </c>
      <c r="O58" s="1015">
        <v>0</v>
      </c>
      <c r="P58" s="994">
        <v>0</v>
      </c>
      <c r="Q58" s="994">
        <v>0</v>
      </c>
      <c r="R58" s="994">
        <v>0</v>
      </c>
      <c r="S58" s="994">
        <v>0</v>
      </c>
      <c r="T58" s="994">
        <v>0</v>
      </c>
      <c r="U58" s="994">
        <v>0</v>
      </c>
      <c r="V58" s="994">
        <v>0</v>
      </c>
      <c r="W58" s="994">
        <v>0</v>
      </c>
      <c r="X58" s="994">
        <v>0</v>
      </c>
      <c r="Y58" s="994">
        <v>0</v>
      </c>
      <c r="Z58" s="994">
        <v>0</v>
      </c>
      <c r="AA58" s="994">
        <v>0</v>
      </c>
      <c r="AB58" s="994">
        <v>0</v>
      </c>
      <c r="AC58" s="994">
        <v>0</v>
      </c>
      <c r="AD58" s="1014"/>
      <c r="AE58" s="1016"/>
      <c r="AF58" s="997"/>
      <c r="AG58" s="998">
        <f t="shared" ref="AG58:AH58" si="102">F58+H58+J58+L58+N58+P58+R58+T58+V58+X58+Z58+AB58+AD58</f>
        <v>0</v>
      </c>
      <c r="AH58" s="999">
        <f t="shared" si="102"/>
        <v>0</v>
      </c>
      <c r="AI58" s="1000">
        <f t="shared" ref="AI58:AJ58" si="103">J58+H58+L58+N58+P58+R58+T58+V58+X58+Z58+AB58+AD58</f>
        <v>0</v>
      </c>
      <c r="AJ58" s="1001">
        <f t="shared" si="103"/>
        <v>0</v>
      </c>
      <c r="AK58" s="522"/>
      <c r="AL58" s="522"/>
      <c r="AM58" s="1002"/>
    </row>
    <row r="59" spans="1:39" ht="26.25" customHeight="1">
      <c r="A59" s="982">
        <v>50</v>
      </c>
      <c r="B59" s="1004" t="s">
        <v>2380</v>
      </c>
      <c r="C59" s="1036"/>
      <c r="D59" s="547" t="s">
        <v>2999</v>
      </c>
      <c r="E59" s="1032"/>
      <c r="F59" s="1010"/>
      <c r="G59" s="1033"/>
      <c r="H59" s="1010"/>
      <c r="I59" s="1011"/>
      <c r="J59" s="1034"/>
      <c r="K59" s="1035"/>
      <c r="L59" s="1014"/>
      <c r="M59" s="1016"/>
      <c r="N59" s="1014">
        <v>0</v>
      </c>
      <c r="O59" s="1015">
        <v>0</v>
      </c>
      <c r="P59" s="994">
        <v>0</v>
      </c>
      <c r="Q59" s="994">
        <v>0</v>
      </c>
      <c r="R59" s="994">
        <v>0</v>
      </c>
      <c r="S59" s="994">
        <v>0</v>
      </c>
      <c r="T59" s="994">
        <v>0</v>
      </c>
      <c r="U59" s="994">
        <v>0</v>
      </c>
      <c r="V59" s="994">
        <v>0</v>
      </c>
      <c r="W59" s="994">
        <v>0</v>
      </c>
      <c r="X59" s="994">
        <v>0</v>
      </c>
      <c r="Y59" s="994">
        <v>0</v>
      </c>
      <c r="Z59" s="994">
        <v>0</v>
      </c>
      <c r="AA59" s="994">
        <v>0</v>
      </c>
      <c r="AB59" s="994">
        <v>0</v>
      </c>
      <c r="AC59" s="994">
        <v>0</v>
      </c>
      <c r="AD59" s="1014"/>
      <c r="AE59" s="1016"/>
      <c r="AF59" s="997"/>
      <c r="AG59" s="998">
        <f t="shared" ref="AG59:AH59" si="104">F59+H59+J59+L59+N59+P59+R59+T59+V59+X59+Z59+AB59+AD59</f>
        <v>0</v>
      </c>
      <c r="AH59" s="999">
        <f t="shared" si="104"/>
        <v>0</v>
      </c>
      <c r="AI59" s="1000">
        <f t="shared" ref="AI59:AJ59" si="105">J59+H59+L59+N59+P59+R59+T59+V59+X59+Z59+AB59+AD59</f>
        <v>0</v>
      </c>
      <c r="AJ59" s="1001">
        <f t="shared" si="105"/>
        <v>0</v>
      </c>
      <c r="AK59" s="522"/>
      <c r="AL59" s="522"/>
      <c r="AM59" s="1002"/>
    </row>
    <row r="60" spans="1:39" ht="26.25" customHeight="1">
      <c r="A60" s="1003"/>
      <c r="B60" s="1019" t="s">
        <v>137</v>
      </c>
      <c r="C60" s="1037" t="s">
        <v>3000</v>
      </c>
      <c r="D60" s="547" t="s">
        <v>3001</v>
      </c>
      <c r="E60" s="1032">
        <v>1</v>
      </c>
      <c r="F60" s="1010">
        <v>7</v>
      </c>
      <c r="G60" s="1033">
        <v>27</v>
      </c>
      <c r="H60" s="1010"/>
      <c r="I60" s="1011"/>
      <c r="J60" s="1010">
        <v>0</v>
      </c>
      <c r="K60" s="1011">
        <v>0</v>
      </c>
      <c r="L60" s="1014">
        <v>0</v>
      </c>
      <c r="M60" s="1016">
        <v>0</v>
      </c>
      <c r="N60" s="1014">
        <v>0</v>
      </c>
      <c r="O60" s="1015">
        <v>2</v>
      </c>
      <c r="P60" s="994">
        <v>0</v>
      </c>
      <c r="Q60" s="994">
        <v>2</v>
      </c>
      <c r="R60" s="994">
        <v>0</v>
      </c>
      <c r="S60" s="1027">
        <v>0</v>
      </c>
      <c r="T60" s="994">
        <v>0</v>
      </c>
      <c r="U60" s="994">
        <v>0</v>
      </c>
      <c r="V60" s="994">
        <v>0</v>
      </c>
      <c r="W60" s="994">
        <v>0</v>
      </c>
      <c r="X60" s="994">
        <v>1</v>
      </c>
      <c r="Y60" s="994">
        <v>0</v>
      </c>
      <c r="Z60" s="994">
        <v>0</v>
      </c>
      <c r="AA60" s="994">
        <v>0</v>
      </c>
      <c r="AB60" s="994">
        <v>0</v>
      </c>
      <c r="AC60" s="994">
        <v>0</v>
      </c>
      <c r="AD60" s="1014"/>
      <c r="AE60" s="1016"/>
      <c r="AF60" s="997"/>
      <c r="AG60" s="998">
        <f t="shared" ref="AG60:AH60" si="106">F60+H60+J60+L60+N60+P60+R60+T60+V60+X60+Z60+AB60+AD60</f>
        <v>8</v>
      </c>
      <c r="AH60" s="999">
        <f t="shared" si="106"/>
        <v>31</v>
      </c>
      <c r="AI60" s="1000">
        <f t="shared" ref="AI60:AJ60" si="107">J60+H60+L60+N60+P60+R60+T60+V60+X60+Z60+AB60+AD60</f>
        <v>1</v>
      </c>
      <c r="AJ60" s="1001">
        <f t="shared" si="107"/>
        <v>4</v>
      </c>
      <c r="AK60" s="522"/>
      <c r="AL60" s="522"/>
      <c r="AM60" s="1002"/>
    </row>
    <row r="61" spans="1:39" ht="26.25" customHeight="1">
      <c r="A61" s="982">
        <v>51</v>
      </c>
      <c r="B61" s="1004" t="s">
        <v>699</v>
      </c>
      <c r="C61" s="885"/>
      <c r="D61" s="547" t="s">
        <v>2965</v>
      </c>
      <c r="E61" s="1032"/>
      <c r="F61" s="1010"/>
      <c r="G61" s="1033"/>
      <c r="H61" s="1010"/>
      <c r="I61" s="1011"/>
      <c r="J61" s="1010"/>
      <c r="K61" s="1011"/>
      <c r="L61" s="1014"/>
      <c r="M61" s="1016"/>
      <c r="N61" s="1014">
        <v>0</v>
      </c>
      <c r="O61" s="1015">
        <v>0</v>
      </c>
      <c r="P61" s="994">
        <v>0</v>
      </c>
      <c r="Q61" s="994">
        <v>0</v>
      </c>
      <c r="R61" s="994">
        <v>0</v>
      </c>
      <c r="S61" s="994">
        <v>0</v>
      </c>
      <c r="T61" s="994">
        <v>0</v>
      </c>
      <c r="U61" s="994">
        <v>0</v>
      </c>
      <c r="V61" s="994">
        <v>0</v>
      </c>
      <c r="W61" s="994">
        <v>0</v>
      </c>
      <c r="X61" s="994">
        <v>0</v>
      </c>
      <c r="Y61" s="994">
        <v>0</v>
      </c>
      <c r="Z61" s="994">
        <v>0</v>
      </c>
      <c r="AA61" s="994">
        <v>0</v>
      </c>
      <c r="AB61" s="994">
        <v>0</v>
      </c>
      <c r="AC61" s="994">
        <v>0</v>
      </c>
      <c r="AD61" s="1014"/>
      <c r="AE61" s="1016"/>
      <c r="AF61" s="997"/>
      <c r="AG61" s="998">
        <f t="shared" ref="AG61:AH61" si="108">F61+H61+J61+L61+N61+P61+R61+T61+V61+X61+Z61+AB61+AD61</f>
        <v>0</v>
      </c>
      <c r="AH61" s="999">
        <f t="shared" si="108"/>
        <v>0</v>
      </c>
      <c r="AI61" s="1000">
        <f t="shared" ref="AI61:AJ61" si="109">J61+H61+L61+N61+P61+R61+T61+V61+X61+Z61+AB61+AD61</f>
        <v>0</v>
      </c>
      <c r="AJ61" s="1001">
        <f t="shared" si="109"/>
        <v>0</v>
      </c>
      <c r="AK61" s="522"/>
      <c r="AL61" s="522"/>
      <c r="AM61" s="1002"/>
    </row>
    <row r="62" spans="1:39" ht="26.25" customHeight="1">
      <c r="A62" s="1003">
        <v>52</v>
      </c>
      <c r="B62" s="1038" t="s">
        <v>3002</v>
      </c>
      <c r="C62" s="1039" t="s">
        <v>3003</v>
      </c>
      <c r="D62" s="869" t="s">
        <v>3004</v>
      </c>
      <c r="E62" s="1032">
        <v>1</v>
      </c>
      <c r="F62" s="1010">
        <v>11</v>
      </c>
      <c r="G62" s="1033">
        <v>1</v>
      </c>
      <c r="H62" s="1010"/>
      <c r="I62" s="1011"/>
      <c r="J62" s="1010"/>
      <c r="K62" s="1011"/>
      <c r="L62" s="1014"/>
      <c r="M62" s="1016"/>
      <c r="N62" s="1014"/>
      <c r="O62" s="1015"/>
      <c r="P62" s="1014"/>
      <c r="Q62" s="1016"/>
      <c r="R62" s="994">
        <v>0</v>
      </c>
      <c r="S62" s="994">
        <v>4</v>
      </c>
      <c r="T62" s="994">
        <v>0</v>
      </c>
      <c r="U62" s="1027">
        <v>0</v>
      </c>
      <c r="V62" s="994">
        <v>0</v>
      </c>
      <c r="W62" s="994">
        <v>0</v>
      </c>
      <c r="X62" s="994">
        <v>0</v>
      </c>
      <c r="Y62" s="994">
        <v>0</v>
      </c>
      <c r="Z62" s="994">
        <v>0</v>
      </c>
      <c r="AA62" s="994">
        <v>0</v>
      </c>
      <c r="AB62" s="994">
        <v>0</v>
      </c>
      <c r="AC62" s="994">
        <v>0</v>
      </c>
      <c r="AD62" s="1014"/>
      <c r="AE62" s="1016"/>
      <c r="AF62" s="997"/>
      <c r="AG62" s="998">
        <f t="shared" ref="AG62:AH62" si="110">F62+H62+J62+L62+N62+P62+R62+T62+V62+X62+Z62+AB62+AD62</f>
        <v>11</v>
      </c>
      <c r="AH62" s="999">
        <f t="shared" si="110"/>
        <v>5</v>
      </c>
      <c r="AI62" s="1000">
        <f t="shared" ref="AI62:AJ62" si="111">J62+H62+L62+N62+P62+R62+T62+V62+X62+Z62+AB62+AD62</f>
        <v>0</v>
      </c>
      <c r="AJ62" s="1001">
        <f t="shared" si="111"/>
        <v>4</v>
      </c>
      <c r="AK62" s="522"/>
      <c r="AL62" s="522"/>
      <c r="AM62" s="1002"/>
    </row>
    <row r="63" spans="1:39" ht="26.25" customHeight="1">
      <c r="A63" s="982">
        <v>53</v>
      </c>
      <c r="B63" s="1038" t="s">
        <v>671</v>
      </c>
      <c r="C63" s="1040"/>
      <c r="D63" s="869" t="s">
        <v>2950</v>
      </c>
      <c r="E63" s="1032"/>
      <c r="F63" s="1010"/>
      <c r="G63" s="1033"/>
      <c r="H63" s="1010"/>
      <c r="I63" s="1011"/>
      <c r="J63" s="1010"/>
      <c r="K63" s="1011"/>
      <c r="L63" s="1014"/>
      <c r="M63" s="1016"/>
      <c r="N63" s="1014"/>
      <c r="O63" s="1015"/>
      <c r="P63" s="1014"/>
      <c r="Q63" s="1016"/>
      <c r="R63" s="994">
        <v>0</v>
      </c>
      <c r="S63" s="994">
        <v>0</v>
      </c>
      <c r="T63" s="994">
        <v>0</v>
      </c>
      <c r="U63" s="994">
        <v>0</v>
      </c>
      <c r="V63" s="994">
        <v>0</v>
      </c>
      <c r="W63" s="994">
        <v>0</v>
      </c>
      <c r="X63" s="994">
        <v>0</v>
      </c>
      <c r="Y63" s="994">
        <v>0</v>
      </c>
      <c r="Z63" s="994">
        <v>0</v>
      </c>
      <c r="AA63" s="994">
        <v>0</v>
      </c>
      <c r="AB63" s="994">
        <v>0</v>
      </c>
      <c r="AC63" s="994">
        <v>0</v>
      </c>
      <c r="AD63" s="1014"/>
      <c r="AE63" s="1016"/>
      <c r="AF63" s="997"/>
      <c r="AG63" s="998">
        <f t="shared" ref="AG63:AH63" si="112">F63+H63+J63+L63+N63+P63+R63+T63+V63+X63+Z63+AB63+AD63</f>
        <v>0</v>
      </c>
      <c r="AH63" s="999">
        <f t="shared" si="112"/>
        <v>0</v>
      </c>
      <c r="AI63" s="1000">
        <f t="shared" ref="AI63:AJ63" si="113">J63+H63+L63+N63+P63+R63+T63+V63+X63+Z63+AB63+AD63</f>
        <v>0</v>
      </c>
      <c r="AJ63" s="1001">
        <f t="shared" si="113"/>
        <v>0</v>
      </c>
      <c r="AK63" s="522"/>
      <c r="AL63" s="522"/>
      <c r="AM63" s="1002"/>
    </row>
    <row r="64" spans="1:39" ht="26.25" customHeight="1">
      <c r="A64" s="1003">
        <v>54</v>
      </c>
      <c r="B64" s="1038" t="s">
        <v>626</v>
      </c>
      <c r="C64" s="1039" t="s">
        <v>3005</v>
      </c>
      <c r="D64" s="869" t="s">
        <v>2965</v>
      </c>
      <c r="E64" s="1032">
        <v>1</v>
      </c>
      <c r="F64" s="1010">
        <v>3</v>
      </c>
      <c r="G64" s="1033">
        <v>1</v>
      </c>
      <c r="H64" s="1010"/>
      <c r="I64" s="1011"/>
      <c r="J64" s="1010"/>
      <c r="K64" s="1011"/>
      <c r="L64" s="1014"/>
      <c r="M64" s="1016"/>
      <c r="N64" s="1014"/>
      <c r="O64" s="1015"/>
      <c r="P64" s="1014"/>
      <c r="Q64" s="1016"/>
      <c r="R64" s="994">
        <v>0</v>
      </c>
      <c r="S64" s="994">
        <v>0</v>
      </c>
      <c r="T64" s="994">
        <v>0</v>
      </c>
      <c r="U64" s="994">
        <v>0</v>
      </c>
      <c r="V64" s="994">
        <v>0</v>
      </c>
      <c r="W64" s="994">
        <v>0</v>
      </c>
      <c r="X64" s="994">
        <v>0</v>
      </c>
      <c r="Y64" s="994">
        <v>0</v>
      </c>
      <c r="Z64" s="994">
        <v>0</v>
      </c>
      <c r="AA64" s="994">
        <v>0</v>
      </c>
      <c r="AB64" s="994">
        <v>0</v>
      </c>
      <c r="AC64" s="994">
        <v>0</v>
      </c>
      <c r="AD64" s="1014"/>
      <c r="AE64" s="1016"/>
      <c r="AF64" s="997"/>
      <c r="AG64" s="998">
        <f t="shared" ref="AG64:AH64" si="114">F64+H64+J64+L64+N64+P64+R64+T64+V64+X64+Z64+AB64+AD64</f>
        <v>3</v>
      </c>
      <c r="AH64" s="999">
        <f t="shared" si="114"/>
        <v>1</v>
      </c>
      <c r="AI64" s="1000">
        <f t="shared" ref="AI64:AJ64" si="115">J64+H64+L64+N64+P64+R64+T64+V64+X64+Z64+AB64+AD64</f>
        <v>0</v>
      </c>
      <c r="AJ64" s="1001">
        <f t="shared" si="115"/>
        <v>0</v>
      </c>
      <c r="AK64" s="522"/>
      <c r="AL64" s="522"/>
      <c r="AM64" s="1002"/>
    </row>
    <row r="65" spans="1:39" ht="26.25" customHeight="1">
      <c r="A65" s="982">
        <v>55</v>
      </c>
      <c r="B65" s="1038" t="s">
        <v>94</v>
      </c>
      <c r="C65" s="885"/>
      <c r="D65" s="869" t="s">
        <v>2932</v>
      </c>
      <c r="E65" s="1032"/>
      <c r="F65" s="1010"/>
      <c r="G65" s="1033"/>
      <c r="H65" s="1010"/>
      <c r="I65" s="1011"/>
      <c r="J65" s="1010"/>
      <c r="K65" s="1011"/>
      <c r="L65" s="1014"/>
      <c r="M65" s="1016"/>
      <c r="N65" s="1014"/>
      <c r="O65" s="1015"/>
      <c r="P65" s="1014"/>
      <c r="Q65" s="1016"/>
      <c r="R65" s="994">
        <v>0</v>
      </c>
      <c r="S65" s="994">
        <v>0</v>
      </c>
      <c r="T65" s="994">
        <v>0</v>
      </c>
      <c r="U65" s="994">
        <v>0</v>
      </c>
      <c r="V65" s="994">
        <v>0</v>
      </c>
      <c r="W65" s="994">
        <v>0</v>
      </c>
      <c r="X65" s="994">
        <v>0</v>
      </c>
      <c r="Y65" s="994">
        <v>0</v>
      </c>
      <c r="Z65" s="994">
        <v>0</v>
      </c>
      <c r="AA65" s="994">
        <v>0</v>
      </c>
      <c r="AB65" s="994">
        <v>0</v>
      </c>
      <c r="AC65" s="994">
        <v>0</v>
      </c>
      <c r="AD65" s="1014"/>
      <c r="AE65" s="1016"/>
      <c r="AF65" s="997"/>
      <c r="AG65" s="998">
        <f t="shared" ref="AG65:AH65" si="116">F65+H65+J65+L65+N65+P65+R65+T65+V65+X65+Z65+AB65+AD65</f>
        <v>0</v>
      </c>
      <c r="AH65" s="999">
        <f t="shared" si="116"/>
        <v>0</v>
      </c>
      <c r="AI65" s="1000">
        <f t="shared" ref="AI65:AJ65" si="117">J65+H65+L65+N65+P65+R65+T65+V65+X65+Z65+AB65+AD65</f>
        <v>0</v>
      </c>
      <c r="AJ65" s="1001">
        <f t="shared" si="117"/>
        <v>0</v>
      </c>
      <c r="AK65" s="522"/>
      <c r="AL65" s="522"/>
      <c r="AM65" s="1002"/>
    </row>
    <row r="66" spans="1:39" ht="26.25" customHeight="1">
      <c r="A66" s="1003">
        <v>56</v>
      </c>
      <c r="B66" s="1004" t="s">
        <v>588</v>
      </c>
      <c r="C66" s="1031" t="s">
        <v>3006</v>
      </c>
      <c r="D66" s="547"/>
      <c r="E66" s="1032"/>
      <c r="F66" s="1010"/>
      <c r="G66" s="1033"/>
      <c r="H66" s="1010"/>
      <c r="I66" s="1011"/>
      <c r="J66" s="1010"/>
      <c r="K66" s="1011"/>
      <c r="L66" s="1014"/>
      <c r="M66" s="1016"/>
      <c r="N66" s="1014"/>
      <c r="O66" s="1015"/>
      <c r="P66" s="1014"/>
      <c r="Q66" s="1016"/>
      <c r="R66" s="1014"/>
      <c r="S66" s="1016"/>
      <c r="T66" s="1014"/>
      <c r="U66" s="1016"/>
      <c r="V66" s="994">
        <v>0</v>
      </c>
      <c r="W66" s="994">
        <v>0</v>
      </c>
      <c r="X66" s="994">
        <v>0</v>
      </c>
      <c r="Y66" s="994">
        <v>0</v>
      </c>
      <c r="Z66" s="1027">
        <v>3</v>
      </c>
      <c r="AA66" s="1027">
        <v>23</v>
      </c>
      <c r="AB66" s="994">
        <v>0</v>
      </c>
      <c r="AC66" s="994">
        <v>1</v>
      </c>
      <c r="AD66" s="1014"/>
      <c r="AE66" s="1016"/>
      <c r="AF66" s="997"/>
      <c r="AG66" s="998">
        <f t="shared" ref="AG66:AH66" si="118">F66+H66+J66+L66+N66+P66+R66+T66+V66+X66+Z66+AB66+AD66</f>
        <v>3</v>
      </c>
      <c r="AH66" s="999">
        <f t="shared" si="118"/>
        <v>24</v>
      </c>
      <c r="AI66" s="1000">
        <f t="shared" ref="AI66:AJ66" si="119">J66+H66+L66+N66+P66+R66+T66+V66+X66+Z66+AB66+AD66</f>
        <v>3</v>
      </c>
      <c r="AJ66" s="1001">
        <f t="shared" si="119"/>
        <v>24</v>
      </c>
      <c r="AK66" s="522"/>
      <c r="AL66" s="522"/>
      <c r="AM66" s="1002"/>
    </row>
    <row r="67" spans="1:39" ht="26.25" customHeight="1">
      <c r="A67" s="982">
        <v>57</v>
      </c>
      <c r="B67" s="885" t="s">
        <v>589</v>
      </c>
      <c r="C67" s="1041" t="s">
        <v>3007</v>
      </c>
      <c r="D67" s="622" t="s">
        <v>2932</v>
      </c>
      <c r="E67" s="1032">
        <v>4</v>
      </c>
      <c r="F67" s="1010">
        <v>9</v>
      </c>
      <c r="G67" s="1033">
        <v>26</v>
      </c>
      <c r="H67" s="1010"/>
      <c r="I67" s="1011"/>
      <c r="J67" s="1010"/>
      <c r="K67" s="1011"/>
      <c r="L67" s="1014"/>
      <c r="M67" s="1016"/>
      <c r="N67" s="1014"/>
      <c r="O67" s="1015"/>
      <c r="P67" s="1014"/>
      <c r="Q67" s="1016"/>
      <c r="R67" s="1014"/>
      <c r="S67" s="1016"/>
      <c r="T67" s="1014"/>
      <c r="U67" s="1016"/>
      <c r="V67" s="1014"/>
      <c r="W67" s="1016"/>
      <c r="X67" s="1014"/>
      <c r="Y67" s="1016"/>
      <c r="Z67" s="994">
        <v>1</v>
      </c>
      <c r="AA67" s="994">
        <v>20</v>
      </c>
      <c r="AB67" s="994">
        <v>0</v>
      </c>
      <c r="AC67" s="994">
        <v>0</v>
      </c>
      <c r="AD67" s="1014"/>
      <c r="AE67" s="1016"/>
      <c r="AF67" s="997"/>
      <c r="AG67" s="998">
        <f t="shared" ref="AG67:AH67" si="120">F67+H67+J67+L67+N67+P67+R67+T67+V67+X67+Z67+AB67+AD67</f>
        <v>10</v>
      </c>
      <c r="AH67" s="999">
        <f t="shared" si="120"/>
        <v>46</v>
      </c>
      <c r="AI67" s="1000">
        <f t="shared" ref="AI67:AJ67" si="121">J67+H67+L67+N67+P67+R67+T67+V67+X67+Z67+AB67+AD67</f>
        <v>1</v>
      </c>
      <c r="AJ67" s="1001">
        <f t="shared" si="121"/>
        <v>20</v>
      </c>
      <c r="AK67" s="522"/>
      <c r="AL67" s="522"/>
      <c r="AM67" s="1002"/>
    </row>
    <row r="68" spans="1:39" ht="26.25" customHeight="1">
      <c r="A68" s="1003">
        <v>58</v>
      </c>
      <c r="B68" s="885" t="s">
        <v>644</v>
      </c>
      <c r="C68" s="1041" t="s">
        <v>3008</v>
      </c>
      <c r="D68" s="622" t="s">
        <v>2935</v>
      </c>
      <c r="E68" s="1032">
        <v>4</v>
      </c>
      <c r="F68" s="1010">
        <v>12</v>
      </c>
      <c r="G68" s="1033">
        <v>38</v>
      </c>
      <c r="H68" s="1010"/>
      <c r="I68" s="1011"/>
      <c r="J68" s="1010"/>
      <c r="K68" s="1011"/>
      <c r="L68" s="1014"/>
      <c r="M68" s="1016"/>
      <c r="N68" s="1014"/>
      <c r="O68" s="1015"/>
      <c r="P68" s="1014"/>
      <c r="Q68" s="1016"/>
      <c r="R68" s="1014"/>
      <c r="S68" s="1016"/>
      <c r="T68" s="1014"/>
      <c r="U68" s="1016"/>
      <c r="V68" s="1014"/>
      <c r="W68" s="1016"/>
      <c r="X68" s="1014"/>
      <c r="Y68" s="1016"/>
      <c r="Z68" s="994">
        <v>1</v>
      </c>
      <c r="AA68" s="994">
        <v>3</v>
      </c>
      <c r="AB68" s="994">
        <v>0</v>
      </c>
      <c r="AC68" s="994">
        <v>0</v>
      </c>
      <c r="AD68" s="1014"/>
      <c r="AE68" s="1016"/>
      <c r="AF68" s="997"/>
      <c r="AG68" s="998">
        <f t="shared" ref="AG68:AH68" si="122">F68+H68+J68+L68+N68+P68+R68+T68+V68+X68+Z68+AB68+AD68</f>
        <v>13</v>
      </c>
      <c r="AH68" s="999">
        <f t="shared" si="122"/>
        <v>41</v>
      </c>
      <c r="AI68" s="1000">
        <f t="shared" ref="AI68:AJ68" si="123">J68+H68+L68+N68+P68+R68+T68+V68+X68+Z68+AB68+AD68</f>
        <v>1</v>
      </c>
      <c r="AJ68" s="1001">
        <f t="shared" si="123"/>
        <v>3</v>
      </c>
      <c r="AK68" s="522"/>
      <c r="AL68" s="522"/>
      <c r="AM68" s="1002"/>
    </row>
    <row r="69" spans="1:39" ht="26.25" customHeight="1">
      <c r="A69" s="982">
        <v>59</v>
      </c>
      <c r="B69" s="885" t="s">
        <v>745</v>
      </c>
      <c r="C69" s="1042"/>
      <c r="D69" s="622" t="s">
        <v>2965</v>
      </c>
      <c r="E69" s="1032"/>
      <c r="F69" s="1010"/>
      <c r="G69" s="1033"/>
      <c r="H69" s="1010"/>
      <c r="I69" s="1011"/>
      <c r="J69" s="1010"/>
      <c r="K69" s="1011"/>
      <c r="L69" s="1014"/>
      <c r="M69" s="1016"/>
      <c r="N69" s="1014"/>
      <c r="O69" s="1015"/>
      <c r="P69" s="1014"/>
      <c r="Q69" s="1016"/>
      <c r="R69" s="1014"/>
      <c r="S69" s="1016"/>
      <c r="T69" s="1014"/>
      <c r="U69" s="1016"/>
      <c r="V69" s="1014"/>
      <c r="W69" s="1016"/>
      <c r="X69" s="1014"/>
      <c r="Y69" s="1016"/>
      <c r="Z69" s="994">
        <v>0</v>
      </c>
      <c r="AA69" s="994">
        <v>0</v>
      </c>
      <c r="AB69" s="994">
        <v>0</v>
      </c>
      <c r="AC69" s="994">
        <v>0</v>
      </c>
      <c r="AD69" s="1014"/>
      <c r="AE69" s="1016"/>
      <c r="AF69" s="997"/>
      <c r="AG69" s="998">
        <f t="shared" ref="AG69:AH69" si="124">F69+H69+J69+L69+N69+P69+R69+T69+V69+X69+Z69+AB69+AD69</f>
        <v>0</v>
      </c>
      <c r="AH69" s="999">
        <f t="shared" si="124"/>
        <v>0</v>
      </c>
      <c r="AI69" s="1000">
        <f t="shared" ref="AI69:AJ69" si="125">J69+H69+L69+N69+P69+R69+T69+V69+X69+Z69+AB69+AD69</f>
        <v>0</v>
      </c>
      <c r="AJ69" s="1001">
        <f t="shared" si="125"/>
        <v>0</v>
      </c>
      <c r="AK69" s="522"/>
      <c r="AL69" s="522"/>
      <c r="AM69" s="1002"/>
    </row>
    <row r="70" spans="1:39" ht="26.25" customHeight="1">
      <c r="A70" s="1003">
        <v>60</v>
      </c>
      <c r="B70" s="885" t="s">
        <v>704</v>
      </c>
      <c r="C70" s="1041" t="s">
        <v>3009</v>
      </c>
      <c r="D70" s="1043" t="s">
        <v>2935</v>
      </c>
      <c r="E70" s="1032">
        <v>3</v>
      </c>
      <c r="F70" s="1010">
        <v>18</v>
      </c>
      <c r="G70" s="1033"/>
      <c r="H70" s="1010"/>
      <c r="I70" s="1011"/>
      <c r="J70" s="1010"/>
      <c r="K70" s="1011"/>
      <c r="L70" s="1014"/>
      <c r="M70" s="1016"/>
      <c r="N70" s="1014"/>
      <c r="O70" s="1015"/>
      <c r="P70" s="1014"/>
      <c r="Q70" s="1016"/>
      <c r="R70" s="1014"/>
      <c r="S70" s="1016"/>
      <c r="T70" s="1014"/>
      <c r="U70" s="1016"/>
      <c r="V70" s="1014"/>
      <c r="W70" s="1016"/>
      <c r="X70" s="1014"/>
      <c r="Y70" s="1016"/>
      <c r="Z70" s="1014"/>
      <c r="AA70" s="1016"/>
      <c r="AB70" s="994">
        <v>1</v>
      </c>
      <c r="AC70" s="994">
        <v>2</v>
      </c>
      <c r="AD70" s="1014"/>
      <c r="AE70" s="1016"/>
      <c r="AF70" s="997"/>
      <c r="AG70" s="998">
        <f t="shared" ref="AG70:AH70" si="126">F70+H70+J70+L70+N70+P70+R70+T70+V70+X70+Z70+AB70+AD70</f>
        <v>19</v>
      </c>
      <c r="AH70" s="999">
        <f t="shared" si="126"/>
        <v>2</v>
      </c>
      <c r="AI70" s="1000">
        <f t="shared" ref="AI70:AJ70" si="127">J70+H70+L70+N70+P70+R70+T70+V70+X70+Z70+AB70+AD70</f>
        <v>1</v>
      </c>
      <c r="AJ70" s="1001">
        <f t="shared" si="127"/>
        <v>2</v>
      </c>
      <c r="AK70" s="522"/>
      <c r="AL70" s="522"/>
      <c r="AM70" s="1002"/>
    </row>
    <row r="71" spans="1:39" ht="26.25" customHeight="1">
      <c r="A71" s="982"/>
      <c r="B71" s="1044"/>
      <c r="C71" s="626"/>
      <c r="D71" s="1043"/>
      <c r="E71" s="1032"/>
      <c r="F71" s="1010"/>
      <c r="G71" s="1033"/>
      <c r="H71" s="1010"/>
      <c r="I71" s="1011"/>
      <c r="J71" s="1010"/>
      <c r="K71" s="1011"/>
      <c r="L71" s="1014"/>
      <c r="M71" s="1016"/>
      <c r="N71" s="1014"/>
      <c r="O71" s="1015"/>
      <c r="P71" s="1014"/>
      <c r="Q71" s="1016"/>
      <c r="R71" s="1014"/>
      <c r="S71" s="1016"/>
      <c r="T71" s="1014"/>
      <c r="U71" s="1016"/>
      <c r="V71" s="1014"/>
      <c r="W71" s="1016"/>
      <c r="X71" s="1014"/>
      <c r="Y71" s="1016"/>
      <c r="Z71" s="1014"/>
      <c r="AA71" s="1016"/>
      <c r="AB71" s="1014"/>
      <c r="AC71" s="1016"/>
      <c r="AD71" s="1014"/>
      <c r="AE71" s="1016"/>
      <c r="AF71" s="997"/>
      <c r="AG71" s="998">
        <f t="shared" ref="AG71:AH71" si="128">F71+H71+J71+L71+N71+P71+R71+T71+V71+X71+Z71+AB71+AD71</f>
        <v>0</v>
      </c>
      <c r="AH71" s="999">
        <f t="shared" si="128"/>
        <v>0</v>
      </c>
      <c r="AI71" s="1000">
        <f t="shared" ref="AI71:AJ71" si="129">J71+H71+L71+N71+P71+R71+T71+V71+X71+Z71+AB71+AD71</f>
        <v>0</v>
      </c>
      <c r="AJ71" s="1001">
        <f t="shared" si="129"/>
        <v>0</v>
      </c>
      <c r="AK71" s="522"/>
      <c r="AL71" s="522"/>
      <c r="AM71" s="1002" t="s">
        <v>2930</v>
      </c>
    </row>
    <row r="72" spans="1:39" ht="26.25" customHeight="1">
      <c r="A72" s="1003"/>
      <c r="B72" s="1044"/>
      <c r="C72" s="626"/>
      <c r="D72" s="1043"/>
      <c r="E72" s="1032"/>
      <c r="F72" s="1010"/>
      <c r="G72" s="1033"/>
      <c r="H72" s="1010"/>
      <c r="I72" s="1011"/>
      <c r="J72" s="1010"/>
      <c r="K72" s="1011"/>
      <c r="L72" s="1014"/>
      <c r="M72" s="1016"/>
      <c r="N72" s="1014"/>
      <c r="O72" s="1045"/>
      <c r="P72" s="1014"/>
      <c r="Q72" s="1016"/>
      <c r="R72" s="1014"/>
      <c r="S72" s="1016"/>
      <c r="T72" s="1014"/>
      <c r="U72" s="1016"/>
      <c r="V72" s="1014"/>
      <c r="W72" s="1016"/>
      <c r="X72" s="1014"/>
      <c r="Y72" s="1016"/>
      <c r="Z72" s="1014"/>
      <c r="AA72" s="1016"/>
      <c r="AB72" s="1014"/>
      <c r="AC72" s="1016"/>
      <c r="AD72" s="1014"/>
      <c r="AE72" s="1016"/>
      <c r="AF72" s="997"/>
      <c r="AG72" s="998">
        <f t="shared" ref="AG72:AH72" si="130">F72+H72+J72+L72+N72+P72+R72+T72+V72+X72+Z72+AB72+AD72</f>
        <v>0</v>
      </c>
      <c r="AH72" s="999">
        <f t="shared" si="130"/>
        <v>0</v>
      </c>
      <c r="AI72" s="1000">
        <f t="shared" ref="AI72:AJ72" si="131">J72+H72+L72+N72+P72+R72+T72+V72+X72+Z72+AB72+AD72</f>
        <v>0</v>
      </c>
      <c r="AJ72" s="1001">
        <f t="shared" si="131"/>
        <v>0</v>
      </c>
      <c r="AK72" s="522"/>
      <c r="AL72" s="522"/>
      <c r="AM72" s="1002" t="s">
        <v>2941</v>
      </c>
    </row>
    <row r="73" spans="1:39" ht="26.25" customHeight="1">
      <c r="A73" s="982"/>
      <c r="B73" s="1044"/>
      <c r="C73" s="626"/>
      <c r="D73" s="1043"/>
      <c r="E73" s="1032"/>
      <c r="F73" s="1010"/>
      <c r="G73" s="1033"/>
      <c r="H73" s="1010"/>
      <c r="I73" s="1011"/>
      <c r="J73" s="1010"/>
      <c r="K73" s="1011"/>
      <c r="L73" s="1014"/>
      <c r="M73" s="1016"/>
      <c r="N73" s="1014"/>
      <c r="O73" s="1045"/>
      <c r="P73" s="1014"/>
      <c r="Q73" s="1016"/>
      <c r="R73" s="1014"/>
      <c r="S73" s="1016"/>
      <c r="T73" s="1014"/>
      <c r="U73" s="1016"/>
      <c r="V73" s="1014"/>
      <c r="W73" s="1016"/>
      <c r="X73" s="1014"/>
      <c r="Y73" s="1016"/>
      <c r="Z73" s="1014"/>
      <c r="AA73" s="1016"/>
      <c r="AB73" s="1014"/>
      <c r="AC73" s="1016"/>
      <c r="AD73" s="1014"/>
      <c r="AE73" s="1016"/>
      <c r="AF73" s="997"/>
      <c r="AG73" s="998">
        <f t="shared" ref="AG73:AH73" si="132">F73+H73+J73+L73+N73+P73+R73+T73+V73+X73+Z73+AB73+AD73</f>
        <v>0</v>
      </c>
      <c r="AH73" s="999">
        <f t="shared" si="132"/>
        <v>0</v>
      </c>
      <c r="AI73" s="1000">
        <f t="shared" ref="AI73:AJ73" si="133">J73+H73+L73+N73+P73+R73+T73+V73+X73+Z73+AB73+AD73</f>
        <v>0</v>
      </c>
      <c r="AJ73" s="1001">
        <f t="shared" si="133"/>
        <v>0</v>
      </c>
      <c r="AK73" s="522"/>
      <c r="AL73" s="522"/>
      <c r="AM73" s="1002" t="s">
        <v>3010</v>
      </c>
    </row>
    <row r="74" spans="1:39" ht="26.25" customHeight="1">
      <c r="A74" s="1003"/>
      <c r="B74" s="1044"/>
      <c r="C74" s="626"/>
      <c r="D74" s="1043"/>
      <c r="E74" s="1032"/>
      <c r="F74" s="1010"/>
      <c r="G74" s="1033"/>
      <c r="H74" s="1010"/>
      <c r="I74" s="1011"/>
      <c r="J74" s="1010"/>
      <c r="K74" s="1011"/>
      <c r="L74" s="1014"/>
      <c r="M74" s="1016"/>
      <c r="N74" s="1014"/>
      <c r="O74" s="1045"/>
      <c r="P74" s="1014"/>
      <c r="Q74" s="1016"/>
      <c r="R74" s="1014"/>
      <c r="S74" s="1016"/>
      <c r="T74" s="1014"/>
      <c r="U74" s="1016"/>
      <c r="V74" s="1014"/>
      <c r="W74" s="1016"/>
      <c r="X74" s="1014"/>
      <c r="Y74" s="1016"/>
      <c r="Z74" s="1014"/>
      <c r="AA74" s="1016"/>
      <c r="AB74" s="1014"/>
      <c r="AC74" s="1016"/>
      <c r="AD74" s="1014"/>
      <c r="AE74" s="1016"/>
      <c r="AF74" s="997"/>
      <c r="AG74" s="998">
        <f t="shared" ref="AG74:AH74" si="134">F74+H74+J74+L74+N74+P74+R74+T74+V74+X74+Z74+AB74+AD74</f>
        <v>0</v>
      </c>
      <c r="AH74" s="999">
        <f t="shared" si="134"/>
        <v>0</v>
      </c>
      <c r="AI74" s="1000">
        <f t="shared" ref="AI74:AJ74" si="135">J74+H74+L74+N74+P74+R74+T74+V74+X74+Z74+AB74+AD74</f>
        <v>0</v>
      </c>
      <c r="AJ74" s="1001">
        <f t="shared" si="135"/>
        <v>0</v>
      </c>
      <c r="AK74" s="522"/>
      <c r="AL74" s="522"/>
      <c r="AM74" s="1002" t="s">
        <v>2936</v>
      </c>
    </row>
    <row r="75" spans="1:39" ht="26.25" customHeight="1">
      <c r="A75" s="982"/>
      <c r="B75" s="1044"/>
      <c r="C75" s="626"/>
      <c r="D75" s="1043"/>
      <c r="E75" s="1032"/>
      <c r="F75" s="1010"/>
      <c r="G75" s="1033"/>
      <c r="H75" s="1010"/>
      <c r="I75" s="1011"/>
      <c r="J75" s="1010"/>
      <c r="K75" s="1011"/>
      <c r="L75" s="1014"/>
      <c r="M75" s="1016"/>
      <c r="N75" s="1014"/>
      <c r="O75" s="1045"/>
      <c r="P75" s="1014"/>
      <c r="Q75" s="1016"/>
      <c r="R75" s="1014"/>
      <c r="S75" s="1016"/>
      <c r="T75" s="1014"/>
      <c r="U75" s="1016"/>
      <c r="V75" s="1014"/>
      <c r="W75" s="1016"/>
      <c r="X75" s="1014"/>
      <c r="Y75" s="1016"/>
      <c r="Z75" s="1014"/>
      <c r="AA75" s="1016"/>
      <c r="AB75" s="1014"/>
      <c r="AC75" s="1016"/>
      <c r="AD75" s="1014"/>
      <c r="AE75" s="1016"/>
      <c r="AF75" s="997"/>
      <c r="AG75" s="998">
        <f t="shared" ref="AG75:AH75" si="136">F75+H75+J75+L75+N75+P75+R75+T75+V75+X75+Z75+AB75+AD75</f>
        <v>0</v>
      </c>
      <c r="AH75" s="999">
        <f t="shared" si="136"/>
        <v>0</v>
      </c>
      <c r="AI75" s="1000">
        <f t="shared" ref="AI75:AJ75" si="137">J75+H75+L75+N75+P75+R75+T75+V75+X75+Z75+AB75+AD75</f>
        <v>0</v>
      </c>
      <c r="AJ75" s="1001">
        <f t="shared" si="137"/>
        <v>0</v>
      </c>
      <c r="AK75" s="522"/>
      <c r="AL75" s="522"/>
      <c r="AM75" s="1002" t="s">
        <v>2936</v>
      </c>
    </row>
    <row r="76" spans="1:39" ht="26.25" customHeight="1">
      <c r="A76" s="1003"/>
      <c r="B76" s="1046"/>
      <c r="C76" s="626"/>
      <c r="D76" s="1047"/>
      <c r="E76" s="1032"/>
      <c r="F76" s="1048"/>
      <c r="G76" s="1049"/>
      <c r="H76" s="1048"/>
      <c r="I76" s="1049"/>
      <c r="J76" s="1014"/>
      <c r="K76" s="1016"/>
      <c r="L76" s="1014"/>
      <c r="M76" s="1016"/>
      <c r="N76" s="1014"/>
      <c r="O76" s="1045"/>
      <c r="P76" s="1014"/>
      <c r="Q76" s="1016"/>
      <c r="R76" s="1014"/>
      <c r="S76" s="1016"/>
      <c r="T76" s="1014"/>
      <c r="U76" s="1016"/>
      <c r="V76" s="1014"/>
      <c r="W76" s="1016"/>
      <c r="X76" s="1014"/>
      <c r="Y76" s="1016"/>
      <c r="Z76" s="1014"/>
      <c r="AA76" s="1016"/>
      <c r="AB76" s="1014"/>
      <c r="AC76" s="1016"/>
      <c r="AD76" s="1014"/>
      <c r="AE76" s="1016"/>
      <c r="AF76" s="997"/>
      <c r="AG76" s="998">
        <f t="shared" ref="AG76:AH76" si="138">F76+H76+J76+L76+N76+P76+R76+T76+V76+X76+Z76+AB76+AD76</f>
        <v>0</v>
      </c>
      <c r="AH76" s="999">
        <f t="shared" si="138"/>
        <v>0</v>
      </c>
      <c r="AI76" s="1000">
        <f t="shared" ref="AI76:AJ76" si="139">J76+H76+L76+N76+P76+R76+T76+V76+X76+Z76+AB76+AD76</f>
        <v>0</v>
      </c>
      <c r="AJ76" s="1001">
        <f t="shared" si="139"/>
        <v>0</v>
      </c>
      <c r="AK76" s="522"/>
      <c r="AL76" s="522"/>
      <c r="AM76" s="1002" t="s">
        <v>2936</v>
      </c>
    </row>
    <row r="77" spans="1:39" ht="26.25" customHeight="1">
      <c r="A77" s="982"/>
      <c r="B77" s="1050"/>
      <c r="C77" s="626"/>
      <c r="D77" s="1047"/>
      <c r="E77" s="1032"/>
      <c r="F77" s="1048"/>
      <c r="G77" s="1049"/>
      <c r="H77" s="1048"/>
      <c r="I77" s="1049"/>
      <c r="J77" s="1014"/>
      <c r="K77" s="1016"/>
      <c r="L77" s="1014"/>
      <c r="M77" s="1016"/>
      <c r="N77" s="1014"/>
      <c r="O77" s="1045"/>
      <c r="P77" s="1014"/>
      <c r="Q77" s="1016"/>
      <c r="R77" s="1014"/>
      <c r="S77" s="1016"/>
      <c r="T77" s="1014"/>
      <c r="U77" s="1016"/>
      <c r="V77" s="1014"/>
      <c r="W77" s="1016"/>
      <c r="X77" s="1014"/>
      <c r="Y77" s="1016"/>
      <c r="Z77" s="1014"/>
      <c r="AA77" s="1016"/>
      <c r="AB77" s="1014"/>
      <c r="AC77" s="1016"/>
      <c r="AD77" s="1014"/>
      <c r="AE77" s="1016"/>
      <c r="AF77" s="997"/>
      <c r="AG77" s="998">
        <f t="shared" ref="AG77:AH77" si="140">F77+H77+J77+L77+N77+P77+R77+T77+V77+X77+Z77+AB77+AD77</f>
        <v>0</v>
      </c>
      <c r="AH77" s="999">
        <f t="shared" si="140"/>
        <v>0</v>
      </c>
      <c r="AI77" s="1000">
        <f t="shared" ref="AI77:AJ77" si="141">J77+H77+L77+N77+P77+R77+T77+V77+X77+Z77+AB77+AD77</f>
        <v>0</v>
      </c>
      <c r="AJ77" s="1001">
        <f t="shared" si="141"/>
        <v>0</v>
      </c>
      <c r="AK77" s="522"/>
      <c r="AL77" s="522"/>
      <c r="AM77" s="1002" t="s">
        <v>2941</v>
      </c>
    </row>
    <row r="78" spans="1:39" ht="26.25" customHeight="1">
      <c r="A78" s="1003"/>
      <c r="B78" s="1050"/>
      <c r="C78" s="626"/>
      <c r="D78" s="1047"/>
      <c r="E78" s="1032"/>
      <c r="F78" s="1048"/>
      <c r="G78" s="1049"/>
      <c r="H78" s="1048"/>
      <c r="I78" s="1049"/>
      <c r="J78" s="1014"/>
      <c r="K78" s="1016"/>
      <c r="L78" s="1014"/>
      <c r="M78" s="1016"/>
      <c r="N78" s="1014"/>
      <c r="O78" s="1045"/>
      <c r="P78" s="1014"/>
      <c r="Q78" s="1016"/>
      <c r="R78" s="1014"/>
      <c r="S78" s="1016"/>
      <c r="T78" s="1014"/>
      <c r="U78" s="1016"/>
      <c r="V78" s="1014"/>
      <c r="W78" s="1016"/>
      <c r="X78" s="1014"/>
      <c r="Y78" s="1016"/>
      <c r="Z78" s="1014"/>
      <c r="AA78" s="1016"/>
      <c r="AB78" s="1014"/>
      <c r="AC78" s="1016"/>
      <c r="AD78" s="1014"/>
      <c r="AE78" s="1016"/>
      <c r="AF78" s="997"/>
      <c r="AG78" s="998">
        <f t="shared" ref="AG78:AH78" si="142">F78+H78+J78+L78+N78+P78+R78+T78+V78+X78+Z78+AB78+AD78</f>
        <v>0</v>
      </c>
      <c r="AH78" s="999">
        <f t="shared" si="142"/>
        <v>0</v>
      </c>
      <c r="AI78" s="1000">
        <f t="shared" ref="AI78:AJ78" si="143">J78+H78+L78+N78+P78+R78+T78+V78+X78+Z78+AB78+AD78</f>
        <v>0</v>
      </c>
      <c r="AJ78" s="1001">
        <f t="shared" si="143"/>
        <v>0</v>
      </c>
      <c r="AK78" s="522"/>
      <c r="AL78" s="522"/>
      <c r="AM78" s="1002"/>
    </row>
    <row r="79" spans="1:39" ht="26.25" customHeight="1">
      <c r="A79" s="982"/>
      <c r="B79" s="394"/>
      <c r="C79" s="1043"/>
      <c r="D79" s="1051"/>
      <c r="E79" s="1052"/>
      <c r="F79" s="1053"/>
      <c r="G79" s="1054"/>
      <c r="H79" s="1053"/>
      <c r="I79" s="1054"/>
      <c r="J79" s="1055"/>
      <c r="K79" s="1056"/>
      <c r="L79" s="1055"/>
      <c r="M79" s="1056"/>
      <c r="N79" s="1055"/>
      <c r="O79" s="1057"/>
      <c r="P79" s="1058"/>
      <c r="Q79" s="1059"/>
      <c r="R79" s="1058"/>
      <c r="S79" s="1059"/>
      <c r="T79" s="1058"/>
      <c r="U79" s="1059"/>
      <c r="V79" s="1058"/>
      <c r="W79" s="1059"/>
      <c r="X79" s="1058"/>
      <c r="Y79" s="1059"/>
      <c r="Z79" s="1058"/>
      <c r="AA79" s="1059"/>
      <c r="AB79" s="1058"/>
      <c r="AC79" s="1059"/>
      <c r="AD79" s="1058"/>
      <c r="AE79" s="1059"/>
      <c r="AF79" s="976"/>
      <c r="AG79" s="1060">
        <f t="shared" ref="AG79:AH79" si="144">F79+H79+J79+L79+N79+P79+R79+T79+V79+X79+Z79+AB79+AD79</f>
        <v>0</v>
      </c>
      <c r="AH79" s="1061">
        <f t="shared" si="144"/>
        <v>0</v>
      </c>
      <c r="AI79" s="1062">
        <f t="shared" ref="AI79:AJ79" si="145">J79+H79+L79+N79+P79+R79+T79+V79+X79+Z79+AB79+AD79</f>
        <v>0</v>
      </c>
      <c r="AJ79" s="1063">
        <f t="shared" si="145"/>
        <v>0</v>
      </c>
      <c r="AK79" s="522"/>
      <c r="AL79" s="522"/>
      <c r="AM79" s="930" t="s">
        <v>2953</v>
      </c>
    </row>
    <row r="80" spans="1:39" ht="26.25" customHeight="1">
      <c r="A80" s="1003"/>
      <c r="B80" s="394"/>
      <c r="C80" s="1043"/>
      <c r="D80" s="1064"/>
      <c r="E80" s="1065"/>
      <c r="F80" s="1066"/>
      <c r="G80" s="1067"/>
      <c r="H80" s="1066"/>
      <c r="I80" s="1067"/>
      <c r="J80" s="1055"/>
      <c r="K80" s="1056"/>
      <c r="L80" s="1055"/>
      <c r="M80" s="1056"/>
      <c r="N80" s="1055"/>
      <c r="O80" s="1057"/>
      <c r="P80" s="1058"/>
      <c r="Q80" s="1059"/>
      <c r="R80" s="1058"/>
      <c r="S80" s="1059"/>
      <c r="T80" s="1058"/>
      <c r="U80" s="1059"/>
      <c r="V80" s="1058"/>
      <c r="W80" s="1059"/>
      <c r="X80" s="1058"/>
      <c r="Y80" s="1059"/>
      <c r="Z80" s="1058"/>
      <c r="AA80" s="1059"/>
      <c r="AB80" s="1058"/>
      <c r="AC80" s="1059"/>
      <c r="AD80" s="1058"/>
      <c r="AE80" s="1059"/>
      <c r="AF80" s="976"/>
      <c r="AG80" s="1060">
        <f t="shared" ref="AG80:AH80" si="146">F80+H80+J80+L80+N80+P80+R80+T80+V80+X80+Z80+AB80+AD80</f>
        <v>0</v>
      </c>
      <c r="AH80" s="1061">
        <f t="shared" si="146"/>
        <v>0</v>
      </c>
      <c r="AI80" s="1062">
        <f t="shared" ref="AI80:AJ80" si="147">J80+H80+L80+N80+P80+R80+T80+V80+X80+Z80+AB80+AD80</f>
        <v>0</v>
      </c>
      <c r="AJ80" s="1063">
        <f t="shared" si="147"/>
        <v>0</v>
      </c>
      <c r="AK80" s="522"/>
      <c r="AL80" s="522"/>
      <c r="AM80" s="902" t="s">
        <v>2941</v>
      </c>
    </row>
    <row r="81" spans="1:39" ht="26.25" customHeight="1">
      <c r="A81" s="982"/>
      <c r="B81" s="394"/>
      <c r="C81" s="1043"/>
      <c r="D81" s="1064"/>
      <c r="E81" s="1065"/>
      <c r="F81" s="1066"/>
      <c r="G81" s="1067"/>
      <c r="H81" s="1066"/>
      <c r="I81" s="1067"/>
      <c r="J81" s="1055"/>
      <c r="K81" s="1056"/>
      <c r="L81" s="1055"/>
      <c r="M81" s="1056"/>
      <c r="N81" s="1055"/>
      <c r="O81" s="1057"/>
      <c r="P81" s="1058"/>
      <c r="Q81" s="1059"/>
      <c r="R81" s="1058"/>
      <c r="S81" s="1059"/>
      <c r="T81" s="1058"/>
      <c r="U81" s="1059"/>
      <c r="V81" s="1058"/>
      <c r="W81" s="1059"/>
      <c r="X81" s="1058"/>
      <c r="Y81" s="1059"/>
      <c r="Z81" s="1058"/>
      <c r="AA81" s="1059"/>
      <c r="AB81" s="1058"/>
      <c r="AC81" s="1059"/>
      <c r="AD81" s="1058"/>
      <c r="AE81" s="1059"/>
      <c r="AF81" s="976"/>
      <c r="AG81" s="1060">
        <f t="shared" ref="AG81:AH81" si="148">F81+H81+J81+L81+N81+P81+R81+T81+V81+X81+Z81+AB81+AD81</f>
        <v>0</v>
      </c>
      <c r="AH81" s="1061">
        <f t="shared" si="148"/>
        <v>0</v>
      </c>
      <c r="AI81" s="1062">
        <f t="shared" ref="AI81:AJ81" si="149">J81+H81+L81+N81+P81+R81+T81+V81+X81+Z81+AB81+AD81</f>
        <v>0</v>
      </c>
      <c r="AJ81" s="1063">
        <f t="shared" si="149"/>
        <v>0</v>
      </c>
      <c r="AK81" s="522"/>
      <c r="AL81" s="522"/>
      <c r="AM81" s="902" t="s">
        <v>2941</v>
      </c>
    </row>
    <row r="82" spans="1:39" ht="26.25" customHeight="1">
      <c r="A82" s="1003"/>
      <c r="B82" s="394"/>
      <c r="C82" s="1043"/>
      <c r="D82" s="1064"/>
      <c r="E82" s="1065"/>
      <c r="F82" s="1066"/>
      <c r="G82" s="1067"/>
      <c r="H82" s="1066"/>
      <c r="I82" s="1067"/>
      <c r="J82" s="1055"/>
      <c r="K82" s="1056"/>
      <c r="L82" s="1055"/>
      <c r="M82" s="1056"/>
      <c r="N82" s="1055"/>
      <c r="O82" s="1057"/>
      <c r="P82" s="1055"/>
      <c r="Q82" s="1056"/>
      <c r="R82" s="1055"/>
      <c r="S82" s="1056"/>
      <c r="T82" s="1055"/>
      <c r="U82" s="1056"/>
      <c r="V82" s="1055"/>
      <c r="W82" s="1056"/>
      <c r="X82" s="1055"/>
      <c r="Y82" s="1056"/>
      <c r="Z82" s="1055"/>
      <c r="AA82" s="1056"/>
      <c r="AB82" s="1055"/>
      <c r="AC82" s="1056"/>
      <c r="AD82" s="1055"/>
      <c r="AE82" s="1056"/>
      <c r="AF82" s="976"/>
      <c r="AG82" s="1060">
        <f t="shared" ref="AG82:AH82" si="150">F82+H82+J82+L82+N82+P82+R82+T82+V82+X82+Z82+AB82+AD82</f>
        <v>0</v>
      </c>
      <c r="AH82" s="1061">
        <f t="shared" si="150"/>
        <v>0</v>
      </c>
      <c r="AI82" s="1062">
        <f t="shared" ref="AI82:AJ82" si="151">J82+H82+L82+N82+P82+R82+T82+V82+X82+Z82+AB82+AD82</f>
        <v>0</v>
      </c>
      <c r="AJ82" s="1063">
        <f t="shared" si="151"/>
        <v>0</v>
      </c>
      <c r="AK82" s="522"/>
      <c r="AL82" s="522"/>
      <c r="AM82" s="930" t="s">
        <v>2953</v>
      </c>
    </row>
    <row r="83" spans="1:39" ht="26.25" customHeight="1">
      <c r="A83" s="982"/>
      <c r="B83" s="394"/>
      <c r="C83" s="1043"/>
      <c r="D83" s="1064"/>
      <c r="E83" s="1065"/>
      <c r="F83" s="1066"/>
      <c r="G83" s="1067"/>
      <c r="H83" s="1066"/>
      <c r="I83" s="1067"/>
      <c r="J83" s="1055"/>
      <c r="K83" s="1056"/>
      <c r="L83" s="1055"/>
      <c r="M83" s="1056"/>
      <c r="N83" s="1055"/>
      <c r="O83" s="1057"/>
      <c r="P83" s="1055"/>
      <c r="Q83" s="1056"/>
      <c r="R83" s="1055"/>
      <c r="S83" s="1056"/>
      <c r="T83" s="1055"/>
      <c r="U83" s="1056"/>
      <c r="V83" s="1055"/>
      <c r="W83" s="1056"/>
      <c r="X83" s="1055"/>
      <c r="Y83" s="1056"/>
      <c r="Z83" s="1055"/>
      <c r="AA83" s="1056"/>
      <c r="AB83" s="1055"/>
      <c r="AC83" s="1056"/>
      <c r="AD83" s="1055"/>
      <c r="AE83" s="1056"/>
      <c r="AF83" s="976"/>
      <c r="AG83" s="1060">
        <f t="shared" ref="AG83:AH83" si="152">F83+H83+J83+L83+N83+P83+R83+T83+V83+X83+Z83+AB83+AD83</f>
        <v>0</v>
      </c>
      <c r="AH83" s="1061">
        <f t="shared" si="152"/>
        <v>0</v>
      </c>
      <c r="AI83" s="1062">
        <f t="shared" ref="AI83:AJ83" si="153">J83+H83+L83+N83+P83+R83+T83+V83+X83+Z83+AB83+AD83</f>
        <v>0</v>
      </c>
      <c r="AJ83" s="1063">
        <f t="shared" si="153"/>
        <v>0</v>
      </c>
      <c r="AK83" s="522"/>
      <c r="AL83" s="522"/>
      <c r="AM83" s="902" t="s">
        <v>2941</v>
      </c>
    </row>
    <row r="84" spans="1:39" ht="26.25" customHeight="1">
      <c r="A84" s="1003"/>
      <c r="B84" s="394"/>
      <c r="C84" s="1043"/>
      <c r="D84" s="1051"/>
      <c r="E84" s="1052"/>
      <c r="F84" s="1053"/>
      <c r="G84" s="1054"/>
      <c r="H84" s="1053"/>
      <c r="I84" s="1054"/>
      <c r="J84" s="1055"/>
      <c r="K84" s="1056"/>
      <c r="L84" s="1055"/>
      <c r="M84" s="1056"/>
      <c r="N84" s="1055"/>
      <c r="O84" s="1057"/>
      <c r="P84" s="1058"/>
      <c r="Q84" s="1059"/>
      <c r="R84" s="1058"/>
      <c r="S84" s="1059"/>
      <c r="T84" s="1058"/>
      <c r="U84" s="1059"/>
      <c r="V84" s="1058"/>
      <c r="W84" s="1059"/>
      <c r="X84" s="1058"/>
      <c r="Y84" s="1059"/>
      <c r="Z84" s="1058"/>
      <c r="AA84" s="1059"/>
      <c r="AB84" s="1058"/>
      <c r="AC84" s="1059"/>
      <c r="AD84" s="1058"/>
      <c r="AE84" s="1059"/>
      <c r="AF84" s="976"/>
      <c r="AG84" s="1060">
        <f t="shared" ref="AG84:AH84" si="154">F84+H84+J84+L84+N84+P84+R84+T84+V84+X84+Z84+AB84+AD84</f>
        <v>0</v>
      </c>
      <c r="AH84" s="1061">
        <f t="shared" si="154"/>
        <v>0</v>
      </c>
      <c r="AI84" s="1062">
        <f t="shared" ref="AI84:AJ84" si="155">J84+H84+L84+N84+P84+R84+T84+V84+X84+Z84+AB84+AD84</f>
        <v>0</v>
      </c>
      <c r="AJ84" s="1063">
        <f t="shared" si="155"/>
        <v>0</v>
      </c>
      <c r="AK84" s="522"/>
      <c r="AL84" s="522"/>
      <c r="AM84" s="930" t="s">
        <v>2953</v>
      </c>
    </row>
    <row r="85" spans="1:39" ht="26.25" customHeight="1">
      <c r="A85" s="982"/>
      <c r="B85" s="394"/>
      <c r="C85" s="1043"/>
      <c r="D85" s="1064"/>
      <c r="E85" s="1065"/>
      <c r="F85" s="1066"/>
      <c r="G85" s="1067"/>
      <c r="H85" s="1066"/>
      <c r="I85" s="1067"/>
      <c r="J85" s="1055"/>
      <c r="K85" s="1056"/>
      <c r="L85" s="1055"/>
      <c r="M85" s="1056"/>
      <c r="N85" s="1055"/>
      <c r="O85" s="1057"/>
      <c r="P85" s="1058"/>
      <c r="Q85" s="1059"/>
      <c r="R85" s="1058"/>
      <c r="S85" s="1059"/>
      <c r="T85" s="1058"/>
      <c r="U85" s="1059"/>
      <c r="V85" s="1058"/>
      <c r="W85" s="1059"/>
      <c r="X85" s="1058"/>
      <c r="Y85" s="1059"/>
      <c r="Z85" s="1058"/>
      <c r="AA85" s="1059"/>
      <c r="AB85" s="1058"/>
      <c r="AC85" s="1059"/>
      <c r="AD85" s="1058"/>
      <c r="AE85" s="1059"/>
      <c r="AF85" s="976"/>
      <c r="AG85" s="1060">
        <f t="shared" ref="AG85:AH85" si="156">F85+H85+J85+L85+N85+P85+R85+T85+V85+X85+Z85+AB85+AD85</f>
        <v>0</v>
      </c>
      <c r="AH85" s="1061">
        <f t="shared" si="156"/>
        <v>0</v>
      </c>
      <c r="AI85" s="1062">
        <f t="shared" ref="AI85:AJ85" si="157">J85+H85+L85+N85+P85+R85+T85+V85+X85+Z85+AB85+AD85</f>
        <v>0</v>
      </c>
      <c r="AJ85" s="1063">
        <f t="shared" si="157"/>
        <v>0</v>
      </c>
      <c r="AK85" s="522"/>
      <c r="AL85" s="522"/>
      <c r="AM85" s="930" t="s">
        <v>2953</v>
      </c>
    </row>
    <row r="86" spans="1:39" ht="26.25" customHeight="1">
      <c r="A86" s="1003"/>
      <c r="B86" s="394"/>
      <c r="C86" s="1043"/>
      <c r="D86" s="1064"/>
      <c r="E86" s="1065"/>
      <c r="F86" s="1066"/>
      <c r="G86" s="1067"/>
      <c r="H86" s="1066"/>
      <c r="I86" s="1067"/>
      <c r="J86" s="1055"/>
      <c r="K86" s="1056"/>
      <c r="L86" s="1055"/>
      <c r="M86" s="1056"/>
      <c r="N86" s="1055"/>
      <c r="O86" s="1057"/>
      <c r="P86" s="1058"/>
      <c r="Q86" s="1059"/>
      <c r="R86" s="1058"/>
      <c r="S86" s="1059"/>
      <c r="T86" s="1058"/>
      <c r="U86" s="1059"/>
      <c r="V86" s="1058"/>
      <c r="W86" s="1059"/>
      <c r="X86" s="1058"/>
      <c r="Y86" s="1059"/>
      <c r="Z86" s="1058"/>
      <c r="AA86" s="1059"/>
      <c r="AB86" s="1058"/>
      <c r="AC86" s="1059"/>
      <c r="AD86" s="1058"/>
      <c r="AE86" s="1059"/>
      <c r="AF86" s="976"/>
      <c r="AG86" s="1060">
        <f t="shared" ref="AG86:AH86" si="158">F86+H86+J86+L86+N86+P86+R86+T86+V86+X86+Z86+AB86+AD86</f>
        <v>0</v>
      </c>
      <c r="AH86" s="1061">
        <f t="shared" si="158"/>
        <v>0</v>
      </c>
      <c r="AI86" s="1062">
        <f t="shared" ref="AI86:AJ86" si="159">J86+H86+L86+N86+P86+R86+T86+V86+X86+Z86+AB86+AD86</f>
        <v>0</v>
      </c>
      <c r="AJ86" s="1063">
        <f t="shared" si="159"/>
        <v>0</v>
      </c>
      <c r="AK86" s="522"/>
      <c r="AL86" s="522"/>
      <c r="AM86" s="902" t="s">
        <v>2941</v>
      </c>
    </row>
    <row r="87" spans="1:39" ht="26.25" customHeight="1">
      <c r="A87" s="982"/>
      <c r="B87" s="394"/>
      <c r="C87" s="1043"/>
      <c r="D87" s="1064"/>
      <c r="E87" s="1065"/>
      <c r="F87" s="1066"/>
      <c r="G87" s="1067"/>
      <c r="H87" s="1066"/>
      <c r="I87" s="1067"/>
      <c r="J87" s="1055"/>
      <c r="K87" s="1056"/>
      <c r="L87" s="1055"/>
      <c r="M87" s="1056"/>
      <c r="N87" s="1055"/>
      <c r="O87" s="1057"/>
      <c r="P87" s="1058"/>
      <c r="Q87" s="1059"/>
      <c r="R87" s="1058"/>
      <c r="S87" s="1059"/>
      <c r="T87" s="1058"/>
      <c r="U87" s="1059"/>
      <c r="V87" s="1058"/>
      <c r="W87" s="1059"/>
      <c r="X87" s="1058"/>
      <c r="Y87" s="1059"/>
      <c r="Z87" s="1058"/>
      <c r="AA87" s="1059"/>
      <c r="AB87" s="1058"/>
      <c r="AC87" s="1059"/>
      <c r="AD87" s="1058"/>
      <c r="AE87" s="1059"/>
      <c r="AF87" s="976"/>
      <c r="AG87" s="1060">
        <f t="shared" ref="AG87:AH87" si="160">F87+H87+J87+L87+N87+P87+R87+T87+V87+X87+Z87+AB87+AD87</f>
        <v>0</v>
      </c>
      <c r="AH87" s="1061">
        <f t="shared" si="160"/>
        <v>0</v>
      </c>
      <c r="AI87" s="1062">
        <f t="shared" ref="AI87:AJ87" si="161">J87+H87+L87+N87+P87+R87+T87+V87+X87+Z87+AB87+AD87</f>
        <v>0</v>
      </c>
      <c r="AJ87" s="1063">
        <f t="shared" si="161"/>
        <v>0</v>
      </c>
      <c r="AK87" s="522"/>
      <c r="AL87" s="522"/>
      <c r="AM87" s="902" t="s">
        <v>2941</v>
      </c>
    </row>
    <row r="88" spans="1:39" ht="26.25" customHeight="1">
      <c r="A88" s="1003"/>
      <c r="B88" s="394"/>
      <c r="C88" s="1043"/>
      <c r="D88" s="1064"/>
      <c r="E88" s="1065"/>
      <c r="F88" s="1066"/>
      <c r="G88" s="1067"/>
      <c r="H88" s="1066"/>
      <c r="I88" s="1067"/>
      <c r="J88" s="1055"/>
      <c r="K88" s="1056"/>
      <c r="L88" s="1055"/>
      <c r="M88" s="1056"/>
      <c r="N88" s="1055"/>
      <c r="O88" s="1057"/>
      <c r="P88" s="1058"/>
      <c r="Q88" s="1059"/>
      <c r="R88" s="1058"/>
      <c r="S88" s="1059"/>
      <c r="T88" s="1058"/>
      <c r="U88" s="1059"/>
      <c r="V88" s="1058"/>
      <c r="W88" s="1059"/>
      <c r="X88" s="1058"/>
      <c r="Y88" s="1059"/>
      <c r="Z88" s="1058"/>
      <c r="AA88" s="1059"/>
      <c r="AB88" s="1058"/>
      <c r="AC88" s="1059"/>
      <c r="AD88" s="1058"/>
      <c r="AE88" s="1059"/>
      <c r="AF88" s="976"/>
      <c r="AG88" s="1060">
        <f t="shared" ref="AG88:AH88" si="162">F88+H88+J88+L88+N88+P88+R88+T88+V88+X88+Z88+AB88+AD88</f>
        <v>0</v>
      </c>
      <c r="AH88" s="1061">
        <f t="shared" si="162"/>
        <v>0</v>
      </c>
      <c r="AI88" s="1062">
        <f t="shared" ref="AI88:AJ88" si="163">J88+H88+L88+N88+P88+R88+T88+V88+X88+Z88+AB88+AD88</f>
        <v>0</v>
      </c>
      <c r="AJ88" s="1063">
        <f t="shared" si="163"/>
        <v>0</v>
      </c>
      <c r="AK88" s="522"/>
      <c r="AL88" s="522"/>
      <c r="AM88" s="902" t="s">
        <v>2941</v>
      </c>
    </row>
    <row r="89" spans="1:39" ht="26.25" customHeight="1">
      <c r="A89" s="982"/>
      <c r="B89" s="394"/>
      <c r="C89" s="1043"/>
      <c r="D89" s="1064"/>
      <c r="E89" s="1065"/>
      <c r="F89" s="1066"/>
      <c r="G89" s="1067"/>
      <c r="H89" s="1066"/>
      <c r="I89" s="1067"/>
      <c r="J89" s="1055"/>
      <c r="K89" s="1056"/>
      <c r="L89" s="1055"/>
      <c r="M89" s="1056"/>
      <c r="N89" s="1055"/>
      <c r="O89" s="1057"/>
      <c r="P89" s="1055"/>
      <c r="Q89" s="1056"/>
      <c r="R89" s="1055"/>
      <c r="S89" s="1056"/>
      <c r="T89" s="1055"/>
      <c r="U89" s="1056"/>
      <c r="V89" s="1055"/>
      <c r="W89" s="1056"/>
      <c r="X89" s="1055"/>
      <c r="Y89" s="1056"/>
      <c r="Z89" s="1055"/>
      <c r="AA89" s="1056"/>
      <c r="AB89" s="1055"/>
      <c r="AC89" s="1056"/>
      <c r="AD89" s="1055"/>
      <c r="AE89" s="1056"/>
      <c r="AF89" s="976"/>
      <c r="AG89" s="1060">
        <f t="shared" ref="AG89:AH89" si="164">F89+H89+J89+L89+N89+P89+R89+T89+V89+X89+Z89+AB89+AD89</f>
        <v>0</v>
      </c>
      <c r="AH89" s="1061">
        <f t="shared" si="164"/>
        <v>0</v>
      </c>
      <c r="AI89" s="1062">
        <f t="shared" ref="AI89:AJ89" si="165">J89+H89+L89+N89+P89+R89+T89+V89+X89+Z89+AB89+AD89</f>
        <v>0</v>
      </c>
      <c r="AJ89" s="1063">
        <f t="shared" si="165"/>
        <v>0</v>
      </c>
      <c r="AK89" s="522"/>
      <c r="AL89" s="522"/>
      <c r="AM89" s="902" t="s">
        <v>2941</v>
      </c>
    </row>
    <row r="90" spans="1:39" ht="26.25" customHeight="1">
      <c r="A90" s="1003"/>
      <c r="B90" s="394"/>
      <c r="C90" s="1043"/>
      <c r="D90" s="1068"/>
      <c r="E90" s="1065"/>
      <c r="F90" s="1066"/>
      <c r="G90" s="1067"/>
      <c r="H90" s="1066"/>
      <c r="I90" s="1067"/>
      <c r="J90" s="1055"/>
      <c r="K90" s="1056"/>
      <c r="L90" s="1055"/>
      <c r="M90" s="1056"/>
      <c r="N90" s="1055"/>
      <c r="O90" s="1057"/>
      <c r="P90" s="1055"/>
      <c r="Q90" s="1056"/>
      <c r="R90" s="1055"/>
      <c r="S90" s="1056"/>
      <c r="T90" s="1055"/>
      <c r="U90" s="1056"/>
      <c r="V90" s="1055"/>
      <c r="W90" s="1056"/>
      <c r="X90" s="1055"/>
      <c r="Y90" s="1056"/>
      <c r="Z90" s="1055"/>
      <c r="AA90" s="1056"/>
      <c r="AB90" s="1055"/>
      <c r="AC90" s="1056"/>
      <c r="AD90" s="1055"/>
      <c r="AE90" s="1056"/>
      <c r="AF90" s="976"/>
      <c r="AG90" s="1060">
        <f t="shared" ref="AG90:AH90" si="166">F90+H90+J90+L90+N90+P90+R90+T90+V90+X90+Z90+AB90+AD90</f>
        <v>0</v>
      </c>
      <c r="AH90" s="1061">
        <f t="shared" si="166"/>
        <v>0</v>
      </c>
      <c r="AI90" s="1062">
        <f t="shared" ref="AI90:AJ90" si="167">J90+H90+L90+N90+P90+R90+T90+V90+X90+Z90+AB90+AD90</f>
        <v>0</v>
      </c>
      <c r="AJ90" s="1063">
        <f t="shared" si="167"/>
        <v>0</v>
      </c>
      <c r="AK90" s="522"/>
      <c r="AL90" s="522"/>
      <c r="AM90" s="930" t="s">
        <v>2953</v>
      </c>
    </row>
    <row r="91" spans="1:39" ht="26.25" customHeight="1">
      <c r="A91" s="982"/>
      <c r="B91" s="394"/>
      <c r="C91" s="1043"/>
      <c r="D91" s="1064"/>
      <c r="E91" s="1065"/>
      <c r="F91" s="1066"/>
      <c r="G91" s="1067"/>
      <c r="H91" s="1066"/>
      <c r="I91" s="1067"/>
      <c r="J91" s="1055"/>
      <c r="K91" s="1056"/>
      <c r="L91" s="1055"/>
      <c r="M91" s="1056"/>
      <c r="N91" s="1055"/>
      <c r="O91" s="1057"/>
      <c r="P91" s="1058"/>
      <c r="Q91" s="1059"/>
      <c r="R91" s="1058"/>
      <c r="S91" s="1059"/>
      <c r="T91" s="1058"/>
      <c r="U91" s="1059"/>
      <c r="V91" s="1058"/>
      <c r="W91" s="1059"/>
      <c r="X91" s="1058"/>
      <c r="Y91" s="1059"/>
      <c r="Z91" s="1058"/>
      <c r="AA91" s="1059"/>
      <c r="AB91" s="1058"/>
      <c r="AC91" s="1059"/>
      <c r="AD91" s="1058"/>
      <c r="AE91" s="1059"/>
      <c r="AF91" s="976"/>
      <c r="AG91" s="1060">
        <f t="shared" ref="AG91:AH91" si="168">F91+H91+J91+L91+N91+P91+R91+T91+V91+X91+Z91+AB91+AD91</f>
        <v>0</v>
      </c>
      <c r="AH91" s="1061">
        <f t="shared" si="168"/>
        <v>0</v>
      </c>
      <c r="AI91" s="1062">
        <f t="shared" ref="AI91:AJ91" si="169">J91+H91+L91+N91+P91+R91+T91+V91+X91+Z91+AB91+AD91</f>
        <v>0</v>
      </c>
      <c r="AJ91" s="1063">
        <f t="shared" si="169"/>
        <v>0</v>
      </c>
      <c r="AK91" s="522"/>
      <c r="AL91" s="522"/>
      <c r="AM91" s="930" t="s">
        <v>2953</v>
      </c>
    </row>
    <row r="92" spans="1:39" ht="26.25" customHeight="1">
      <c r="A92" s="1003"/>
      <c r="B92" s="394"/>
      <c r="C92" s="1043"/>
      <c r="D92" s="1069"/>
      <c r="E92" s="1065"/>
      <c r="F92" s="1066"/>
      <c r="G92" s="1067"/>
      <c r="H92" s="1066"/>
      <c r="I92" s="1067"/>
      <c r="J92" s="1055"/>
      <c r="K92" s="1056"/>
      <c r="L92" s="1055"/>
      <c r="M92" s="1056"/>
      <c r="N92" s="1055"/>
      <c r="O92" s="1057"/>
      <c r="P92" s="1058"/>
      <c r="Q92" s="1059"/>
      <c r="R92" s="1058"/>
      <c r="S92" s="1059"/>
      <c r="T92" s="1058"/>
      <c r="U92" s="1059"/>
      <c r="V92" s="1058"/>
      <c r="W92" s="1059"/>
      <c r="X92" s="1058"/>
      <c r="Y92" s="1059"/>
      <c r="Z92" s="1058"/>
      <c r="AA92" s="1059"/>
      <c r="AB92" s="1058"/>
      <c r="AC92" s="1059"/>
      <c r="AD92" s="1058"/>
      <c r="AE92" s="1059"/>
      <c r="AF92" s="976"/>
      <c r="AG92" s="1060">
        <f t="shared" ref="AG92:AH92" si="170">F92+H92+J92+L92+N92+P92+R92+T92+V92+X92+Z92+AB92+AD92</f>
        <v>0</v>
      </c>
      <c r="AH92" s="1061">
        <f t="shared" si="170"/>
        <v>0</v>
      </c>
      <c r="AI92" s="1062">
        <f t="shared" ref="AI92:AJ92" si="171">J92+H92+L92+N92+P92+R92+T92+V92+X92+Z92+AB92+AD92</f>
        <v>0</v>
      </c>
      <c r="AJ92" s="1063">
        <f t="shared" si="171"/>
        <v>0</v>
      </c>
      <c r="AK92" s="522"/>
      <c r="AL92" s="522"/>
      <c r="AM92" s="902" t="s">
        <v>2941</v>
      </c>
    </row>
    <row r="93" spans="1:39" ht="26.25" customHeight="1">
      <c r="A93" s="982"/>
      <c r="B93" s="394"/>
      <c r="C93" s="1043"/>
      <c r="D93" s="1070"/>
      <c r="E93" s="1065"/>
      <c r="F93" s="1066"/>
      <c r="G93" s="1067"/>
      <c r="H93" s="1066"/>
      <c r="I93" s="1067"/>
      <c r="J93" s="1055"/>
      <c r="K93" s="1056"/>
      <c r="L93" s="1055"/>
      <c r="M93" s="1056"/>
      <c r="N93" s="1055"/>
      <c r="O93" s="1057"/>
      <c r="P93" s="1058"/>
      <c r="Q93" s="1059"/>
      <c r="R93" s="1058"/>
      <c r="S93" s="1059"/>
      <c r="T93" s="1058"/>
      <c r="U93" s="1059"/>
      <c r="V93" s="1058"/>
      <c r="W93" s="1059"/>
      <c r="X93" s="1058"/>
      <c r="Y93" s="1059"/>
      <c r="Z93" s="1058"/>
      <c r="AA93" s="1059"/>
      <c r="AB93" s="1058"/>
      <c r="AC93" s="1059"/>
      <c r="AD93" s="1058"/>
      <c r="AE93" s="1059"/>
      <c r="AF93" s="976"/>
      <c r="AG93" s="1060">
        <f t="shared" ref="AG93:AH93" si="172">F93+H93+J93+L93+N93+P93+R93+T93+V93+X93+Z93+AB93+AD93</f>
        <v>0</v>
      </c>
      <c r="AH93" s="1061">
        <f t="shared" si="172"/>
        <v>0</v>
      </c>
      <c r="AI93" s="1062">
        <f t="shared" ref="AI93:AJ93" si="173">J93+H93+L93+N93+P93+R93+T93+V93+X93+Z93+AB93+AD93</f>
        <v>0</v>
      </c>
      <c r="AJ93" s="1063">
        <f t="shared" si="173"/>
        <v>0</v>
      </c>
      <c r="AK93" s="522"/>
      <c r="AL93" s="522"/>
      <c r="AM93" s="902" t="s">
        <v>2941</v>
      </c>
    </row>
    <row r="94" spans="1:39" ht="26.25" customHeight="1">
      <c r="A94" s="1003"/>
      <c r="B94" s="394"/>
      <c r="C94" s="1043"/>
      <c r="D94" s="1064"/>
      <c r="E94" s="1065"/>
      <c r="F94" s="1066"/>
      <c r="G94" s="1067"/>
      <c r="H94" s="1066"/>
      <c r="I94" s="1067"/>
      <c r="J94" s="1055"/>
      <c r="K94" s="1056"/>
      <c r="L94" s="1055"/>
      <c r="M94" s="1056"/>
      <c r="N94" s="1055"/>
      <c r="O94" s="1057"/>
      <c r="P94" s="1058"/>
      <c r="Q94" s="1059"/>
      <c r="R94" s="1058"/>
      <c r="S94" s="1059"/>
      <c r="T94" s="1058"/>
      <c r="U94" s="1059"/>
      <c r="V94" s="1058"/>
      <c r="W94" s="1059"/>
      <c r="X94" s="1058"/>
      <c r="Y94" s="1059"/>
      <c r="Z94" s="1058"/>
      <c r="AA94" s="1059"/>
      <c r="AB94" s="1058"/>
      <c r="AC94" s="1059"/>
      <c r="AD94" s="1058"/>
      <c r="AE94" s="1059"/>
      <c r="AF94" s="976"/>
      <c r="AG94" s="1060">
        <f t="shared" ref="AG94:AH94" si="174">F94+H94+J94+L94+N94+P94+R94+T94+V94+X94+Z94+AB94+AD94</f>
        <v>0</v>
      </c>
      <c r="AH94" s="1061">
        <f t="shared" si="174"/>
        <v>0</v>
      </c>
      <c r="AI94" s="1062">
        <f t="shared" ref="AI94:AJ94" si="175">J94+H94+L94+N94+P94+R94+T94+V94+X94+Z94+AB94+AD94</f>
        <v>0</v>
      </c>
      <c r="AJ94" s="1063">
        <f t="shared" si="175"/>
        <v>0</v>
      </c>
      <c r="AK94" s="522"/>
      <c r="AL94" s="522"/>
      <c r="AM94" s="930" t="s">
        <v>2953</v>
      </c>
    </row>
    <row r="95" spans="1:39" ht="26.25" customHeight="1">
      <c r="A95" s="982"/>
      <c r="B95" s="394"/>
      <c r="C95" s="1043"/>
      <c r="D95" s="1064"/>
      <c r="E95" s="1065"/>
      <c r="F95" s="1066"/>
      <c r="G95" s="1067"/>
      <c r="H95" s="1066"/>
      <c r="I95" s="1067"/>
      <c r="J95" s="1055"/>
      <c r="K95" s="1056"/>
      <c r="L95" s="1055"/>
      <c r="M95" s="1056"/>
      <c r="N95" s="1055"/>
      <c r="O95" s="1057"/>
      <c r="P95" s="1058"/>
      <c r="Q95" s="1059"/>
      <c r="R95" s="1058"/>
      <c r="S95" s="1059"/>
      <c r="T95" s="1058"/>
      <c r="U95" s="1059"/>
      <c r="V95" s="1058"/>
      <c r="W95" s="1059"/>
      <c r="X95" s="1058"/>
      <c r="Y95" s="1059"/>
      <c r="Z95" s="1058"/>
      <c r="AA95" s="1059"/>
      <c r="AB95" s="1058"/>
      <c r="AC95" s="1059"/>
      <c r="AD95" s="1058"/>
      <c r="AE95" s="1059"/>
      <c r="AF95" s="976"/>
      <c r="AG95" s="1060">
        <f t="shared" ref="AG95:AH95" si="176">F95+H95+J95+L95+N95+P95+R95+T95+V95+X95+Z95+AB95+AD95</f>
        <v>0</v>
      </c>
      <c r="AH95" s="1061">
        <f t="shared" si="176"/>
        <v>0</v>
      </c>
      <c r="AI95" s="1062">
        <f t="shared" ref="AI95:AJ95" si="177">J95+H95+L95+N95+P95+R95+T95+V95+X95+Z95+AB95+AD95</f>
        <v>0</v>
      </c>
      <c r="AJ95" s="1063">
        <f t="shared" si="177"/>
        <v>0</v>
      </c>
      <c r="AK95" s="522"/>
      <c r="AL95" s="522"/>
      <c r="AM95" s="930" t="s">
        <v>2953</v>
      </c>
    </row>
    <row r="96" spans="1:39" ht="26.25" customHeight="1">
      <c r="A96" s="1003"/>
      <c r="B96" s="394"/>
      <c r="C96" s="1043"/>
      <c r="D96" s="1064"/>
      <c r="E96" s="1065"/>
      <c r="F96" s="1066"/>
      <c r="G96" s="1067"/>
      <c r="H96" s="1066"/>
      <c r="I96" s="1067"/>
      <c r="J96" s="1055"/>
      <c r="K96" s="1056"/>
      <c r="L96" s="1055"/>
      <c r="M96" s="1056"/>
      <c r="N96" s="1055"/>
      <c r="O96" s="1057"/>
      <c r="P96" s="1058"/>
      <c r="Q96" s="1059"/>
      <c r="R96" s="1058"/>
      <c r="S96" s="1059"/>
      <c r="T96" s="1058"/>
      <c r="U96" s="1059"/>
      <c r="V96" s="1058"/>
      <c r="W96" s="1059"/>
      <c r="X96" s="1058"/>
      <c r="Y96" s="1059"/>
      <c r="Z96" s="1058"/>
      <c r="AA96" s="1059"/>
      <c r="AB96" s="1058"/>
      <c r="AC96" s="1059"/>
      <c r="AD96" s="1058"/>
      <c r="AE96" s="1059"/>
      <c r="AF96" s="976"/>
      <c r="AG96" s="1060">
        <f t="shared" ref="AG96:AH96" si="178">F96+H96+J96+L96+N96+P96+R96+T96+V96+X96+Z96+AB96+AD96</f>
        <v>0</v>
      </c>
      <c r="AH96" s="1061">
        <f t="shared" si="178"/>
        <v>0</v>
      </c>
      <c r="AI96" s="1062">
        <f t="shared" ref="AI96:AJ96" si="179">J96+H96+L96+N96+P96+R96+T96+V96+X96+Z96+AB96+AD96</f>
        <v>0</v>
      </c>
      <c r="AJ96" s="1063">
        <f t="shared" si="179"/>
        <v>0</v>
      </c>
      <c r="AK96" s="522"/>
      <c r="AL96" s="522"/>
      <c r="AM96" s="930" t="s">
        <v>3011</v>
      </c>
    </row>
    <row r="97" spans="1:39" ht="26.25" customHeight="1">
      <c r="A97" s="982"/>
      <c r="B97" s="394"/>
      <c r="C97" s="1043"/>
      <c r="D97" s="1064"/>
      <c r="E97" s="1065"/>
      <c r="F97" s="1066"/>
      <c r="G97" s="1067"/>
      <c r="H97" s="1066"/>
      <c r="I97" s="1067"/>
      <c r="J97" s="1055"/>
      <c r="K97" s="1056"/>
      <c r="L97" s="1055"/>
      <c r="M97" s="1056"/>
      <c r="N97" s="1055"/>
      <c r="O97" s="1057"/>
      <c r="P97" s="1058"/>
      <c r="Q97" s="1059"/>
      <c r="R97" s="1058"/>
      <c r="S97" s="1059"/>
      <c r="T97" s="1058"/>
      <c r="U97" s="1059"/>
      <c r="V97" s="1058"/>
      <c r="W97" s="1059"/>
      <c r="X97" s="1058"/>
      <c r="Y97" s="1059"/>
      <c r="Z97" s="1058"/>
      <c r="AA97" s="1059"/>
      <c r="AB97" s="1058"/>
      <c r="AC97" s="1059"/>
      <c r="AD97" s="1058"/>
      <c r="AE97" s="1059"/>
      <c r="AF97" s="976"/>
      <c r="AG97" s="1060">
        <f t="shared" ref="AG97:AH97" si="180">F97+H97+J97+L97+N97+P97+R97+T97+V97+X97+Z97+AB97+AD97</f>
        <v>0</v>
      </c>
      <c r="AH97" s="1061">
        <f t="shared" si="180"/>
        <v>0</v>
      </c>
      <c r="AI97" s="1062">
        <f t="shared" ref="AI97:AJ97" si="181">J97+H97+L97+N97+P97+R97+T97+V97+X97+Z97+AB97+AD97</f>
        <v>0</v>
      </c>
      <c r="AJ97" s="1063">
        <f t="shared" si="181"/>
        <v>0</v>
      </c>
      <c r="AK97" s="522"/>
      <c r="AL97" s="522"/>
      <c r="AM97" s="930" t="s">
        <v>3011</v>
      </c>
    </row>
    <row r="98" spans="1:39" ht="26.25" customHeight="1">
      <c r="A98" s="1003"/>
      <c r="B98" s="394"/>
      <c r="C98" s="1043"/>
      <c r="D98" s="1064"/>
      <c r="E98" s="1065"/>
      <c r="F98" s="1066"/>
      <c r="G98" s="1067"/>
      <c r="H98" s="1066"/>
      <c r="I98" s="1067"/>
      <c r="J98" s="1055"/>
      <c r="K98" s="1056"/>
      <c r="L98" s="1055"/>
      <c r="M98" s="1056"/>
      <c r="N98" s="1055"/>
      <c r="O98" s="1057"/>
      <c r="P98" s="1058"/>
      <c r="Q98" s="1059"/>
      <c r="R98" s="1058"/>
      <c r="S98" s="1059"/>
      <c r="T98" s="1058"/>
      <c r="U98" s="1059"/>
      <c r="V98" s="1058"/>
      <c r="W98" s="1059"/>
      <c r="X98" s="1058"/>
      <c r="Y98" s="1059"/>
      <c r="Z98" s="1058"/>
      <c r="AA98" s="1059"/>
      <c r="AB98" s="1058"/>
      <c r="AC98" s="1059"/>
      <c r="AD98" s="1058"/>
      <c r="AE98" s="1059"/>
      <c r="AF98" s="976"/>
      <c r="AG98" s="1060">
        <f t="shared" ref="AG98:AH98" si="182">F98+H98+J98+L98+N98+P98+R98+T98+V98+X98+Z98+AB98+AD98</f>
        <v>0</v>
      </c>
      <c r="AH98" s="1061">
        <f t="shared" si="182"/>
        <v>0</v>
      </c>
      <c r="AI98" s="1062">
        <f t="shared" ref="AI98:AJ98" si="183">J98+H98+L98+N98+P98+R98+T98+V98+X98+Z98+AB98+AD98</f>
        <v>0</v>
      </c>
      <c r="AJ98" s="1063">
        <f t="shared" si="183"/>
        <v>0</v>
      </c>
      <c r="AK98" s="522"/>
      <c r="AL98" s="522"/>
      <c r="AM98" s="930" t="s">
        <v>2930</v>
      </c>
    </row>
    <row r="99" spans="1:39" ht="26.25" customHeight="1">
      <c r="A99" s="982"/>
      <c r="B99" s="394"/>
      <c r="C99" s="1043"/>
      <c r="D99" s="1064"/>
      <c r="E99" s="1065"/>
      <c r="F99" s="1066"/>
      <c r="G99" s="1067"/>
      <c r="H99" s="1066"/>
      <c r="I99" s="1067"/>
      <c r="J99" s="1055"/>
      <c r="K99" s="1056"/>
      <c r="L99" s="1055"/>
      <c r="M99" s="1056"/>
      <c r="N99" s="1055"/>
      <c r="O99" s="1057"/>
      <c r="P99" s="1058"/>
      <c r="Q99" s="1059"/>
      <c r="R99" s="1058"/>
      <c r="S99" s="1059"/>
      <c r="T99" s="1058"/>
      <c r="U99" s="1059"/>
      <c r="V99" s="1058"/>
      <c r="W99" s="1059"/>
      <c r="X99" s="1058"/>
      <c r="Y99" s="1059"/>
      <c r="Z99" s="1058"/>
      <c r="AA99" s="1059"/>
      <c r="AB99" s="1058"/>
      <c r="AC99" s="1059"/>
      <c r="AD99" s="1058"/>
      <c r="AE99" s="1059"/>
      <c r="AF99" s="976"/>
      <c r="AG99" s="1060">
        <f t="shared" ref="AG99:AH99" si="184">F99+H99+J99+L99+N99+P99+R99+T99+V99+X99+Z99+AB99+AD99</f>
        <v>0</v>
      </c>
      <c r="AH99" s="1061">
        <f t="shared" si="184"/>
        <v>0</v>
      </c>
      <c r="AI99" s="1062">
        <f t="shared" ref="AI99:AJ99" si="185">J99+H99+L99+N99+P99+R99+T99+V99+X99+Z99+AB99+AD99</f>
        <v>0</v>
      </c>
      <c r="AJ99" s="1063">
        <f t="shared" si="185"/>
        <v>0</v>
      </c>
      <c r="AK99" s="522"/>
      <c r="AL99" s="522"/>
      <c r="AM99" s="930" t="s">
        <v>2953</v>
      </c>
    </row>
    <row r="100" spans="1:39" ht="26.25" customHeight="1">
      <c r="A100" s="1003"/>
      <c r="B100" s="394"/>
      <c r="C100" s="1043"/>
      <c r="D100" s="1071"/>
      <c r="E100" s="1065"/>
      <c r="F100" s="1066"/>
      <c r="G100" s="1067"/>
      <c r="H100" s="1066"/>
      <c r="I100" s="1067"/>
      <c r="J100" s="1055"/>
      <c r="K100" s="1056"/>
      <c r="L100" s="1055"/>
      <c r="M100" s="1056"/>
      <c r="N100" s="1055"/>
      <c r="O100" s="1057"/>
      <c r="P100" s="1058"/>
      <c r="Q100" s="1059"/>
      <c r="R100" s="1058"/>
      <c r="S100" s="1059"/>
      <c r="T100" s="1058"/>
      <c r="U100" s="1059"/>
      <c r="V100" s="1058"/>
      <c r="W100" s="1059"/>
      <c r="X100" s="1058"/>
      <c r="Y100" s="1059"/>
      <c r="Z100" s="1058"/>
      <c r="AA100" s="1059"/>
      <c r="AB100" s="1058"/>
      <c r="AC100" s="1059"/>
      <c r="AD100" s="1058"/>
      <c r="AE100" s="1059"/>
      <c r="AF100" s="976"/>
      <c r="AG100" s="1060">
        <f t="shared" ref="AG100:AH100" si="186">F100+H100+J100+L100+N100+P100+R100+T100+V100+X100+Z100+AB100+AD100</f>
        <v>0</v>
      </c>
      <c r="AH100" s="1061">
        <f t="shared" si="186"/>
        <v>0</v>
      </c>
      <c r="AI100" s="1062">
        <f t="shared" ref="AI100:AJ100" si="187">J100+H100+L100+N100+P100+R100+T100+V100+X100+Z100+AB100+AD100</f>
        <v>0</v>
      </c>
      <c r="AJ100" s="1063">
        <f t="shared" si="187"/>
        <v>0</v>
      </c>
      <c r="AK100" s="522"/>
      <c r="AL100" s="522"/>
      <c r="AM100" s="902" t="s">
        <v>2936</v>
      </c>
    </row>
    <row r="101" spans="1:39" ht="26.25" customHeight="1">
      <c r="A101" s="982"/>
      <c r="B101" s="394"/>
      <c r="C101" s="1043"/>
      <c r="D101" s="1064"/>
      <c r="E101" s="1052"/>
      <c r="F101" s="1053"/>
      <c r="G101" s="1054"/>
      <c r="H101" s="1053"/>
      <c r="I101" s="1054"/>
      <c r="J101" s="1055"/>
      <c r="K101" s="1056"/>
      <c r="L101" s="1055"/>
      <c r="M101" s="1056"/>
      <c r="N101" s="1055"/>
      <c r="O101" s="1056"/>
      <c r="P101" s="1058"/>
      <c r="Q101" s="1059"/>
      <c r="R101" s="1058"/>
      <c r="S101" s="1059"/>
      <c r="T101" s="1058"/>
      <c r="U101" s="1059"/>
      <c r="V101" s="1058"/>
      <c r="W101" s="1059"/>
      <c r="X101" s="1058"/>
      <c r="Y101" s="1059"/>
      <c r="Z101" s="1058"/>
      <c r="AA101" s="1059"/>
      <c r="AB101" s="1058"/>
      <c r="AC101" s="1059"/>
      <c r="AD101" s="1058"/>
      <c r="AE101" s="1059"/>
      <c r="AF101" s="976"/>
      <c r="AG101" s="1060">
        <f t="shared" ref="AG101:AH101" si="188">F101+H101+J101+L101+N101+P101+R101+T101+V101+X101+Z101+AB101+AD101</f>
        <v>0</v>
      </c>
      <c r="AH101" s="1061">
        <f t="shared" si="188"/>
        <v>0</v>
      </c>
      <c r="AI101" s="1062">
        <f t="shared" ref="AI101:AJ101" si="189">J101+H101+L101+N101+P101+R101+T101+V101+X101+Z101+AB101+AD101</f>
        <v>0</v>
      </c>
      <c r="AJ101" s="1063">
        <f t="shared" si="189"/>
        <v>0</v>
      </c>
      <c r="AK101" s="522"/>
      <c r="AL101" s="522"/>
      <c r="AM101" s="930" t="s">
        <v>3011</v>
      </c>
    </row>
    <row r="102" spans="1:39" ht="26.25" customHeight="1">
      <c r="A102" s="1003"/>
      <c r="B102" s="394"/>
      <c r="C102" s="1043"/>
      <c r="D102" s="1064"/>
      <c r="E102" s="1065"/>
      <c r="F102" s="1066"/>
      <c r="G102" s="1067"/>
      <c r="H102" s="1066"/>
      <c r="I102" s="1067"/>
      <c r="J102" s="1055"/>
      <c r="K102" s="1056"/>
      <c r="L102" s="1055"/>
      <c r="M102" s="1056"/>
      <c r="N102" s="1055"/>
      <c r="O102" s="1056"/>
      <c r="P102" s="1058"/>
      <c r="Q102" s="1059"/>
      <c r="R102" s="1058"/>
      <c r="S102" s="1059"/>
      <c r="T102" s="1058"/>
      <c r="U102" s="1059"/>
      <c r="V102" s="1058"/>
      <c r="W102" s="1059"/>
      <c r="X102" s="1058"/>
      <c r="Y102" s="1059"/>
      <c r="Z102" s="1058"/>
      <c r="AA102" s="1059"/>
      <c r="AB102" s="1058"/>
      <c r="AC102" s="1059"/>
      <c r="AD102" s="1058"/>
      <c r="AE102" s="1059"/>
      <c r="AF102" s="976"/>
      <c r="AG102" s="1060">
        <f t="shared" ref="AG102:AH102" si="190">F102+H102+J102+L102+N102+P102+R102+T102+V102+X102+Z102+AB102+AD102</f>
        <v>0</v>
      </c>
      <c r="AH102" s="1061">
        <f t="shared" si="190"/>
        <v>0</v>
      </c>
      <c r="AI102" s="1062">
        <f t="shared" ref="AI102:AJ102" si="191">J102+H102+L102+N102+P102+R102+T102+V102+X102+Z102+AB102+AD102</f>
        <v>0</v>
      </c>
      <c r="AJ102" s="1063">
        <f t="shared" si="191"/>
        <v>0</v>
      </c>
      <c r="AK102" s="522"/>
      <c r="AL102" s="522"/>
      <c r="AM102" s="902" t="s">
        <v>2941</v>
      </c>
    </row>
    <row r="103" spans="1:39" ht="26.25" customHeight="1">
      <c r="A103" s="982"/>
      <c r="B103" s="394"/>
      <c r="C103" s="1043"/>
      <c r="D103" s="1064"/>
      <c r="E103" s="1065"/>
      <c r="F103" s="1066"/>
      <c r="G103" s="1067"/>
      <c r="H103" s="1066"/>
      <c r="I103" s="1067"/>
      <c r="J103" s="1055"/>
      <c r="K103" s="1056"/>
      <c r="L103" s="1055"/>
      <c r="M103" s="1056"/>
      <c r="N103" s="1055"/>
      <c r="O103" s="1056"/>
      <c r="P103" s="1058"/>
      <c r="Q103" s="1059"/>
      <c r="R103" s="1058"/>
      <c r="S103" s="1059"/>
      <c r="T103" s="1058"/>
      <c r="U103" s="1059"/>
      <c r="V103" s="1058"/>
      <c r="W103" s="1059"/>
      <c r="X103" s="1058"/>
      <c r="Y103" s="1059"/>
      <c r="Z103" s="1058"/>
      <c r="AA103" s="1059"/>
      <c r="AB103" s="1058"/>
      <c r="AC103" s="1059"/>
      <c r="AD103" s="1058"/>
      <c r="AE103" s="1059"/>
      <c r="AF103" s="976"/>
      <c r="AG103" s="1060">
        <f t="shared" ref="AG103:AH103" si="192">F103+H103+J103+L103+N103+P103+R103+T103+V103+X103+Z103+AB103+AD103</f>
        <v>0</v>
      </c>
      <c r="AH103" s="1061">
        <f t="shared" si="192"/>
        <v>0</v>
      </c>
      <c r="AI103" s="1062">
        <f t="shared" ref="AI103:AJ103" si="193">J103+H103+L103+N103+P103+R103+T103+V103+X103+Z103+AB103+AD103</f>
        <v>0</v>
      </c>
      <c r="AJ103" s="1063">
        <f t="shared" si="193"/>
        <v>0</v>
      </c>
      <c r="AK103" s="522"/>
      <c r="AL103" s="522"/>
      <c r="AM103" s="930" t="s">
        <v>3011</v>
      </c>
    </row>
    <row r="104" spans="1:39" ht="26.25" customHeight="1">
      <c r="A104" s="1003"/>
      <c r="B104" s="394"/>
      <c r="C104" s="1043"/>
      <c r="D104" s="1051"/>
      <c r="E104" s="1052"/>
      <c r="F104" s="1053"/>
      <c r="G104" s="1054"/>
      <c r="H104" s="1053"/>
      <c r="I104" s="1054"/>
      <c r="J104" s="1055"/>
      <c r="K104" s="1056"/>
      <c r="L104" s="1055"/>
      <c r="M104" s="1056"/>
      <c r="N104" s="1055"/>
      <c r="O104" s="1056"/>
      <c r="P104" s="1058"/>
      <c r="Q104" s="1059"/>
      <c r="R104" s="1058"/>
      <c r="S104" s="1059"/>
      <c r="T104" s="1058"/>
      <c r="U104" s="1059"/>
      <c r="V104" s="1058"/>
      <c r="W104" s="1059"/>
      <c r="X104" s="1058"/>
      <c r="Y104" s="1059"/>
      <c r="Z104" s="1058"/>
      <c r="AA104" s="1059"/>
      <c r="AB104" s="1058"/>
      <c r="AC104" s="1059"/>
      <c r="AD104" s="1058"/>
      <c r="AE104" s="1059"/>
      <c r="AF104" s="976"/>
      <c r="AG104" s="1060">
        <f t="shared" ref="AG104:AH104" si="194">F104+H104+J104+L104+N104+P104+R104+T104+V104+X104+Z104+AB104+AD104</f>
        <v>0</v>
      </c>
      <c r="AH104" s="1061">
        <f t="shared" si="194"/>
        <v>0</v>
      </c>
      <c r="AI104" s="1062">
        <f t="shared" ref="AI104:AJ104" si="195">J104+H104+L104+N104+P104+R104+T104+V104+X104+Z104+AB104+AD104</f>
        <v>0</v>
      </c>
      <c r="AJ104" s="1063">
        <f t="shared" si="195"/>
        <v>0</v>
      </c>
      <c r="AK104" s="522"/>
      <c r="AL104" s="522"/>
      <c r="AM104" s="902" t="s">
        <v>2936</v>
      </c>
    </row>
    <row r="105" spans="1:39" ht="26.25" customHeight="1">
      <c r="A105" s="982"/>
      <c r="B105" s="394"/>
      <c r="C105" s="1043"/>
      <c r="D105" s="1064"/>
      <c r="E105" s="1065"/>
      <c r="F105" s="1066"/>
      <c r="G105" s="1067"/>
      <c r="H105" s="1066"/>
      <c r="I105" s="1067"/>
      <c r="J105" s="1055"/>
      <c r="K105" s="1056"/>
      <c r="L105" s="1055"/>
      <c r="M105" s="1056"/>
      <c r="N105" s="1055"/>
      <c r="O105" s="1057"/>
      <c r="P105" s="1058"/>
      <c r="Q105" s="1059"/>
      <c r="R105" s="1058"/>
      <c r="S105" s="1059"/>
      <c r="T105" s="1058"/>
      <c r="U105" s="1059"/>
      <c r="V105" s="1058"/>
      <c r="W105" s="1059"/>
      <c r="X105" s="1058"/>
      <c r="Y105" s="1059"/>
      <c r="Z105" s="1058"/>
      <c r="AA105" s="1059"/>
      <c r="AB105" s="1058"/>
      <c r="AC105" s="1059"/>
      <c r="AD105" s="1058"/>
      <c r="AE105" s="1059"/>
      <c r="AF105" s="976"/>
      <c r="AG105" s="1060">
        <f t="shared" ref="AG105:AH105" si="196">F105+H105+J105+L105+N105+P105+R105+T105+V105+X105+Z105+AB105+AD105</f>
        <v>0</v>
      </c>
      <c r="AH105" s="1061">
        <f t="shared" si="196"/>
        <v>0</v>
      </c>
      <c r="AI105" s="1062">
        <f t="shared" ref="AI105:AJ105" si="197">J105+H105+L105+N105+P105+R105+T105+V105+X105+Z105+AB105+AD105</f>
        <v>0</v>
      </c>
      <c r="AJ105" s="1063">
        <f t="shared" si="197"/>
        <v>0</v>
      </c>
      <c r="AK105" s="522"/>
      <c r="AL105" s="522"/>
      <c r="AM105" s="930" t="s">
        <v>3011</v>
      </c>
    </row>
    <row r="106" spans="1:39" ht="26.25" customHeight="1">
      <c r="A106" s="1003"/>
      <c r="B106" s="394"/>
      <c r="C106" s="1043"/>
      <c r="D106" s="1051"/>
      <c r="E106" s="1052"/>
      <c r="F106" s="1053"/>
      <c r="G106" s="1054"/>
      <c r="H106" s="1053"/>
      <c r="I106" s="1054"/>
      <c r="J106" s="1055"/>
      <c r="K106" s="1056"/>
      <c r="L106" s="1055"/>
      <c r="M106" s="1056"/>
      <c r="N106" s="1055"/>
      <c r="O106" s="1057"/>
      <c r="P106" s="1058"/>
      <c r="Q106" s="1059"/>
      <c r="R106" s="1058"/>
      <c r="S106" s="1059"/>
      <c r="T106" s="1058"/>
      <c r="U106" s="1059"/>
      <c r="V106" s="1058"/>
      <c r="W106" s="1059"/>
      <c r="X106" s="1058"/>
      <c r="Y106" s="1059"/>
      <c r="Z106" s="1058"/>
      <c r="AA106" s="1059"/>
      <c r="AB106" s="1058"/>
      <c r="AC106" s="1059"/>
      <c r="AD106" s="1058"/>
      <c r="AE106" s="1059"/>
      <c r="AF106" s="976"/>
      <c r="AG106" s="1060">
        <f t="shared" ref="AG106:AH106" si="198">F106+H106+J106+L106+N106+P106+R106+T106+V106+X106+Z106+AB106+AD106</f>
        <v>0</v>
      </c>
      <c r="AH106" s="1061">
        <f t="shared" si="198"/>
        <v>0</v>
      </c>
      <c r="AI106" s="1062">
        <f t="shared" ref="AI106:AJ106" si="199">J106+H106+L106+N106+P106+R106+T106+V106+X106+Z106+AB106+AD106</f>
        <v>0</v>
      </c>
      <c r="AJ106" s="1063">
        <f t="shared" si="199"/>
        <v>0</v>
      </c>
      <c r="AK106" s="522"/>
      <c r="AL106" s="522"/>
      <c r="AM106" s="930" t="s">
        <v>2930</v>
      </c>
    </row>
    <row r="107" spans="1:39" ht="26.25" customHeight="1">
      <c r="A107" s="982"/>
      <c r="B107" s="394"/>
      <c r="C107" s="1043"/>
      <c r="D107" s="1064"/>
      <c r="E107" s="1065"/>
      <c r="F107" s="1066"/>
      <c r="G107" s="1067"/>
      <c r="H107" s="1066"/>
      <c r="I107" s="1067"/>
      <c r="J107" s="1055"/>
      <c r="K107" s="1056"/>
      <c r="L107" s="1055"/>
      <c r="M107" s="1056"/>
      <c r="N107" s="1055"/>
      <c r="O107" s="1057"/>
      <c r="P107" s="1058"/>
      <c r="Q107" s="1059"/>
      <c r="R107" s="1058"/>
      <c r="S107" s="1059"/>
      <c r="T107" s="1058"/>
      <c r="U107" s="1059"/>
      <c r="V107" s="1058"/>
      <c r="W107" s="1059"/>
      <c r="X107" s="1058"/>
      <c r="Y107" s="1059"/>
      <c r="Z107" s="1058"/>
      <c r="AA107" s="1059"/>
      <c r="AB107" s="1058"/>
      <c r="AC107" s="1059"/>
      <c r="AD107" s="1058"/>
      <c r="AE107" s="1059"/>
      <c r="AF107" s="976"/>
      <c r="AG107" s="1060">
        <f t="shared" ref="AG107:AH107" si="200">F107+H107+J107+L107+N107+P107+R107+T107+V107+X107+Z107+AB107+AD107</f>
        <v>0</v>
      </c>
      <c r="AH107" s="1061">
        <f t="shared" si="200"/>
        <v>0</v>
      </c>
      <c r="AI107" s="1062">
        <f t="shared" ref="AI107:AJ107" si="201">J107+H107+L107+N107+P107+R107+T107+V107+X107+Z107+AB107+AD107</f>
        <v>0</v>
      </c>
      <c r="AJ107" s="1063">
        <f t="shared" si="201"/>
        <v>0</v>
      </c>
      <c r="AK107" s="522"/>
      <c r="AL107" s="522"/>
      <c r="AM107" s="902" t="s">
        <v>2936</v>
      </c>
    </row>
    <row r="108" spans="1:39" ht="26.25" customHeight="1">
      <c r="A108" s="1003"/>
      <c r="B108" s="394"/>
      <c r="C108" s="1043"/>
      <c r="D108" s="1064"/>
      <c r="E108" s="1065"/>
      <c r="F108" s="1066"/>
      <c r="G108" s="1067"/>
      <c r="H108" s="1066"/>
      <c r="I108" s="1067"/>
      <c r="J108" s="1055"/>
      <c r="K108" s="1056"/>
      <c r="L108" s="1055"/>
      <c r="M108" s="1056"/>
      <c r="N108" s="1055"/>
      <c r="O108" s="1057"/>
      <c r="P108" s="1058"/>
      <c r="Q108" s="1059"/>
      <c r="R108" s="1058"/>
      <c r="S108" s="1059"/>
      <c r="T108" s="1058"/>
      <c r="U108" s="1059"/>
      <c r="V108" s="1058"/>
      <c r="W108" s="1059"/>
      <c r="X108" s="1058"/>
      <c r="Y108" s="1059"/>
      <c r="Z108" s="1058"/>
      <c r="AA108" s="1059"/>
      <c r="AB108" s="1058"/>
      <c r="AC108" s="1059"/>
      <c r="AD108" s="1058"/>
      <c r="AE108" s="1059"/>
      <c r="AF108" s="976"/>
      <c r="AG108" s="1060">
        <f t="shared" ref="AG108:AH108" si="202">F108+H108+J108+L108+N108+P108+R108+T108+V108+X108+Z108+AB108+AD108</f>
        <v>0</v>
      </c>
      <c r="AH108" s="1061">
        <f t="shared" si="202"/>
        <v>0</v>
      </c>
      <c r="AI108" s="1062">
        <f t="shared" ref="AI108:AJ108" si="203">J108+H108+L108+N108+P108+R108+T108+V108+X108+Z108+AB108+AD108</f>
        <v>0</v>
      </c>
      <c r="AJ108" s="1063">
        <f t="shared" si="203"/>
        <v>0</v>
      </c>
      <c r="AK108" s="522"/>
      <c r="AL108" s="522"/>
      <c r="AM108" s="902" t="s">
        <v>2936</v>
      </c>
    </row>
    <row r="109" spans="1:39" ht="26.25" customHeight="1">
      <c r="A109" s="982"/>
      <c r="B109" s="394"/>
      <c r="C109" s="1043"/>
      <c r="D109" s="1064"/>
      <c r="E109" s="1065"/>
      <c r="F109" s="1066"/>
      <c r="G109" s="1067"/>
      <c r="H109" s="1066"/>
      <c r="I109" s="1067"/>
      <c r="J109" s="1055"/>
      <c r="K109" s="1056"/>
      <c r="L109" s="1055"/>
      <c r="M109" s="1056"/>
      <c r="N109" s="1055"/>
      <c r="O109" s="1057"/>
      <c r="P109" s="1058"/>
      <c r="Q109" s="1059"/>
      <c r="R109" s="1058"/>
      <c r="S109" s="1059"/>
      <c r="T109" s="1058"/>
      <c r="U109" s="1059"/>
      <c r="V109" s="1058"/>
      <c r="W109" s="1059"/>
      <c r="X109" s="1058"/>
      <c r="Y109" s="1059"/>
      <c r="Z109" s="1058"/>
      <c r="AA109" s="1059"/>
      <c r="AB109" s="1058"/>
      <c r="AC109" s="1059"/>
      <c r="AD109" s="1058"/>
      <c r="AE109" s="1059"/>
      <c r="AF109" s="976"/>
      <c r="AG109" s="1060">
        <f t="shared" ref="AG109:AH109" si="204">F109+H109+J109+L109+N109+P109+R109+T109+V109+X109+Z109+AB109+AD109</f>
        <v>0</v>
      </c>
      <c r="AH109" s="1061">
        <f t="shared" si="204"/>
        <v>0</v>
      </c>
      <c r="AI109" s="1062">
        <f t="shared" ref="AI109:AJ109" si="205">J109+H109+L109+N109+P109+R109+T109+V109+X109+Z109+AB109+AD109</f>
        <v>0</v>
      </c>
      <c r="AJ109" s="1063">
        <f t="shared" si="205"/>
        <v>0</v>
      </c>
      <c r="AK109" s="522"/>
      <c r="AL109" s="522"/>
      <c r="AM109" s="902" t="s">
        <v>2936</v>
      </c>
    </row>
    <row r="110" spans="1:39" ht="26.25" customHeight="1">
      <c r="A110" s="1003"/>
      <c r="B110" s="394"/>
      <c r="C110" s="1043"/>
      <c r="D110" s="1064"/>
      <c r="E110" s="1065"/>
      <c r="F110" s="1066"/>
      <c r="G110" s="1067"/>
      <c r="H110" s="1066"/>
      <c r="I110" s="1067"/>
      <c r="J110" s="1055"/>
      <c r="K110" s="1056"/>
      <c r="L110" s="1055"/>
      <c r="M110" s="1056"/>
      <c r="N110" s="1055"/>
      <c r="O110" s="1057"/>
      <c r="P110" s="1058"/>
      <c r="Q110" s="1059"/>
      <c r="R110" s="1058"/>
      <c r="S110" s="1059"/>
      <c r="T110" s="1058"/>
      <c r="U110" s="1059"/>
      <c r="V110" s="1058"/>
      <c r="W110" s="1059"/>
      <c r="X110" s="1058"/>
      <c r="Y110" s="1059"/>
      <c r="Z110" s="1058"/>
      <c r="AA110" s="1059"/>
      <c r="AB110" s="1058"/>
      <c r="AC110" s="1059"/>
      <c r="AD110" s="1058"/>
      <c r="AE110" s="1059"/>
      <c r="AF110" s="976"/>
      <c r="AG110" s="1060">
        <f t="shared" ref="AG110:AH110" si="206">F110+H110+J110+L110+N110+P110+R110+T110+V110+X110+Z110+AB110+AD110</f>
        <v>0</v>
      </c>
      <c r="AH110" s="1061">
        <f t="shared" si="206"/>
        <v>0</v>
      </c>
      <c r="AI110" s="1062">
        <f t="shared" ref="AI110:AJ110" si="207">J110+H110+L110+N110+P110+R110+T110+V110+X110+Z110+AB110+AD110</f>
        <v>0</v>
      </c>
      <c r="AJ110" s="1063">
        <f t="shared" si="207"/>
        <v>0</v>
      </c>
      <c r="AK110" s="522"/>
      <c r="AL110" s="522"/>
      <c r="AM110" s="930" t="s">
        <v>2930</v>
      </c>
    </row>
    <row r="111" spans="1:39" ht="26.25" customHeight="1">
      <c r="A111" s="982"/>
      <c r="B111" s="394"/>
      <c r="C111" s="1043"/>
      <c r="D111" s="1064"/>
      <c r="E111" s="1065"/>
      <c r="F111" s="1066"/>
      <c r="G111" s="1067"/>
      <c r="H111" s="1066"/>
      <c r="I111" s="1067"/>
      <c r="J111" s="1055"/>
      <c r="K111" s="1056"/>
      <c r="L111" s="1055"/>
      <c r="M111" s="1056"/>
      <c r="N111" s="1055"/>
      <c r="O111" s="1057"/>
      <c r="P111" s="1058"/>
      <c r="Q111" s="1059"/>
      <c r="R111" s="1058"/>
      <c r="S111" s="1059"/>
      <c r="T111" s="1058"/>
      <c r="U111" s="1059"/>
      <c r="V111" s="1058"/>
      <c r="W111" s="1059"/>
      <c r="X111" s="1058"/>
      <c r="Y111" s="1059"/>
      <c r="Z111" s="1058"/>
      <c r="AA111" s="1059"/>
      <c r="AB111" s="1058"/>
      <c r="AC111" s="1059"/>
      <c r="AD111" s="1058"/>
      <c r="AE111" s="1059"/>
      <c r="AF111" s="976"/>
      <c r="AG111" s="1060">
        <f t="shared" ref="AG111:AH111" si="208">F111+H111+J111+L111+N111+P111+R111+T111+V111+X111+Z111+AB111+AD111</f>
        <v>0</v>
      </c>
      <c r="AH111" s="1061">
        <f t="shared" si="208"/>
        <v>0</v>
      </c>
      <c r="AI111" s="1062">
        <f t="shared" ref="AI111:AJ111" si="209">J111+H111+L111+N111+P111+R111+T111+V111+X111+Z111+AB111+AD111</f>
        <v>0</v>
      </c>
      <c r="AJ111" s="1063">
        <f t="shared" si="209"/>
        <v>0</v>
      </c>
      <c r="AK111" s="522"/>
      <c r="AL111" s="522"/>
      <c r="AM111" s="902" t="s">
        <v>2941</v>
      </c>
    </row>
    <row r="112" spans="1:39" ht="26.25" customHeight="1">
      <c r="A112" s="1003"/>
      <c r="B112" s="394"/>
      <c r="C112" s="1043"/>
      <c r="D112" s="1064"/>
      <c r="E112" s="1065"/>
      <c r="F112" s="1066"/>
      <c r="G112" s="1067"/>
      <c r="H112" s="1066"/>
      <c r="I112" s="1067"/>
      <c r="J112" s="1058"/>
      <c r="K112" s="1059"/>
      <c r="L112" s="1058"/>
      <c r="M112" s="1059"/>
      <c r="N112" s="1058"/>
      <c r="O112" s="1072"/>
      <c r="P112" s="1058"/>
      <c r="Q112" s="1059"/>
      <c r="R112" s="1058"/>
      <c r="S112" s="1059"/>
      <c r="T112" s="1058"/>
      <c r="U112" s="1059"/>
      <c r="V112" s="1058"/>
      <c r="W112" s="1059"/>
      <c r="X112" s="1058"/>
      <c r="Y112" s="1059"/>
      <c r="Z112" s="1058"/>
      <c r="AA112" s="1059"/>
      <c r="AB112" s="1058"/>
      <c r="AC112" s="1059"/>
      <c r="AD112" s="1058"/>
      <c r="AE112" s="1059"/>
      <c r="AF112" s="976"/>
      <c r="AG112" s="1060">
        <f t="shared" ref="AG112:AH112" si="210">F112+H112+J112+L112+N112+P112+R112+T112+V112+X112+Z112+AB112+AD112</f>
        <v>0</v>
      </c>
      <c r="AH112" s="1061">
        <f t="shared" si="210"/>
        <v>0</v>
      </c>
      <c r="AI112" s="1062">
        <f t="shared" ref="AI112:AJ112" si="211">J112+H112+L112+N112+P112+R112+T112+V112+X112+Z112+AB112+AD112</f>
        <v>0</v>
      </c>
      <c r="AJ112" s="1063">
        <f t="shared" si="211"/>
        <v>0</v>
      </c>
      <c r="AK112" s="522"/>
      <c r="AL112" s="522"/>
      <c r="AM112" s="930" t="s">
        <v>2953</v>
      </c>
    </row>
    <row r="113" spans="1:39" ht="26.25" customHeight="1">
      <c r="A113" s="982"/>
      <c r="B113" s="394"/>
      <c r="C113" s="1043"/>
      <c r="D113" s="1051"/>
      <c r="E113" s="1052"/>
      <c r="F113" s="1053"/>
      <c r="G113" s="1054"/>
      <c r="H113" s="1053"/>
      <c r="I113" s="1054"/>
      <c r="J113" s="1058"/>
      <c r="K113" s="1059"/>
      <c r="L113" s="1058"/>
      <c r="M113" s="1059"/>
      <c r="N113" s="1058"/>
      <c r="O113" s="1072"/>
      <c r="P113" s="1058"/>
      <c r="Q113" s="1059"/>
      <c r="R113" s="1058"/>
      <c r="S113" s="1059"/>
      <c r="T113" s="1058"/>
      <c r="U113" s="1059"/>
      <c r="V113" s="1058"/>
      <c r="W113" s="1059"/>
      <c r="X113" s="1058"/>
      <c r="Y113" s="1059"/>
      <c r="Z113" s="1058"/>
      <c r="AA113" s="1059"/>
      <c r="AB113" s="1058"/>
      <c r="AC113" s="1059"/>
      <c r="AD113" s="1058"/>
      <c r="AE113" s="1059"/>
      <c r="AF113" s="976"/>
      <c r="AG113" s="1060">
        <f t="shared" ref="AG113:AH113" si="212">F113+H113+J113+L113+N113+P113+R113+T113+V113+X113+Z113+AB113+AD113</f>
        <v>0</v>
      </c>
      <c r="AH113" s="1061">
        <f t="shared" si="212"/>
        <v>0</v>
      </c>
      <c r="AI113" s="1062">
        <f t="shared" ref="AI113:AJ113" si="213">J113+H113+L113+N113+P113+R113+T113+V113+X113+Z113+AB113+AD113</f>
        <v>0</v>
      </c>
      <c r="AJ113" s="1063">
        <f t="shared" si="213"/>
        <v>0</v>
      </c>
      <c r="AK113" s="522"/>
      <c r="AL113" s="522"/>
      <c r="AM113" s="930" t="s">
        <v>2953</v>
      </c>
    </row>
    <row r="114" spans="1:39" ht="26.25" customHeight="1">
      <c r="A114" s="1003"/>
      <c r="B114" s="394"/>
      <c r="C114" s="1043"/>
      <c r="D114" s="1064"/>
      <c r="E114" s="1065"/>
      <c r="F114" s="1066"/>
      <c r="G114" s="1067"/>
      <c r="H114" s="1066"/>
      <c r="I114" s="1067"/>
      <c r="J114" s="1058"/>
      <c r="K114" s="1059"/>
      <c r="L114" s="1058"/>
      <c r="M114" s="1059"/>
      <c r="N114" s="1058"/>
      <c r="O114" s="1072"/>
      <c r="P114" s="1058"/>
      <c r="Q114" s="1059"/>
      <c r="R114" s="1058"/>
      <c r="S114" s="1059"/>
      <c r="T114" s="1058"/>
      <c r="U114" s="1059"/>
      <c r="V114" s="1058"/>
      <c r="W114" s="1059"/>
      <c r="X114" s="1058"/>
      <c r="Y114" s="1059"/>
      <c r="Z114" s="1058"/>
      <c r="AA114" s="1059"/>
      <c r="AB114" s="1058"/>
      <c r="AC114" s="1059"/>
      <c r="AD114" s="1058"/>
      <c r="AE114" s="1059"/>
      <c r="AF114" s="976"/>
      <c r="AG114" s="1060">
        <f t="shared" ref="AG114:AH114" si="214">F114+H114+J114+L114+N114+P114+R114+T114+V114+X114+Z114+AB114+AD114</f>
        <v>0</v>
      </c>
      <c r="AH114" s="1061">
        <f t="shared" si="214"/>
        <v>0</v>
      </c>
      <c r="AI114" s="1062">
        <f t="shared" ref="AI114:AJ114" si="215">J114+H114+L114+N114+P114+R114+T114+V114+X114+Z114+AB114+AD114</f>
        <v>0</v>
      </c>
      <c r="AJ114" s="1063">
        <f t="shared" si="215"/>
        <v>0</v>
      </c>
      <c r="AK114" s="522"/>
      <c r="AL114" s="522"/>
      <c r="AM114" s="902" t="s">
        <v>2941</v>
      </c>
    </row>
    <row r="115" spans="1:39" ht="26.25" customHeight="1">
      <c r="A115" s="982"/>
      <c r="B115" s="394"/>
      <c r="C115" s="1043"/>
      <c r="D115" s="1064"/>
      <c r="E115" s="1065"/>
      <c r="F115" s="1066"/>
      <c r="G115" s="1067"/>
      <c r="H115" s="1066"/>
      <c r="I115" s="1067"/>
      <c r="J115" s="1058"/>
      <c r="K115" s="1059"/>
      <c r="L115" s="1058"/>
      <c r="M115" s="1059"/>
      <c r="N115" s="1058"/>
      <c r="O115" s="1072"/>
      <c r="P115" s="1058"/>
      <c r="Q115" s="1059"/>
      <c r="R115" s="1058"/>
      <c r="S115" s="1059"/>
      <c r="T115" s="1058"/>
      <c r="U115" s="1059"/>
      <c r="V115" s="1058"/>
      <c r="W115" s="1059"/>
      <c r="X115" s="1058"/>
      <c r="Y115" s="1059"/>
      <c r="Z115" s="1058"/>
      <c r="AA115" s="1059"/>
      <c r="AB115" s="1058"/>
      <c r="AC115" s="1059"/>
      <c r="AD115" s="1058"/>
      <c r="AE115" s="1059"/>
      <c r="AF115" s="976"/>
      <c r="AG115" s="1060">
        <f t="shared" ref="AG115:AH115" si="216">F115+H115+J115+L115+N115+P115+R115+T115+V115+X115+Z115+AB115+AD115</f>
        <v>0</v>
      </c>
      <c r="AH115" s="1061">
        <f t="shared" si="216"/>
        <v>0</v>
      </c>
      <c r="AI115" s="1062">
        <f t="shared" ref="AI115:AJ115" si="217">J115+H115+L115+N115+P115+R115+T115+V115+X115+Z115+AB115+AD115</f>
        <v>0</v>
      </c>
      <c r="AJ115" s="1063">
        <f t="shared" si="217"/>
        <v>0</v>
      </c>
      <c r="AK115" s="522"/>
      <c r="AL115" s="522"/>
      <c r="AM115" s="902" t="s">
        <v>2941</v>
      </c>
    </row>
    <row r="116" spans="1:39" ht="26.25" customHeight="1">
      <c r="A116" s="1003"/>
      <c r="B116" s="394"/>
      <c r="C116" s="1043"/>
      <c r="D116" s="1051"/>
      <c r="E116" s="1052"/>
      <c r="F116" s="1053"/>
      <c r="G116" s="1054"/>
      <c r="H116" s="1053"/>
      <c r="I116" s="1054"/>
      <c r="J116" s="1058"/>
      <c r="K116" s="1059"/>
      <c r="L116" s="1058"/>
      <c r="M116" s="1059"/>
      <c r="N116" s="1058"/>
      <c r="O116" s="1072"/>
      <c r="P116" s="1058"/>
      <c r="Q116" s="1059"/>
      <c r="R116" s="1058"/>
      <c r="S116" s="1059"/>
      <c r="T116" s="1058"/>
      <c r="U116" s="1059"/>
      <c r="V116" s="1058"/>
      <c r="W116" s="1059"/>
      <c r="X116" s="1058"/>
      <c r="Y116" s="1059"/>
      <c r="Z116" s="1058"/>
      <c r="AA116" s="1059"/>
      <c r="AB116" s="1058"/>
      <c r="AC116" s="1059"/>
      <c r="AD116" s="1058"/>
      <c r="AE116" s="1059"/>
      <c r="AF116" s="976"/>
      <c r="AG116" s="1060">
        <f t="shared" ref="AG116:AH116" si="218">F116+H116+J116+L116+N116+P116+R116+T116+V116+X116+Z116+AB116+AD116</f>
        <v>0</v>
      </c>
      <c r="AH116" s="1061">
        <f t="shared" si="218"/>
        <v>0</v>
      </c>
      <c r="AI116" s="1062">
        <f t="shared" ref="AI116:AJ116" si="219">J116+H116+L116+N116+P116+R116+T116+V116+X116+Z116+AB116+AD116</f>
        <v>0</v>
      </c>
      <c r="AJ116" s="1063">
        <f t="shared" si="219"/>
        <v>0</v>
      </c>
      <c r="AK116" s="522"/>
      <c r="AL116" s="522"/>
      <c r="AM116" s="930" t="s">
        <v>2953</v>
      </c>
    </row>
    <row r="117" spans="1:39" ht="26.25" customHeight="1">
      <c r="A117" s="982"/>
      <c r="B117" s="901"/>
      <c r="C117" s="1073"/>
      <c r="D117" s="1074"/>
      <c r="E117" s="1075"/>
      <c r="F117" s="1058"/>
      <c r="G117" s="1059"/>
      <c r="H117" s="1058"/>
      <c r="I117" s="1059"/>
      <c r="J117" s="1058"/>
      <c r="K117" s="1059"/>
      <c r="L117" s="1058"/>
      <c r="M117" s="1059"/>
      <c r="N117" s="1058"/>
      <c r="O117" s="1072"/>
      <c r="P117" s="1058"/>
      <c r="Q117" s="1059"/>
      <c r="R117" s="1058"/>
      <c r="S117" s="1059"/>
      <c r="T117" s="1058"/>
      <c r="U117" s="1059"/>
      <c r="V117" s="1058"/>
      <c r="W117" s="1059"/>
      <c r="X117" s="1058"/>
      <c r="Y117" s="1059"/>
      <c r="Z117" s="1058"/>
      <c r="AA117" s="1059"/>
      <c r="AB117" s="1058"/>
      <c r="AC117" s="1059"/>
      <c r="AD117" s="1058"/>
      <c r="AE117" s="1059"/>
      <c r="AF117" s="976"/>
      <c r="AG117" s="1060">
        <f t="shared" ref="AG117:AH117" si="220">F117+H117+J117+L117+N117+P117+R117+T117+V117+X117+Z117+AB117+AD117</f>
        <v>0</v>
      </c>
      <c r="AH117" s="1061">
        <f t="shared" si="220"/>
        <v>0</v>
      </c>
      <c r="AI117" s="1076"/>
      <c r="AJ117" s="1077"/>
      <c r="AK117" s="522"/>
      <c r="AL117" s="522"/>
      <c r="AM117" s="930" t="s">
        <v>2930</v>
      </c>
    </row>
    <row r="118" spans="1:39" ht="26.25" customHeight="1">
      <c r="A118" s="1003"/>
      <c r="B118" s="901"/>
      <c r="C118" s="1073"/>
      <c r="D118" s="1074"/>
      <c r="E118" s="1075"/>
      <c r="F118" s="1058"/>
      <c r="G118" s="1059"/>
      <c r="H118" s="1058"/>
      <c r="I118" s="1059"/>
      <c r="J118" s="1058"/>
      <c r="K118" s="1059"/>
      <c r="L118" s="1058"/>
      <c r="M118" s="1059"/>
      <c r="N118" s="1058"/>
      <c r="O118" s="1072"/>
      <c r="P118" s="1058"/>
      <c r="Q118" s="1059"/>
      <c r="R118" s="1058"/>
      <c r="S118" s="1059"/>
      <c r="T118" s="1058"/>
      <c r="U118" s="1059"/>
      <c r="V118" s="1058"/>
      <c r="W118" s="1059"/>
      <c r="X118" s="1058"/>
      <c r="Y118" s="1059"/>
      <c r="Z118" s="1058"/>
      <c r="AA118" s="1059"/>
      <c r="AB118" s="1058"/>
      <c r="AC118" s="1059"/>
      <c r="AD118" s="1058"/>
      <c r="AE118" s="1059"/>
      <c r="AF118" s="976"/>
      <c r="AG118" s="1060">
        <f t="shared" ref="AG118:AH118" si="221">F118+H118+J118+L118+N118+P118+R118+T118+V118+X118+Z118+AB118+AD118</f>
        <v>0</v>
      </c>
      <c r="AH118" s="1061">
        <f t="shared" si="221"/>
        <v>0</v>
      </c>
      <c r="AI118" s="1076"/>
      <c r="AJ118" s="1077"/>
      <c r="AK118" s="522"/>
      <c r="AL118" s="522"/>
      <c r="AM118" s="902" t="s">
        <v>2939</v>
      </c>
    </row>
    <row r="119" spans="1:39" ht="26.25" customHeight="1">
      <c r="A119" s="982"/>
      <c r="B119" s="901"/>
      <c r="C119" s="1073"/>
      <c r="D119" s="1074"/>
      <c r="E119" s="1075"/>
      <c r="F119" s="1058"/>
      <c r="G119" s="1059"/>
      <c r="H119" s="1058"/>
      <c r="I119" s="1059"/>
      <c r="J119" s="1058"/>
      <c r="K119" s="1059"/>
      <c r="L119" s="1058"/>
      <c r="M119" s="1059"/>
      <c r="N119" s="1058"/>
      <c r="O119" s="1072"/>
      <c r="P119" s="1058"/>
      <c r="Q119" s="1059"/>
      <c r="R119" s="1058"/>
      <c r="S119" s="1059"/>
      <c r="T119" s="1058"/>
      <c r="U119" s="1059"/>
      <c r="V119" s="1058"/>
      <c r="W119" s="1059"/>
      <c r="X119" s="1058"/>
      <c r="Y119" s="1059"/>
      <c r="Z119" s="1058"/>
      <c r="AA119" s="1059"/>
      <c r="AB119" s="1058"/>
      <c r="AC119" s="1059"/>
      <c r="AD119" s="1058"/>
      <c r="AE119" s="1059"/>
      <c r="AF119" s="976"/>
      <c r="AG119" s="1060">
        <f t="shared" ref="AG119:AH119" si="222">F119+H119+J119+L119+N119+P119+R119+T119+V119+X119+Z119+AB119+AD119</f>
        <v>0</v>
      </c>
      <c r="AH119" s="1061">
        <f t="shared" si="222"/>
        <v>0</v>
      </c>
      <c r="AI119" s="1076"/>
      <c r="AJ119" s="1077"/>
      <c r="AK119" s="522"/>
      <c r="AL119" s="522"/>
      <c r="AM119" s="902" t="s">
        <v>3010</v>
      </c>
    </row>
    <row r="120" spans="1:39" ht="26.25" customHeight="1">
      <c r="A120" s="1078"/>
      <c r="B120" s="901"/>
      <c r="C120" s="1073"/>
      <c r="D120" s="1074"/>
      <c r="E120" s="1075"/>
      <c r="F120" s="1058"/>
      <c r="G120" s="1059"/>
      <c r="H120" s="1058"/>
      <c r="I120" s="1059"/>
      <c r="J120" s="1058"/>
      <c r="K120" s="1059"/>
      <c r="L120" s="1058"/>
      <c r="M120" s="1059"/>
      <c r="N120" s="1058"/>
      <c r="O120" s="1072"/>
      <c r="P120" s="1058"/>
      <c r="Q120" s="1059"/>
      <c r="R120" s="1058"/>
      <c r="S120" s="1059"/>
      <c r="T120" s="1058"/>
      <c r="U120" s="1059"/>
      <c r="V120" s="1058"/>
      <c r="W120" s="1059"/>
      <c r="X120" s="1058"/>
      <c r="Y120" s="1059"/>
      <c r="Z120" s="1058"/>
      <c r="AA120" s="1059"/>
      <c r="AB120" s="1058"/>
      <c r="AC120" s="1059"/>
      <c r="AD120" s="1058"/>
      <c r="AE120" s="1059"/>
      <c r="AF120" s="976"/>
      <c r="AG120" s="1060"/>
      <c r="AH120" s="1061"/>
      <c r="AI120" s="1076"/>
      <c r="AJ120" s="1077"/>
      <c r="AK120" s="522"/>
      <c r="AL120" s="522"/>
      <c r="AM120" s="902"/>
    </row>
    <row r="121" spans="1:39" ht="26.25" customHeight="1">
      <c r="A121" s="1079"/>
      <c r="B121" s="901"/>
      <c r="C121" s="1073"/>
      <c r="D121" s="1074"/>
      <c r="E121" s="1075"/>
      <c r="F121" s="1058"/>
      <c r="G121" s="1059"/>
      <c r="H121" s="1058"/>
      <c r="I121" s="1059"/>
      <c r="J121" s="1058"/>
      <c r="K121" s="1059"/>
      <c r="L121" s="1058"/>
      <c r="M121" s="1059"/>
      <c r="N121" s="1058"/>
      <c r="O121" s="1072"/>
      <c r="P121" s="1058"/>
      <c r="Q121" s="1059"/>
      <c r="R121" s="1058"/>
      <c r="S121" s="1059"/>
      <c r="T121" s="1058"/>
      <c r="U121" s="1059"/>
      <c r="V121" s="1058"/>
      <c r="W121" s="1059"/>
      <c r="X121" s="1058"/>
      <c r="Y121" s="1059"/>
      <c r="Z121" s="1058"/>
      <c r="AA121" s="1059"/>
      <c r="AB121" s="1058"/>
      <c r="AC121" s="1059"/>
      <c r="AD121" s="1058"/>
      <c r="AE121" s="1059"/>
      <c r="AF121" s="976"/>
      <c r="AG121" s="1060"/>
      <c r="AH121" s="1061"/>
      <c r="AI121" s="1076"/>
      <c r="AJ121" s="1077"/>
      <c r="AK121" s="522"/>
      <c r="AL121" s="522"/>
      <c r="AM121" s="930"/>
    </row>
    <row r="122" spans="1:39" ht="26.25" customHeight="1">
      <c r="A122" s="1078"/>
      <c r="B122" s="1080"/>
      <c r="C122" s="1081"/>
      <c r="D122" s="1082"/>
      <c r="E122" s="1075"/>
      <c r="F122" s="1058"/>
      <c r="G122" s="1059"/>
      <c r="H122" s="1058"/>
      <c r="I122" s="1059"/>
      <c r="J122" s="1058"/>
      <c r="K122" s="1059"/>
      <c r="L122" s="1058"/>
      <c r="M122" s="1059"/>
      <c r="N122" s="1058"/>
      <c r="O122" s="1072"/>
      <c r="P122" s="1058"/>
      <c r="Q122" s="1059"/>
      <c r="R122" s="1058"/>
      <c r="S122" s="1059"/>
      <c r="T122" s="1058"/>
      <c r="U122" s="1059"/>
      <c r="V122" s="1058"/>
      <c r="W122" s="1059"/>
      <c r="X122" s="1058"/>
      <c r="Y122" s="1059"/>
      <c r="Z122" s="1058"/>
      <c r="AA122" s="1059"/>
      <c r="AB122" s="1058"/>
      <c r="AC122" s="1059"/>
      <c r="AD122" s="1058"/>
      <c r="AE122" s="1059"/>
      <c r="AF122" s="976"/>
      <c r="AG122" s="1060"/>
      <c r="AH122" s="1061"/>
      <c r="AI122" s="1076"/>
      <c r="AJ122" s="1077"/>
      <c r="AK122" s="522"/>
      <c r="AL122" s="522"/>
    </row>
    <row r="123" spans="1:39" ht="26.25" customHeight="1">
      <c r="A123" s="1079"/>
      <c r="B123" s="1080"/>
      <c r="C123" s="1081"/>
      <c r="D123" s="1082"/>
      <c r="E123" s="1075"/>
      <c r="F123" s="1058"/>
      <c r="G123" s="1059"/>
      <c r="H123" s="1058"/>
      <c r="I123" s="1059"/>
      <c r="J123" s="1058"/>
      <c r="K123" s="1059"/>
      <c r="L123" s="1058"/>
      <c r="M123" s="1059"/>
      <c r="N123" s="1058"/>
      <c r="O123" s="1072"/>
      <c r="P123" s="1058"/>
      <c r="Q123" s="1059"/>
      <c r="R123" s="1058"/>
      <c r="S123" s="1059"/>
      <c r="T123" s="1058"/>
      <c r="U123" s="1059"/>
      <c r="V123" s="1058"/>
      <c r="W123" s="1059"/>
      <c r="X123" s="1058"/>
      <c r="Y123" s="1059"/>
      <c r="Z123" s="1058"/>
      <c r="AA123" s="1059"/>
      <c r="AB123" s="1058"/>
      <c r="AC123" s="1059"/>
      <c r="AD123" s="1058"/>
      <c r="AE123" s="1059"/>
      <c r="AF123" s="976"/>
      <c r="AG123" s="1060"/>
      <c r="AH123" s="1061"/>
      <c r="AI123" s="1076"/>
      <c r="AJ123" s="1077"/>
      <c r="AK123" s="522"/>
      <c r="AL123" s="522"/>
    </row>
    <row r="124" spans="1:39" ht="26.25" customHeight="1">
      <c r="A124" s="1078"/>
      <c r="B124" s="1080"/>
      <c r="C124" s="1081"/>
      <c r="D124" s="1082"/>
      <c r="E124" s="1075"/>
      <c r="F124" s="1058"/>
      <c r="G124" s="1059"/>
      <c r="H124" s="1058"/>
      <c r="I124" s="1059"/>
      <c r="J124" s="1058"/>
      <c r="K124" s="1059"/>
      <c r="L124" s="1058"/>
      <c r="M124" s="1059"/>
      <c r="N124" s="1058"/>
      <c r="O124" s="1072"/>
      <c r="P124" s="1058"/>
      <c r="Q124" s="1059"/>
      <c r="R124" s="1058"/>
      <c r="S124" s="1059"/>
      <c r="T124" s="1058"/>
      <c r="U124" s="1059"/>
      <c r="V124" s="1058"/>
      <c r="W124" s="1059"/>
      <c r="X124" s="1058"/>
      <c r="Y124" s="1059"/>
      <c r="Z124" s="1058"/>
      <c r="AA124" s="1059"/>
      <c r="AB124" s="1058"/>
      <c r="AC124" s="1059"/>
      <c r="AD124" s="1058"/>
      <c r="AE124" s="1059"/>
      <c r="AF124" s="976"/>
      <c r="AG124" s="1060"/>
      <c r="AH124" s="1061"/>
      <c r="AI124" s="1076"/>
      <c r="AJ124" s="1077"/>
      <c r="AK124" s="522"/>
      <c r="AL124" s="522"/>
    </row>
    <row r="125" spans="1:39" ht="26.25" customHeight="1">
      <c r="A125" s="1079"/>
      <c r="B125" s="1080"/>
      <c r="C125" s="1081"/>
      <c r="D125" s="1082"/>
      <c r="E125" s="1083"/>
      <c r="F125" s="1058"/>
      <c r="G125" s="1059"/>
      <c r="H125" s="1058"/>
      <c r="I125" s="1059"/>
      <c r="J125" s="1058"/>
      <c r="K125" s="1059"/>
      <c r="L125" s="1058"/>
      <c r="M125" s="1059"/>
      <c r="N125" s="1058"/>
      <c r="O125" s="1072"/>
      <c r="P125" s="1058"/>
      <c r="Q125" s="1059"/>
      <c r="R125" s="1058"/>
      <c r="S125" s="1059"/>
      <c r="T125" s="1058"/>
      <c r="U125" s="1059"/>
      <c r="V125" s="1058"/>
      <c r="W125" s="1059"/>
      <c r="X125" s="1058"/>
      <c r="Y125" s="1059"/>
      <c r="Z125" s="1058"/>
      <c r="AA125" s="1059"/>
      <c r="AB125" s="1058"/>
      <c r="AC125" s="1059"/>
      <c r="AD125" s="1058"/>
      <c r="AE125" s="1059"/>
      <c r="AF125" s="976"/>
      <c r="AG125" s="1060"/>
      <c r="AH125" s="1061"/>
      <c r="AI125" s="1076"/>
      <c r="AJ125" s="1077"/>
      <c r="AK125" s="522"/>
      <c r="AL125" s="522"/>
    </row>
    <row r="126" spans="1:39" ht="26.25" customHeight="1">
      <c r="A126" s="1225" t="s">
        <v>3012</v>
      </c>
      <c r="B126" s="1226"/>
      <c r="C126" s="1226"/>
      <c r="D126" s="1227"/>
      <c r="E126" s="1084"/>
      <c r="F126" s="1085">
        <f t="shared" ref="F126:AE126" si="223">SUM(F7:F78)</f>
        <v>967</v>
      </c>
      <c r="G126" s="1086">
        <f t="shared" si="223"/>
        <v>4418</v>
      </c>
      <c r="H126" s="1087">
        <f t="shared" si="223"/>
        <v>0</v>
      </c>
      <c r="I126" s="1087">
        <f t="shared" si="223"/>
        <v>0</v>
      </c>
      <c r="J126" s="1087">
        <f t="shared" si="223"/>
        <v>6</v>
      </c>
      <c r="K126" s="1087">
        <f t="shared" si="223"/>
        <v>71</v>
      </c>
      <c r="L126" s="1087">
        <f t="shared" si="223"/>
        <v>8</v>
      </c>
      <c r="M126" s="1087">
        <f t="shared" si="223"/>
        <v>149</v>
      </c>
      <c r="N126" s="1087">
        <f t="shared" si="223"/>
        <v>6</v>
      </c>
      <c r="O126" s="1087">
        <f t="shared" si="223"/>
        <v>159</v>
      </c>
      <c r="P126" s="1087">
        <f t="shared" si="223"/>
        <v>10</v>
      </c>
      <c r="Q126" s="1087">
        <f t="shared" si="223"/>
        <v>154</v>
      </c>
      <c r="R126" s="1087">
        <f t="shared" si="223"/>
        <v>10</v>
      </c>
      <c r="S126" s="1087">
        <f t="shared" si="223"/>
        <v>116</v>
      </c>
      <c r="T126" s="1087">
        <f t="shared" si="223"/>
        <v>2</v>
      </c>
      <c r="U126" s="1087">
        <f t="shared" si="223"/>
        <v>114</v>
      </c>
      <c r="V126" s="1087">
        <f t="shared" si="223"/>
        <v>22</v>
      </c>
      <c r="W126" s="1087">
        <f t="shared" si="223"/>
        <v>158</v>
      </c>
      <c r="X126" s="1087">
        <f t="shared" si="223"/>
        <v>6</v>
      </c>
      <c r="Y126" s="1087">
        <f t="shared" si="223"/>
        <v>83</v>
      </c>
      <c r="Z126" s="1087">
        <f t="shared" si="223"/>
        <v>5</v>
      </c>
      <c r="AA126" s="1087">
        <f t="shared" si="223"/>
        <v>135</v>
      </c>
      <c r="AB126" s="1087">
        <f t="shared" si="223"/>
        <v>30</v>
      </c>
      <c r="AC126" s="1087">
        <f t="shared" si="223"/>
        <v>95</v>
      </c>
      <c r="AD126" s="1087">
        <f t="shared" si="223"/>
        <v>0</v>
      </c>
      <c r="AE126" s="1087">
        <f t="shared" si="223"/>
        <v>0</v>
      </c>
      <c r="AF126" s="1088"/>
      <c r="AG126" s="1089">
        <f t="shared" ref="AG126:AH126" si="224">F126+H126+J126+L126+N126+P126+R126+T126+V126+X126+Z126+AB126+AD126</f>
        <v>1072</v>
      </c>
      <c r="AH126" s="1090">
        <f t="shared" si="224"/>
        <v>5652</v>
      </c>
      <c r="AI126" s="1091">
        <f>J126+H126+L126+N126+P126+R126+T126+V126+X126+Z126+AB126+AD126</f>
        <v>105</v>
      </c>
      <c r="AJ126" s="1092">
        <f>SUM(AJ7:AJ84)</f>
        <v>1234</v>
      </c>
      <c r="AK126" s="522"/>
      <c r="AL126" s="522"/>
      <c r="AM126" s="670"/>
    </row>
    <row r="127" spans="1:39" ht="26.25" customHeight="1">
      <c r="A127" s="1093"/>
      <c r="B127" s="1093"/>
      <c r="C127" s="1094"/>
      <c r="D127" s="1093"/>
      <c r="E127" s="1093"/>
      <c r="F127" s="1093"/>
      <c r="G127" s="1093"/>
      <c r="H127" s="1093"/>
      <c r="I127" s="1093"/>
      <c r="J127" s="1093"/>
      <c r="K127" s="1093"/>
      <c r="L127" s="1093"/>
      <c r="M127" s="1093"/>
      <c r="N127" s="1093"/>
      <c r="O127" s="1093"/>
      <c r="P127" s="1095"/>
      <c r="Q127" s="1095"/>
      <c r="R127" s="1095"/>
      <c r="S127" s="1095"/>
      <c r="T127" s="1095"/>
      <c r="U127" s="1095"/>
      <c r="V127" s="1095"/>
      <c r="W127" s="1095"/>
      <c r="X127" s="1095"/>
      <c r="Y127" s="1095"/>
      <c r="Z127" s="1095"/>
      <c r="AA127" s="1095"/>
      <c r="AB127" s="1095"/>
      <c r="AC127" s="1095"/>
      <c r="AD127" s="1095"/>
      <c r="AE127" s="1095"/>
      <c r="AF127" s="1096"/>
      <c r="AG127" s="227"/>
      <c r="AH127" s="227"/>
      <c r="AK127" s="1030"/>
      <c r="AL127" s="1030"/>
    </row>
    <row r="128" spans="1:39" ht="26.25" customHeight="1">
      <c r="A128" s="1097"/>
      <c r="B128" s="1097"/>
      <c r="C128" s="1098"/>
      <c r="D128" s="1097"/>
      <c r="E128" s="1097"/>
      <c r="F128" s="1097"/>
      <c r="G128" s="1097"/>
      <c r="H128" s="1097"/>
      <c r="I128" s="1097"/>
      <c r="J128" s="1097"/>
      <c r="K128" s="1097"/>
      <c r="L128" s="1097"/>
      <c r="M128" s="1097"/>
      <c r="N128" s="1097"/>
      <c r="O128" s="1099"/>
      <c r="P128" s="1100"/>
      <c r="Q128" s="1100"/>
      <c r="R128" s="1100"/>
      <c r="S128" s="1100"/>
      <c r="T128" s="1100"/>
      <c r="U128" s="1100"/>
      <c r="V128" s="1100"/>
      <c r="W128" s="1100"/>
      <c r="X128" s="1100"/>
      <c r="Y128" s="1100"/>
      <c r="Z128" s="1100"/>
      <c r="AA128" s="1100"/>
      <c r="AB128" s="1100"/>
      <c r="AC128" s="1100"/>
      <c r="AD128" s="1100"/>
      <c r="AE128" s="1100"/>
      <c r="AF128" s="1096"/>
      <c r="AG128" s="227"/>
      <c r="AH128" s="227"/>
      <c r="AK128" s="1030"/>
      <c r="AL128" s="1030"/>
    </row>
    <row r="129" spans="1:38" ht="26.25" customHeight="1">
      <c r="A129" s="227"/>
      <c r="B129" s="227"/>
      <c r="C129" s="227"/>
      <c r="D129" s="755"/>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c r="AA129" s="227"/>
      <c r="AB129" s="227"/>
      <c r="AC129" s="227"/>
      <c r="AD129" s="227"/>
      <c r="AE129" s="227"/>
      <c r="AF129" s="1096"/>
      <c r="AG129" s="227"/>
      <c r="AH129" s="227"/>
      <c r="AK129" s="1030"/>
      <c r="AL129" s="1030"/>
    </row>
    <row r="130" spans="1:38" ht="26.25" customHeight="1">
      <c r="A130" s="227"/>
      <c r="B130" s="227"/>
      <c r="C130" s="227"/>
      <c r="D130" s="755"/>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c r="AA130" s="227"/>
      <c r="AB130" s="227"/>
      <c r="AC130" s="227"/>
      <c r="AD130" s="227"/>
      <c r="AE130" s="227"/>
      <c r="AF130" s="1096"/>
      <c r="AG130" s="227"/>
      <c r="AH130" s="227"/>
      <c r="AK130" s="1030"/>
      <c r="AL130" s="1030"/>
    </row>
    <row r="131" spans="1:38" ht="26.25" customHeight="1">
      <c r="C131" s="602"/>
      <c r="D131" s="275"/>
      <c r="AF131" s="976"/>
      <c r="AK131" s="1030"/>
      <c r="AL131" s="1030"/>
    </row>
    <row r="132" spans="1:38" ht="26.25" customHeight="1">
      <c r="C132" s="602"/>
      <c r="D132" s="275"/>
      <c r="AF132" s="976"/>
      <c r="AK132" s="1030"/>
      <c r="AL132" s="1030"/>
    </row>
    <row r="133" spans="1:38" ht="26.25" customHeight="1">
      <c r="C133" s="602"/>
      <c r="D133" s="275"/>
      <c r="AF133" s="976"/>
      <c r="AK133" s="1030"/>
      <c r="AL133" s="1030"/>
    </row>
    <row r="134" spans="1:38" ht="26.25" customHeight="1">
      <c r="C134" s="602"/>
      <c r="D134" s="275"/>
      <c r="AF134" s="976"/>
      <c r="AK134" s="1030"/>
      <c r="AL134" s="1030"/>
    </row>
    <row r="135" spans="1:38" ht="26.25" customHeight="1">
      <c r="C135" s="602"/>
      <c r="D135" s="275"/>
      <c r="AF135" s="976"/>
      <c r="AK135" s="1030"/>
      <c r="AL135" s="1030"/>
    </row>
    <row r="136" spans="1:38" ht="26.25" customHeight="1">
      <c r="C136" s="602"/>
      <c r="D136" s="275"/>
      <c r="AF136" s="976"/>
      <c r="AK136" s="1030"/>
      <c r="AL136" s="1030"/>
    </row>
    <row r="137" spans="1:38" ht="26.25" customHeight="1">
      <c r="C137" s="602"/>
      <c r="D137" s="275"/>
      <c r="AF137" s="976"/>
      <c r="AK137" s="1030"/>
      <c r="AL137" s="1030"/>
    </row>
    <row r="138" spans="1:38" ht="26.25" customHeight="1">
      <c r="C138" s="602"/>
      <c r="D138" s="275"/>
      <c r="AF138" s="976"/>
      <c r="AK138" s="1030"/>
      <c r="AL138" s="1030"/>
    </row>
    <row r="139" spans="1:38" ht="26.25" customHeight="1">
      <c r="C139" s="602"/>
      <c r="D139" s="275"/>
      <c r="AF139" s="976"/>
      <c r="AK139" s="1030"/>
      <c r="AL139" s="1030"/>
    </row>
    <row r="140" spans="1:38" ht="26.25" customHeight="1">
      <c r="C140" s="602"/>
      <c r="D140" s="275"/>
      <c r="AF140" s="976"/>
      <c r="AK140" s="1030"/>
      <c r="AL140" s="1030"/>
    </row>
    <row r="141" spans="1:38" ht="26.25" customHeight="1">
      <c r="C141" s="602"/>
      <c r="D141" s="275"/>
      <c r="AF141" s="976"/>
      <c r="AK141" s="1030"/>
      <c r="AL141" s="1030"/>
    </row>
    <row r="142" spans="1:38" ht="26.25" customHeight="1">
      <c r="C142" s="602"/>
      <c r="D142" s="275"/>
      <c r="AF142" s="976"/>
      <c r="AK142" s="1030"/>
      <c r="AL142" s="1030"/>
    </row>
    <row r="143" spans="1:38" ht="26.25" customHeight="1">
      <c r="C143" s="602"/>
      <c r="D143" s="275"/>
      <c r="AF143" s="976"/>
      <c r="AK143" s="1030"/>
      <c r="AL143" s="1030"/>
    </row>
    <row r="144" spans="1:38" ht="26.25" customHeight="1">
      <c r="C144" s="602"/>
      <c r="D144" s="275"/>
      <c r="AF144" s="976"/>
      <c r="AK144" s="1030"/>
      <c r="AL144" s="1030"/>
    </row>
    <row r="145" spans="3:38" ht="26.25" customHeight="1">
      <c r="C145" s="602"/>
      <c r="D145" s="275"/>
      <c r="AF145" s="976"/>
      <c r="AK145" s="1030"/>
      <c r="AL145" s="1030"/>
    </row>
    <row r="146" spans="3:38" ht="26.25" customHeight="1">
      <c r="C146" s="602"/>
      <c r="D146" s="275"/>
      <c r="AF146" s="976"/>
      <c r="AK146" s="1030"/>
      <c r="AL146" s="1030"/>
    </row>
    <row r="147" spans="3:38" ht="26.25" customHeight="1">
      <c r="C147" s="602"/>
      <c r="D147" s="275"/>
      <c r="AF147" s="976"/>
      <c r="AK147" s="1030"/>
      <c r="AL147" s="1030"/>
    </row>
    <row r="148" spans="3:38" ht="26.25" customHeight="1">
      <c r="C148" s="602"/>
      <c r="D148" s="275"/>
      <c r="AF148" s="976"/>
      <c r="AK148" s="1030"/>
      <c r="AL148" s="1030"/>
    </row>
    <row r="149" spans="3:38" ht="15.75" customHeight="1">
      <c r="C149" s="602"/>
      <c r="D149" s="275"/>
      <c r="AF149" s="976"/>
      <c r="AK149" s="1030"/>
      <c r="AL149" s="1030"/>
    </row>
    <row r="150" spans="3:38" ht="15.75" customHeight="1">
      <c r="C150" s="602"/>
      <c r="D150" s="275"/>
      <c r="AF150" s="976"/>
      <c r="AK150" s="1030"/>
      <c r="AL150" s="1030"/>
    </row>
    <row r="151" spans="3:38" ht="15.75" customHeight="1">
      <c r="C151" s="602"/>
      <c r="D151" s="275"/>
      <c r="AF151" s="976"/>
      <c r="AK151" s="1030"/>
      <c r="AL151" s="1030"/>
    </row>
    <row r="152" spans="3:38" ht="15.75" customHeight="1">
      <c r="C152" s="602"/>
      <c r="D152" s="275"/>
      <c r="AF152" s="976"/>
      <c r="AK152" s="1030"/>
      <c r="AL152" s="1030"/>
    </row>
    <row r="153" spans="3:38" ht="15.75" customHeight="1">
      <c r="C153" s="602"/>
      <c r="D153" s="275"/>
      <c r="AF153" s="976"/>
      <c r="AK153" s="1030"/>
      <c r="AL153" s="1030"/>
    </row>
    <row r="154" spans="3:38" ht="15.75" customHeight="1">
      <c r="C154" s="602"/>
      <c r="D154" s="275"/>
      <c r="AF154" s="976"/>
      <c r="AK154" s="1030"/>
      <c r="AL154" s="1030"/>
    </row>
    <row r="155" spans="3:38" ht="15.75" customHeight="1">
      <c r="C155" s="602"/>
      <c r="D155" s="275"/>
      <c r="AF155" s="976"/>
      <c r="AK155" s="1030"/>
      <c r="AL155" s="1030"/>
    </row>
    <row r="156" spans="3:38" ht="15.75" customHeight="1">
      <c r="C156" s="602"/>
      <c r="D156" s="275"/>
      <c r="AF156" s="976"/>
      <c r="AK156" s="1030"/>
      <c r="AL156" s="1030"/>
    </row>
    <row r="157" spans="3:38" ht="15.75" customHeight="1">
      <c r="C157" s="602"/>
      <c r="D157" s="275"/>
      <c r="AF157" s="976"/>
      <c r="AK157" s="1030"/>
      <c r="AL157" s="1030"/>
    </row>
    <row r="158" spans="3:38" ht="15.75" customHeight="1">
      <c r="C158" s="602"/>
      <c r="D158" s="275"/>
      <c r="AF158" s="976"/>
      <c r="AK158" s="1030"/>
      <c r="AL158" s="1030"/>
    </row>
    <row r="159" spans="3:38" ht="15.75" customHeight="1">
      <c r="C159" s="602"/>
      <c r="D159" s="275"/>
      <c r="AF159" s="976"/>
      <c r="AK159" s="1030"/>
      <c r="AL159" s="1030"/>
    </row>
    <row r="160" spans="3:38" ht="15.75" customHeight="1">
      <c r="C160" s="602"/>
      <c r="D160" s="275"/>
      <c r="AF160" s="976"/>
      <c r="AK160" s="1030"/>
      <c r="AL160" s="1030"/>
    </row>
    <row r="161" spans="3:38" ht="15.75" customHeight="1">
      <c r="C161" s="602"/>
      <c r="D161" s="275"/>
      <c r="AF161" s="976"/>
      <c r="AK161" s="1030"/>
      <c r="AL161" s="1030"/>
    </row>
    <row r="162" spans="3:38" ht="15.75" customHeight="1">
      <c r="C162" s="602"/>
      <c r="D162" s="275"/>
      <c r="AF162" s="976"/>
      <c r="AK162" s="1030"/>
      <c r="AL162" s="1030"/>
    </row>
    <row r="163" spans="3:38" ht="15.75" customHeight="1">
      <c r="C163" s="602"/>
      <c r="D163" s="275"/>
      <c r="AF163" s="976"/>
      <c r="AK163" s="1030"/>
      <c r="AL163" s="1030"/>
    </row>
    <row r="164" spans="3:38" ht="15.75" customHeight="1">
      <c r="C164" s="602"/>
      <c r="D164" s="275"/>
      <c r="AF164" s="976"/>
      <c r="AK164" s="1030"/>
      <c r="AL164" s="1030"/>
    </row>
    <row r="165" spans="3:38" ht="15.75" customHeight="1">
      <c r="C165" s="602"/>
      <c r="D165" s="275"/>
      <c r="AF165" s="976"/>
      <c r="AK165" s="1030"/>
      <c r="AL165" s="1030"/>
    </row>
    <row r="166" spans="3:38" ht="15.75" customHeight="1">
      <c r="C166" s="602"/>
      <c r="D166" s="275"/>
      <c r="AF166" s="976"/>
      <c r="AK166" s="1030"/>
      <c r="AL166" s="1030"/>
    </row>
    <row r="167" spans="3:38" ht="15.75" customHeight="1">
      <c r="C167" s="602"/>
      <c r="D167" s="275"/>
      <c r="AF167" s="976"/>
      <c r="AK167" s="1030"/>
      <c r="AL167" s="1030"/>
    </row>
    <row r="168" spans="3:38" ht="15.75" customHeight="1">
      <c r="C168" s="602"/>
      <c r="D168" s="275"/>
      <c r="AF168" s="976"/>
      <c r="AK168" s="1030"/>
      <c r="AL168" s="1030"/>
    </row>
    <row r="169" spans="3:38" ht="15.75" customHeight="1">
      <c r="C169" s="602"/>
      <c r="D169" s="275"/>
      <c r="AF169" s="976"/>
      <c r="AK169" s="1030"/>
      <c r="AL169" s="1030"/>
    </row>
    <row r="170" spans="3:38" ht="15.75" customHeight="1">
      <c r="C170" s="602"/>
      <c r="D170" s="275"/>
      <c r="AF170" s="976"/>
      <c r="AK170" s="1030"/>
      <c r="AL170" s="1030"/>
    </row>
    <row r="171" spans="3:38" ht="15.75" customHeight="1">
      <c r="C171" s="602"/>
      <c r="D171" s="275"/>
      <c r="AF171" s="976"/>
      <c r="AK171" s="1030"/>
      <c r="AL171" s="1030"/>
    </row>
    <row r="172" spans="3:38" ht="15.75" customHeight="1">
      <c r="C172" s="602"/>
      <c r="D172" s="275"/>
      <c r="AF172" s="976"/>
      <c r="AK172" s="1030"/>
      <c r="AL172" s="1030"/>
    </row>
    <row r="173" spans="3:38" ht="15.75" customHeight="1">
      <c r="C173" s="602"/>
      <c r="D173" s="275"/>
      <c r="AF173" s="976"/>
      <c r="AK173" s="1030"/>
      <c r="AL173" s="1030"/>
    </row>
    <row r="174" spans="3:38" ht="15.75" customHeight="1">
      <c r="C174" s="602"/>
      <c r="D174" s="275"/>
      <c r="AF174" s="976"/>
      <c r="AK174" s="1030"/>
      <c r="AL174" s="1030"/>
    </row>
    <row r="175" spans="3:38" ht="15.75" customHeight="1">
      <c r="C175" s="602"/>
      <c r="D175" s="275"/>
      <c r="AF175" s="976"/>
      <c r="AK175" s="1030"/>
      <c r="AL175" s="1030"/>
    </row>
    <row r="176" spans="3:38" ht="15.75" customHeight="1">
      <c r="C176" s="602"/>
      <c r="D176" s="275"/>
      <c r="AF176" s="976"/>
      <c r="AK176" s="1030"/>
      <c r="AL176" s="1030"/>
    </row>
    <row r="177" spans="3:38" ht="15.75" customHeight="1">
      <c r="C177" s="602"/>
      <c r="D177" s="275"/>
      <c r="AF177" s="976"/>
      <c r="AK177" s="1030"/>
      <c r="AL177" s="1030"/>
    </row>
    <row r="178" spans="3:38" ht="15.75" customHeight="1">
      <c r="C178" s="602"/>
      <c r="D178" s="275"/>
      <c r="AF178" s="976"/>
      <c r="AK178" s="1030"/>
      <c r="AL178" s="1030"/>
    </row>
    <row r="179" spans="3:38" ht="15.75" customHeight="1">
      <c r="C179" s="602"/>
      <c r="D179" s="275"/>
      <c r="AF179" s="976"/>
      <c r="AK179" s="1030"/>
      <c r="AL179" s="1030"/>
    </row>
    <row r="180" spans="3:38" ht="15.75" customHeight="1">
      <c r="C180" s="602"/>
      <c r="D180" s="275"/>
      <c r="AF180" s="976"/>
      <c r="AK180" s="1030"/>
      <c r="AL180" s="1030"/>
    </row>
    <row r="181" spans="3:38" ht="15.75" customHeight="1">
      <c r="C181" s="602"/>
      <c r="D181" s="275"/>
      <c r="AF181" s="976"/>
      <c r="AK181" s="1030"/>
      <c r="AL181" s="1030"/>
    </row>
    <row r="182" spans="3:38" ht="15.75" customHeight="1">
      <c r="C182" s="602"/>
      <c r="D182" s="275"/>
      <c r="AF182" s="976"/>
      <c r="AK182" s="1030"/>
      <c r="AL182" s="1030"/>
    </row>
    <row r="183" spans="3:38" ht="15.75" customHeight="1">
      <c r="C183" s="602"/>
      <c r="D183" s="275"/>
      <c r="AF183" s="976"/>
      <c r="AK183" s="1030"/>
      <c r="AL183" s="1030"/>
    </row>
    <row r="184" spans="3:38" ht="15.75" customHeight="1">
      <c r="C184" s="602"/>
      <c r="D184" s="275"/>
      <c r="AF184" s="976"/>
      <c r="AK184" s="1030"/>
      <c r="AL184" s="1030"/>
    </row>
    <row r="185" spans="3:38" ht="15.75" customHeight="1">
      <c r="C185" s="602"/>
      <c r="D185" s="275"/>
      <c r="AF185" s="976"/>
      <c r="AK185" s="1030"/>
      <c r="AL185" s="1030"/>
    </row>
    <row r="186" spans="3:38" ht="15.75" customHeight="1">
      <c r="C186" s="602"/>
      <c r="D186" s="275"/>
      <c r="AF186" s="976"/>
      <c r="AK186" s="1030"/>
      <c r="AL186" s="1030"/>
    </row>
    <row r="187" spans="3:38" ht="15.75" customHeight="1">
      <c r="C187" s="602"/>
      <c r="D187" s="275"/>
      <c r="AF187" s="976"/>
      <c r="AK187" s="1030"/>
      <c r="AL187" s="1030"/>
    </row>
    <row r="188" spans="3:38" ht="15.75" customHeight="1">
      <c r="C188" s="602"/>
      <c r="D188" s="275"/>
      <c r="AF188" s="976"/>
      <c r="AK188" s="1030"/>
      <c r="AL188" s="1030"/>
    </row>
    <row r="189" spans="3:38" ht="15.75" customHeight="1">
      <c r="C189" s="602"/>
      <c r="D189" s="275"/>
      <c r="AF189" s="976"/>
      <c r="AK189" s="1030"/>
      <c r="AL189" s="1030"/>
    </row>
    <row r="190" spans="3:38" ht="15.75" customHeight="1">
      <c r="C190" s="602"/>
      <c r="D190" s="275"/>
      <c r="AF190" s="976"/>
      <c r="AK190" s="1030"/>
      <c r="AL190" s="1030"/>
    </row>
    <row r="191" spans="3:38" ht="15.75" customHeight="1">
      <c r="C191" s="602"/>
      <c r="D191" s="275"/>
      <c r="AF191" s="976"/>
      <c r="AK191" s="1030"/>
      <c r="AL191" s="1030"/>
    </row>
    <row r="192" spans="3:38" ht="15.75" customHeight="1">
      <c r="C192" s="602"/>
      <c r="D192" s="275"/>
      <c r="AF192" s="976"/>
      <c r="AK192" s="1030"/>
      <c r="AL192" s="1030"/>
    </row>
    <row r="193" spans="3:38" ht="15.75" customHeight="1">
      <c r="C193" s="602"/>
      <c r="D193" s="275"/>
      <c r="AF193" s="976"/>
      <c r="AK193" s="1030"/>
      <c r="AL193" s="1030"/>
    </row>
    <row r="194" spans="3:38" ht="15.75" customHeight="1">
      <c r="C194" s="602"/>
      <c r="D194" s="275"/>
      <c r="AF194" s="976"/>
      <c r="AK194" s="1030"/>
      <c r="AL194" s="1030"/>
    </row>
    <row r="195" spans="3:38" ht="15.75" customHeight="1">
      <c r="C195" s="602"/>
      <c r="D195" s="275"/>
      <c r="AF195" s="976"/>
      <c r="AK195" s="1030"/>
      <c r="AL195" s="1030"/>
    </row>
    <row r="196" spans="3:38" ht="15.75" customHeight="1">
      <c r="C196" s="602"/>
      <c r="D196" s="275"/>
      <c r="AF196" s="976"/>
      <c r="AK196" s="1030"/>
      <c r="AL196" s="1030"/>
    </row>
    <row r="197" spans="3:38" ht="15.75" customHeight="1">
      <c r="C197" s="602"/>
      <c r="D197" s="275"/>
      <c r="AF197" s="976"/>
      <c r="AK197" s="1030"/>
      <c r="AL197" s="1030"/>
    </row>
    <row r="198" spans="3:38" ht="15.75" customHeight="1">
      <c r="C198" s="602"/>
      <c r="D198" s="275"/>
      <c r="AF198" s="976"/>
      <c r="AK198" s="1030"/>
      <c r="AL198" s="1030"/>
    </row>
    <row r="199" spans="3:38" ht="15.75" customHeight="1">
      <c r="C199" s="602"/>
      <c r="D199" s="275"/>
      <c r="AF199" s="976"/>
      <c r="AK199" s="1030"/>
      <c r="AL199" s="1030"/>
    </row>
    <row r="200" spans="3:38" ht="15.75" customHeight="1">
      <c r="C200" s="602"/>
      <c r="D200" s="275"/>
      <c r="AF200" s="976"/>
      <c r="AK200" s="1030"/>
      <c r="AL200" s="1030"/>
    </row>
    <row r="201" spans="3:38" ht="15.75" customHeight="1">
      <c r="C201" s="602"/>
      <c r="D201" s="275"/>
      <c r="AF201" s="976"/>
      <c r="AK201" s="1030"/>
      <c r="AL201" s="1030"/>
    </row>
    <row r="202" spans="3:38" ht="15.75" customHeight="1">
      <c r="C202" s="602"/>
      <c r="D202" s="275"/>
      <c r="AF202" s="976"/>
      <c r="AK202" s="1030"/>
      <c r="AL202" s="1030"/>
    </row>
    <row r="203" spans="3:38" ht="15.75" customHeight="1">
      <c r="C203" s="602"/>
      <c r="D203" s="275"/>
      <c r="AF203" s="976"/>
      <c r="AK203" s="1030"/>
      <c r="AL203" s="1030"/>
    </row>
    <row r="204" spans="3:38" ht="15.75" customHeight="1">
      <c r="C204" s="602"/>
      <c r="D204" s="275"/>
      <c r="AF204" s="976"/>
      <c r="AK204" s="1030"/>
      <c r="AL204" s="1030"/>
    </row>
    <row r="205" spans="3:38" ht="15.75" customHeight="1">
      <c r="C205" s="602"/>
      <c r="D205" s="275"/>
      <c r="AF205" s="976"/>
      <c r="AK205" s="1030"/>
      <c r="AL205" s="1030"/>
    </row>
    <row r="206" spans="3:38" ht="15.75" customHeight="1">
      <c r="C206" s="602"/>
      <c r="D206" s="275"/>
      <c r="AF206" s="976"/>
      <c r="AK206" s="1030"/>
      <c r="AL206" s="1030"/>
    </row>
    <row r="207" spans="3:38" ht="15.75" customHeight="1">
      <c r="C207" s="602"/>
      <c r="D207" s="275"/>
      <c r="AF207" s="976"/>
      <c r="AK207" s="1030"/>
      <c r="AL207" s="1030"/>
    </row>
    <row r="208" spans="3:38" ht="15.75" customHeight="1">
      <c r="C208" s="602"/>
      <c r="D208" s="275"/>
      <c r="AF208" s="976"/>
      <c r="AK208" s="1030"/>
      <c r="AL208" s="1030"/>
    </row>
    <row r="209" spans="3:38" ht="15.75" customHeight="1">
      <c r="C209" s="602"/>
      <c r="D209" s="275"/>
      <c r="AF209" s="976"/>
      <c r="AK209" s="1030"/>
      <c r="AL209" s="1030"/>
    </row>
    <row r="210" spans="3:38" ht="15.75" customHeight="1">
      <c r="C210" s="602"/>
      <c r="D210" s="275"/>
      <c r="AF210" s="976"/>
      <c r="AK210" s="1030"/>
      <c r="AL210" s="1030"/>
    </row>
    <row r="211" spans="3:38" ht="15.75" customHeight="1">
      <c r="C211" s="602"/>
      <c r="D211" s="275"/>
      <c r="AF211" s="976"/>
      <c r="AK211" s="1030"/>
      <c r="AL211" s="1030"/>
    </row>
    <row r="212" spans="3:38" ht="15.75" customHeight="1">
      <c r="C212" s="602"/>
      <c r="D212" s="275"/>
      <c r="AF212" s="976"/>
      <c r="AK212" s="1030"/>
      <c r="AL212" s="1030"/>
    </row>
    <row r="213" spans="3:38" ht="15.75" customHeight="1">
      <c r="C213" s="602"/>
      <c r="D213" s="275"/>
      <c r="AF213" s="976"/>
      <c r="AK213" s="1030"/>
      <c r="AL213" s="1030"/>
    </row>
    <row r="214" spans="3:38" ht="15.75" customHeight="1">
      <c r="C214" s="602"/>
      <c r="D214" s="275"/>
      <c r="AF214" s="976"/>
      <c r="AK214" s="1030"/>
      <c r="AL214" s="1030"/>
    </row>
    <row r="215" spans="3:38" ht="15.75" customHeight="1">
      <c r="C215" s="602"/>
      <c r="D215" s="275"/>
      <c r="AF215" s="976"/>
      <c r="AK215" s="1030"/>
      <c r="AL215" s="1030"/>
    </row>
    <row r="216" spans="3:38" ht="15.75" customHeight="1">
      <c r="C216" s="602"/>
      <c r="D216" s="275"/>
      <c r="AF216" s="976"/>
      <c r="AK216" s="1030"/>
      <c r="AL216" s="1030"/>
    </row>
    <row r="217" spans="3:38" ht="15.75" customHeight="1">
      <c r="C217" s="602"/>
      <c r="D217" s="275"/>
      <c r="AF217" s="976"/>
      <c r="AK217" s="1030"/>
      <c r="AL217" s="1030"/>
    </row>
    <row r="218" spans="3:38" ht="15.75" customHeight="1">
      <c r="C218" s="602"/>
      <c r="D218" s="275"/>
      <c r="AF218" s="976"/>
      <c r="AK218" s="1030"/>
      <c r="AL218" s="1030"/>
    </row>
    <row r="219" spans="3:38" ht="15.75" customHeight="1">
      <c r="C219" s="602"/>
      <c r="D219" s="275"/>
      <c r="AF219" s="976"/>
      <c r="AK219" s="1030"/>
      <c r="AL219" s="1030"/>
    </row>
    <row r="220" spans="3:38" ht="15.75" customHeight="1">
      <c r="C220" s="602"/>
      <c r="D220" s="275"/>
      <c r="AF220" s="976"/>
      <c r="AK220" s="1030"/>
      <c r="AL220" s="1030"/>
    </row>
    <row r="221" spans="3:38" ht="15.75" customHeight="1">
      <c r="C221" s="602"/>
      <c r="D221" s="275"/>
      <c r="AF221" s="976"/>
      <c r="AK221" s="1030"/>
      <c r="AL221" s="1030"/>
    </row>
    <row r="222" spans="3:38" ht="15.75" customHeight="1">
      <c r="C222" s="602"/>
      <c r="D222" s="275"/>
      <c r="AF222" s="976"/>
      <c r="AK222" s="1030"/>
      <c r="AL222" s="1030"/>
    </row>
    <row r="223" spans="3:38" ht="15.75" customHeight="1">
      <c r="C223" s="602"/>
      <c r="D223" s="275"/>
      <c r="AF223" s="976"/>
      <c r="AK223" s="1030"/>
      <c r="AL223" s="1030"/>
    </row>
    <row r="224" spans="3:38" ht="15.75" customHeight="1">
      <c r="C224" s="602"/>
      <c r="D224" s="275"/>
      <c r="AF224" s="976"/>
      <c r="AK224" s="1030"/>
      <c r="AL224" s="1030"/>
    </row>
    <row r="225" spans="3:38" ht="15.75" customHeight="1">
      <c r="C225" s="602"/>
      <c r="D225" s="275"/>
      <c r="AF225" s="976"/>
      <c r="AK225" s="1030"/>
      <c r="AL225" s="1030"/>
    </row>
    <row r="226" spans="3:38" ht="15.75" customHeight="1">
      <c r="C226" s="602"/>
      <c r="D226" s="275"/>
      <c r="AF226" s="976"/>
      <c r="AK226" s="1030"/>
      <c r="AL226" s="1030"/>
    </row>
    <row r="227" spans="3:38" ht="15.75" customHeight="1">
      <c r="C227" s="602"/>
      <c r="D227" s="275"/>
      <c r="AF227" s="976"/>
      <c r="AK227" s="1030"/>
      <c r="AL227" s="1030"/>
    </row>
    <row r="228" spans="3:38" ht="15.75" customHeight="1">
      <c r="C228" s="602"/>
      <c r="D228" s="275"/>
      <c r="AF228" s="976"/>
      <c r="AK228" s="1030"/>
      <c r="AL228" s="1030"/>
    </row>
    <row r="229" spans="3:38" ht="15.75" customHeight="1">
      <c r="C229" s="602"/>
      <c r="D229" s="275"/>
      <c r="AF229" s="976"/>
      <c r="AK229" s="1030"/>
      <c r="AL229" s="1030"/>
    </row>
    <row r="230" spans="3:38" ht="15.75" customHeight="1">
      <c r="C230" s="602"/>
      <c r="D230" s="275"/>
      <c r="AF230" s="976"/>
      <c r="AK230" s="1030"/>
      <c r="AL230" s="1030"/>
    </row>
    <row r="231" spans="3:38" ht="15.75" customHeight="1">
      <c r="C231" s="602"/>
      <c r="D231" s="275"/>
      <c r="AF231" s="976"/>
      <c r="AK231" s="1030"/>
      <c r="AL231" s="1030"/>
    </row>
    <row r="232" spans="3:38" ht="15.75" customHeight="1">
      <c r="C232" s="602"/>
      <c r="D232" s="275"/>
      <c r="AF232" s="976"/>
      <c r="AK232" s="1030"/>
      <c r="AL232" s="1030"/>
    </row>
    <row r="233" spans="3:38" ht="15.75" customHeight="1">
      <c r="C233" s="602"/>
      <c r="D233" s="275"/>
      <c r="AF233" s="976"/>
      <c r="AK233" s="1030"/>
      <c r="AL233" s="1030"/>
    </row>
    <row r="234" spans="3:38" ht="15.75" customHeight="1">
      <c r="C234" s="602"/>
      <c r="D234" s="275"/>
      <c r="AF234" s="976"/>
      <c r="AK234" s="1030"/>
      <c r="AL234" s="1030"/>
    </row>
    <row r="235" spans="3:38" ht="15.75" customHeight="1">
      <c r="C235" s="602"/>
      <c r="D235" s="275"/>
      <c r="AF235" s="976"/>
      <c r="AK235" s="1030"/>
      <c r="AL235" s="1030"/>
    </row>
    <row r="236" spans="3:38" ht="15.75" customHeight="1">
      <c r="C236" s="602"/>
      <c r="D236" s="275"/>
      <c r="AF236" s="976"/>
      <c r="AK236" s="1030"/>
      <c r="AL236" s="1030"/>
    </row>
    <row r="237" spans="3:38" ht="15.75" customHeight="1">
      <c r="C237" s="602"/>
      <c r="D237" s="275"/>
      <c r="AF237" s="976"/>
      <c r="AK237" s="1030"/>
      <c r="AL237" s="1030"/>
    </row>
    <row r="238" spans="3:38" ht="15.75" customHeight="1">
      <c r="C238" s="602"/>
      <c r="D238" s="275"/>
      <c r="AF238" s="976"/>
      <c r="AK238" s="1030"/>
      <c r="AL238" s="1030"/>
    </row>
    <row r="239" spans="3:38" ht="15.75" customHeight="1">
      <c r="C239" s="602"/>
      <c r="D239" s="275"/>
      <c r="AF239" s="976"/>
      <c r="AK239" s="1030"/>
      <c r="AL239" s="1030"/>
    </row>
    <row r="240" spans="3:38" ht="15.75" customHeight="1">
      <c r="C240" s="602"/>
      <c r="D240" s="275"/>
      <c r="AF240" s="976"/>
      <c r="AK240" s="1030"/>
      <c r="AL240" s="1030"/>
    </row>
    <row r="241" spans="3:38" ht="15.75" customHeight="1">
      <c r="C241" s="602"/>
      <c r="D241" s="275"/>
      <c r="AF241" s="976"/>
      <c r="AK241" s="1030"/>
      <c r="AL241" s="1030"/>
    </row>
    <row r="242" spans="3:38" ht="15.75" customHeight="1">
      <c r="C242" s="602"/>
      <c r="D242" s="275"/>
      <c r="AF242" s="976"/>
      <c r="AK242" s="1030"/>
      <c r="AL242" s="1030"/>
    </row>
    <row r="243" spans="3:38" ht="15.75" customHeight="1">
      <c r="C243" s="602"/>
      <c r="D243" s="275"/>
      <c r="AF243" s="976"/>
      <c r="AK243" s="1030"/>
      <c r="AL243" s="1030"/>
    </row>
    <row r="244" spans="3:38" ht="15.75" customHeight="1">
      <c r="C244" s="602"/>
      <c r="D244" s="275"/>
      <c r="AF244" s="976"/>
      <c r="AK244" s="1030"/>
      <c r="AL244" s="1030"/>
    </row>
    <row r="245" spans="3:38" ht="15.75" customHeight="1">
      <c r="C245" s="602"/>
      <c r="D245" s="275"/>
      <c r="AF245" s="976"/>
      <c r="AK245" s="1030"/>
      <c r="AL245" s="1030"/>
    </row>
    <row r="246" spans="3:38" ht="15.75" customHeight="1">
      <c r="C246" s="602"/>
      <c r="D246" s="275"/>
      <c r="AF246" s="976"/>
      <c r="AK246" s="1030"/>
      <c r="AL246" s="1030"/>
    </row>
    <row r="247" spans="3:38" ht="15.75" customHeight="1">
      <c r="C247" s="602"/>
      <c r="D247" s="275"/>
      <c r="AF247" s="976"/>
      <c r="AK247" s="1030"/>
      <c r="AL247" s="1030"/>
    </row>
    <row r="248" spans="3:38" ht="15.75" customHeight="1">
      <c r="C248" s="602"/>
      <c r="D248" s="275"/>
      <c r="AF248" s="976"/>
      <c r="AK248" s="1030"/>
      <c r="AL248" s="1030"/>
    </row>
    <row r="249" spans="3:38" ht="15.75" customHeight="1">
      <c r="C249" s="602"/>
      <c r="D249" s="275"/>
      <c r="AF249" s="976"/>
      <c r="AK249" s="1030"/>
      <c r="AL249" s="1030"/>
    </row>
    <row r="250" spans="3:38" ht="15.75" customHeight="1">
      <c r="C250" s="602"/>
      <c r="D250" s="275"/>
      <c r="AF250" s="976"/>
      <c r="AK250" s="1030"/>
      <c r="AL250" s="1030"/>
    </row>
    <row r="251" spans="3:38" ht="15.75" customHeight="1">
      <c r="C251" s="602"/>
      <c r="D251" s="275"/>
      <c r="AF251" s="976"/>
      <c r="AK251" s="1030"/>
      <c r="AL251" s="1030"/>
    </row>
    <row r="252" spans="3:38" ht="15.75" customHeight="1">
      <c r="C252" s="602"/>
      <c r="D252" s="275"/>
      <c r="AF252" s="976"/>
      <c r="AK252" s="1030"/>
      <c r="AL252" s="1030"/>
    </row>
    <row r="253" spans="3:38" ht="15.75" customHeight="1">
      <c r="C253" s="602"/>
      <c r="D253" s="275"/>
      <c r="AF253" s="976"/>
      <c r="AK253" s="1030"/>
      <c r="AL253" s="1030"/>
    </row>
    <row r="254" spans="3:38" ht="15.75" customHeight="1">
      <c r="C254" s="602"/>
      <c r="D254" s="275"/>
      <c r="AF254" s="976"/>
      <c r="AK254" s="1030"/>
      <c r="AL254" s="1030"/>
    </row>
    <row r="255" spans="3:38" ht="15.75" customHeight="1">
      <c r="C255" s="602"/>
      <c r="D255" s="275"/>
      <c r="AF255" s="976"/>
      <c r="AK255" s="1030"/>
      <c r="AL255" s="1030"/>
    </row>
    <row r="256" spans="3:38" ht="15.75" customHeight="1">
      <c r="C256" s="602"/>
      <c r="D256" s="275"/>
      <c r="AF256" s="976"/>
      <c r="AK256" s="1030"/>
      <c r="AL256" s="1030"/>
    </row>
    <row r="257" spans="3:38" ht="15.75" customHeight="1">
      <c r="C257" s="602"/>
      <c r="D257" s="275"/>
      <c r="AF257" s="976"/>
      <c r="AK257" s="1030"/>
      <c r="AL257" s="1030"/>
    </row>
    <row r="258" spans="3:38" ht="15.75" customHeight="1">
      <c r="C258" s="602"/>
      <c r="D258" s="275"/>
      <c r="AF258" s="976"/>
      <c r="AK258" s="1030"/>
      <c r="AL258" s="1030"/>
    </row>
    <row r="259" spans="3:38" ht="15.75" customHeight="1">
      <c r="C259" s="602"/>
      <c r="D259" s="275"/>
      <c r="AF259" s="976"/>
      <c r="AK259" s="1030"/>
      <c r="AL259" s="1030"/>
    </row>
    <row r="260" spans="3:38" ht="15.75" customHeight="1">
      <c r="C260" s="602"/>
      <c r="D260" s="275"/>
      <c r="AF260" s="976"/>
      <c r="AK260" s="1030"/>
      <c r="AL260" s="1030"/>
    </row>
    <row r="261" spans="3:38" ht="15.75" customHeight="1">
      <c r="C261" s="602"/>
      <c r="D261" s="275"/>
      <c r="AF261" s="976"/>
      <c r="AK261" s="1030"/>
      <c r="AL261" s="1030"/>
    </row>
    <row r="262" spans="3:38" ht="15.75" customHeight="1">
      <c r="C262" s="602"/>
      <c r="D262" s="275"/>
      <c r="AF262" s="976"/>
      <c r="AK262" s="1030"/>
      <c r="AL262" s="1030"/>
    </row>
    <row r="263" spans="3:38" ht="15.75" customHeight="1">
      <c r="C263" s="602"/>
      <c r="D263" s="275"/>
      <c r="AF263" s="976"/>
      <c r="AK263" s="1030"/>
      <c r="AL263" s="1030"/>
    </row>
    <row r="264" spans="3:38" ht="15.75" customHeight="1">
      <c r="C264" s="602"/>
      <c r="D264" s="275"/>
      <c r="AF264" s="976"/>
      <c r="AK264" s="1030"/>
      <c r="AL264" s="1030"/>
    </row>
    <row r="265" spans="3:38" ht="15.75" customHeight="1">
      <c r="C265" s="602"/>
      <c r="D265" s="275"/>
      <c r="AF265" s="976"/>
      <c r="AK265" s="1030"/>
      <c r="AL265" s="1030"/>
    </row>
    <row r="266" spans="3:38" ht="15.75" customHeight="1">
      <c r="C266" s="602"/>
      <c r="D266" s="275"/>
      <c r="AF266" s="976"/>
      <c r="AK266" s="1030"/>
      <c r="AL266" s="1030"/>
    </row>
    <row r="267" spans="3:38" ht="15.75" customHeight="1">
      <c r="C267" s="602"/>
      <c r="D267" s="275"/>
      <c r="AF267" s="976"/>
      <c r="AK267" s="1030"/>
      <c r="AL267" s="1030"/>
    </row>
    <row r="268" spans="3:38" ht="15.75" customHeight="1">
      <c r="C268" s="602"/>
      <c r="D268" s="275"/>
      <c r="AF268" s="976"/>
      <c r="AK268" s="1030"/>
      <c r="AL268" s="1030"/>
    </row>
    <row r="269" spans="3:38" ht="15.75" customHeight="1">
      <c r="C269" s="602"/>
      <c r="D269" s="275"/>
      <c r="AF269" s="976"/>
      <c r="AK269" s="1030"/>
      <c r="AL269" s="1030"/>
    </row>
    <row r="270" spans="3:38" ht="15.75" customHeight="1">
      <c r="C270" s="602"/>
      <c r="D270" s="275"/>
      <c r="AF270" s="976"/>
      <c r="AK270" s="1030"/>
      <c r="AL270" s="1030"/>
    </row>
    <row r="271" spans="3:38" ht="15.75" customHeight="1">
      <c r="C271" s="602"/>
      <c r="D271" s="275"/>
      <c r="AF271" s="976"/>
      <c r="AK271" s="1030"/>
      <c r="AL271" s="1030"/>
    </row>
    <row r="272" spans="3:38" ht="15.75" customHeight="1">
      <c r="C272" s="602"/>
      <c r="D272" s="275"/>
      <c r="AF272" s="976"/>
      <c r="AK272" s="1030"/>
      <c r="AL272" s="1030"/>
    </row>
    <row r="273" spans="3:38" ht="15.75" customHeight="1">
      <c r="C273" s="602"/>
      <c r="D273" s="275"/>
      <c r="AF273" s="976"/>
      <c r="AK273" s="1030"/>
      <c r="AL273" s="1030"/>
    </row>
    <row r="274" spans="3:38" ht="15.75" customHeight="1">
      <c r="C274" s="602"/>
      <c r="D274" s="275"/>
      <c r="AF274" s="976"/>
      <c r="AK274" s="1030"/>
      <c r="AL274" s="1030"/>
    </row>
    <row r="275" spans="3:38" ht="15.75" customHeight="1">
      <c r="C275" s="602"/>
      <c r="D275" s="275"/>
      <c r="AF275" s="976"/>
      <c r="AK275" s="1030"/>
      <c r="AL275" s="1030"/>
    </row>
    <row r="276" spans="3:38" ht="15.75" customHeight="1">
      <c r="C276" s="602"/>
      <c r="D276" s="275"/>
      <c r="AF276" s="976"/>
      <c r="AK276" s="1030"/>
      <c r="AL276" s="1030"/>
    </row>
    <row r="277" spans="3:38" ht="15.75" customHeight="1">
      <c r="C277" s="602"/>
      <c r="D277" s="275"/>
      <c r="AF277" s="976"/>
      <c r="AK277" s="1030"/>
      <c r="AL277" s="1030"/>
    </row>
    <row r="278" spans="3:38" ht="15.75" customHeight="1">
      <c r="C278" s="602"/>
      <c r="D278" s="275"/>
      <c r="AF278" s="976"/>
      <c r="AK278" s="1030"/>
      <c r="AL278" s="1030"/>
    </row>
    <row r="279" spans="3:38" ht="15.75" customHeight="1">
      <c r="C279" s="602"/>
      <c r="D279" s="275"/>
      <c r="AF279" s="976"/>
      <c r="AK279" s="1030"/>
      <c r="AL279" s="1030"/>
    </row>
    <row r="280" spans="3:38" ht="15.75" customHeight="1">
      <c r="C280" s="602"/>
      <c r="D280" s="275"/>
      <c r="AF280" s="976"/>
      <c r="AK280" s="1030"/>
      <c r="AL280" s="1030"/>
    </row>
    <row r="281" spans="3:38" ht="15.75" customHeight="1">
      <c r="C281" s="602"/>
      <c r="D281" s="275"/>
      <c r="AF281" s="976"/>
      <c r="AK281" s="1030"/>
      <c r="AL281" s="1030"/>
    </row>
    <row r="282" spans="3:38" ht="15.75" customHeight="1">
      <c r="C282" s="602"/>
      <c r="D282" s="275"/>
      <c r="AF282" s="976"/>
      <c r="AK282" s="1030"/>
      <c r="AL282" s="1030"/>
    </row>
    <row r="283" spans="3:38" ht="15.75" customHeight="1">
      <c r="C283" s="602"/>
      <c r="D283" s="275"/>
      <c r="AF283" s="976"/>
      <c r="AK283" s="1030"/>
      <c r="AL283" s="1030"/>
    </row>
    <row r="284" spans="3:38" ht="15.75" customHeight="1">
      <c r="C284" s="602"/>
      <c r="D284" s="275"/>
      <c r="AF284" s="976"/>
      <c r="AK284" s="1030"/>
      <c r="AL284" s="1030"/>
    </row>
    <row r="285" spans="3:38" ht="15.75" customHeight="1">
      <c r="C285" s="602"/>
      <c r="D285" s="275"/>
      <c r="AF285" s="976"/>
      <c r="AK285" s="1030"/>
      <c r="AL285" s="1030"/>
    </row>
    <row r="286" spans="3:38" ht="15.75" customHeight="1">
      <c r="C286" s="602"/>
      <c r="D286" s="275"/>
      <c r="AF286" s="976"/>
      <c r="AK286" s="1030"/>
      <c r="AL286" s="1030"/>
    </row>
    <row r="287" spans="3:38" ht="15.75" customHeight="1">
      <c r="C287" s="602"/>
      <c r="D287" s="275"/>
      <c r="AF287" s="976"/>
      <c r="AK287" s="1030"/>
      <c r="AL287" s="1030"/>
    </row>
    <row r="288" spans="3:38" ht="15.75" customHeight="1">
      <c r="C288" s="602"/>
      <c r="D288" s="275"/>
      <c r="AF288" s="976"/>
      <c r="AK288" s="1030"/>
      <c r="AL288" s="1030"/>
    </row>
    <row r="289" spans="3:38" ht="15.75" customHeight="1">
      <c r="C289" s="602"/>
      <c r="D289" s="275"/>
      <c r="AF289" s="976"/>
      <c r="AK289" s="1030"/>
      <c r="AL289" s="1030"/>
    </row>
    <row r="290" spans="3:38" ht="15.75" customHeight="1">
      <c r="C290" s="602"/>
      <c r="D290" s="275"/>
      <c r="AF290" s="976"/>
      <c r="AK290" s="1030"/>
      <c r="AL290" s="1030"/>
    </row>
    <row r="291" spans="3:38" ht="15.75" customHeight="1">
      <c r="C291" s="602"/>
      <c r="D291" s="275"/>
      <c r="AF291" s="976"/>
      <c r="AK291" s="1030"/>
      <c r="AL291" s="1030"/>
    </row>
    <row r="292" spans="3:38" ht="15.75" customHeight="1">
      <c r="C292" s="602"/>
      <c r="D292" s="275"/>
      <c r="AF292" s="976"/>
      <c r="AK292" s="1030"/>
      <c r="AL292" s="1030"/>
    </row>
    <row r="293" spans="3:38" ht="15.75" customHeight="1">
      <c r="C293" s="602"/>
      <c r="D293" s="275"/>
      <c r="AF293" s="976"/>
      <c r="AK293" s="1030"/>
      <c r="AL293" s="1030"/>
    </row>
    <row r="294" spans="3:38" ht="15.75" customHeight="1">
      <c r="C294" s="602"/>
      <c r="D294" s="275"/>
      <c r="AF294" s="976"/>
      <c r="AK294" s="1030"/>
      <c r="AL294" s="1030"/>
    </row>
    <row r="295" spans="3:38" ht="15.75" customHeight="1">
      <c r="C295" s="602"/>
      <c r="D295" s="275"/>
      <c r="AF295" s="976"/>
      <c r="AK295" s="1030"/>
      <c r="AL295" s="1030"/>
    </row>
    <row r="296" spans="3:38" ht="15.75" customHeight="1">
      <c r="C296" s="602"/>
      <c r="D296" s="275"/>
      <c r="AF296" s="976"/>
      <c r="AK296" s="1030"/>
      <c r="AL296" s="1030"/>
    </row>
    <row r="297" spans="3:38" ht="15.75" customHeight="1">
      <c r="C297" s="602"/>
      <c r="D297" s="275"/>
      <c r="AF297" s="976"/>
      <c r="AK297" s="1030"/>
      <c r="AL297" s="1030"/>
    </row>
    <row r="298" spans="3:38" ht="15.75" customHeight="1">
      <c r="C298" s="602"/>
      <c r="D298" s="275"/>
      <c r="AF298" s="976"/>
      <c r="AK298" s="1030"/>
      <c r="AL298" s="1030"/>
    </row>
    <row r="299" spans="3:38" ht="15.75" customHeight="1">
      <c r="C299" s="602"/>
      <c r="D299" s="275"/>
      <c r="AF299" s="976"/>
      <c r="AK299" s="1030"/>
      <c r="AL299" s="1030"/>
    </row>
    <row r="300" spans="3:38" ht="15.75" customHeight="1">
      <c r="C300" s="602"/>
      <c r="D300" s="275"/>
      <c r="AF300" s="976"/>
      <c r="AK300" s="1030"/>
      <c r="AL300" s="1030"/>
    </row>
    <row r="301" spans="3:38" ht="15.75" customHeight="1">
      <c r="C301" s="602"/>
      <c r="D301" s="275"/>
      <c r="AF301" s="976"/>
      <c r="AK301" s="1030"/>
      <c r="AL301" s="1030"/>
    </row>
    <row r="302" spans="3:38" ht="15.75" customHeight="1">
      <c r="C302" s="602"/>
      <c r="D302" s="275"/>
      <c r="AF302" s="976"/>
      <c r="AK302" s="1030"/>
      <c r="AL302" s="1030"/>
    </row>
    <row r="303" spans="3:38" ht="15.75" customHeight="1">
      <c r="C303" s="602"/>
      <c r="D303" s="275"/>
      <c r="AF303" s="976"/>
      <c r="AK303" s="1030"/>
      <c r="AL303" s="1030"/>
    </row>
    <row r="304" spans="3:38" ht="15.75" customHeight="1">
      <c r="C304" s="602"/>
      <c r="D304" s="275"/>
      <c r="AF304" s="976"/>
      <c r="AK304" s="1030"/>
      <c r="AL304" s="1030"/>
    </row>
    <row r="305" spans="3:38" ht="15.75" customHeight="1">
      <c r="C305" s="602"/>
      <c r="D305" s="275"/>
      <c r="AF305" s="976"/>
      <c r="AK305" s="1030"/>
      <c r="AL305" s="1030"/>
    </row>
    <row r="306" spans="3:38" ht="15.75" customHeight="1">
      <c r="C306" s="602"/>
      <c r="D306" s="275"/>
      <c r="AF306" s="976"/>
      <c r="AK306" s="1030"/>
      <c r="AL306" s="1030"/>
    </row>
    <row r="307" spans="3:38" ht="15.75" customHeight="1">
      <c r="C307" s="602"/>
      <c r="D307" s="275"/>
      <c r="AF307" s="976"/>
      <c r="AK307" s="1030"/>
      <c r="AL307" s="1030"/>
    </row>
    <row r="308" spans="3:38" ht="15.75" customHeight="1">
      <c r="C308" s="602"/>
      <c r="D308" s="275"/>
      <c r="AF308" s="976"/>
      <c r="AK308" s="1030"/>
      <c r="AL308" s="1030"/>
    </row>
    <row r="309" spans="3:38" ht="15.75" customHeight="1">
      <c r="C309" s="602"/>
      <c r="D309" s="275"/>
      <c r="AF309" s="976"/>
      <c r="AK309" s="1030"/>
      <c r="AL309" s="1030"/>
    </row>
    <row r="310" spans="3:38" ht="15.75" customHeight="1">
      <c r="C310" s="602"/>
      <c r="D310" s="275"/>
      <c r="AF310" s="976"/>
      <c r="AK310" s="1030"/>
      <c r="AL310" s="1030"/>
    </row>
    <row r="311" spans="3:38" ht="15.75" customHeight="1">
      <c r="C311" s="602"/>
      <c r="D311" s="275"/>
      <c r="AF311" s="976"/>
      <c r="AK311" s="1030"/>
      <c r="AL311" s="1030"/>
    </row>
    <row r="312" spans="3:38" ht="15.75" customHeight="1">
      <c r="C312" s="602"/>
      <c r="D312" s="275"/>
      <c r="AF312" s="976"/>
      <c r="AK312" s="1030"/>
      <c r="AL312" s="1030"/>
    </row>
    <row r="313" spans="3:38" ht="15.75" customHeight="1">
      <c r="C313" s="602"/>
      <c r="D313" s="275"/>
      <c r="AF313" s="976"/>
      <c r="AK313" s="1030"/>
      <c r="AL313" s="1030"/>
    </row>
    <row r="314" spans="3:38" ht="15.75" customHeight="1">
      <c r="C314" s="602"/>
      <c r="D314" s="275"/>
      <c r="AF314" s="976"/>
      <c r="AK314" s="1030"/>
      <c r="AL314" s="1030"/>
    </row>
    <row r="315" spans="3:38" ht="15.75" customHeight="1">
      <c r="C315" s="602"/>
      <c r="D315" s="275"/>
      <c r="AF315" s="976"/>
      <c r="AK315" s="1030"/>
      <c r="AL315" s="1030"/>
    </row>
    <row r="316" spans="3:38" ht="15.75" customHeight="1">
      <c r="C316" s="602"/>
      <c r="D316" s="275"/>
      <c r="AF316" s="976"/>
      <c r="AK316" s="1030"/>
      <c r="AL316" s="1030"/>
    </row>
    <row r="317" spans="3:38" ht="15.75" customHeight="1">
      <c r="C317" s="602"/>
      <c r="D317" s="275"/>
      <c r="AF317" s="976"/>
      <c r="AK317" s="1030"/>
      <c r="AL317" s="1030"/>
    </row>
    <row r="318" spans="3:38" ht="15.75" customHeight="1">
      <c r="C318" s="602"/>
      <c r="D318" s="275"/>
      <c r="AF318" s="976"/>
      <c r="AK318" s="1030"/>
      <c r="AL318" s="1030"/>
    </row>
    <row r="319" spans="3:38" ht="15.75" customHeight="1">
      <c r="C319" s="602"/>
      <c r="D319" s="275"/>
      <c r="AF319" s="976"/>
      <c r="AK319" s="1030"/>
      <c r="AL319" s="1030"/>
    </row>
    <row r="320" spans="3:38" ht="15.75" customHeight="1">
      <c r="C320" s="602"/>
      <c r="D320" s="275"/>
      <c r="AF320" s="976"/>
      <c r="AK320" s="1030"/>
      <c r="AL320" s="1030"/>
    </row>
    <row r="321" spans="3:38" ht="15.75" customHeight="1">
      <c r="C321" s="602"/>
      <c r="D321" s="275"/>
      <c r="AF321" s="976"/>
      <c r="AK321" s="1030"/>
      <c r="AL321" s="1030"/>
    </row>
    <row r="322" spans="3:38" ht="15.75" customHeight="1">
      <c r="C322" s="602"/>
      <c r="D322" s="275"/>
      <c r="AF322" s="976"/>
      <c r="AK322" s="1030"/>
      <c r="AL322" s="1030"/>
    </row>
    <row r="323" spans="3:38" ht="15.75" customHeight="1">
      <c r="C323" s="602"/>
      <c r="D323" s="275"/>
      <c r="AF323" s="976"/>
      <c r="AK323" s="1030"/>
      <c r="AL323" s="1030"/>
    </row>
    <row r="324" spans="3:38" ht="15.75" customHeight="1">
      <c r="C324" s="602"/>
      <c r="D324" s="275"/>
      <c r="AF324" s="976"/>
      <c r="AK324" s="1030"/>
      <c r="AL324" s="1030"/>
    </row>
    <row r="325" spans="3:38" ht="15.75" customHeight="1">
      <c r="C325" s="602"/>
      <c r="D325" s="275"/>
      <c r="AF325" s="976"/>
      <c r="AK325" s="1030"/>
      <c r="AL325" s="1030"/>
    </row>
    <row r="326" spans="3:38" ht="15.75" customHeight="1">
      <c r="C326" s="602"/>
      <c r="D326" s="275"/>
      <c r="AF326" s="976"/>
      <c r="AK326" s="1030"/>
      <c r="AL326" s="1030"/>
    </row>
    <row r="327" spans="3:38" ht="15.75" customHeight="1">
      <c r="D327" s="275"/>
      <c r="AK327" s="1030"/>
      <c r="AL327" s="1030"/>
    </row>
    <row r="328" spans="3:38" ht="15.75" customHeight="1">
      <c r="D328" s="275"/>
      <c r="AK328" s="1030"/>
      <c r="AL328" s="1030"/>
    </row>
    <row r="329" spans="3:38" ht="15.75" customHeight="1">
      <c r="D329" s="275"/>
      <c r="AK329" s="1030"/>
      <c r="AL329" s="1030"/>
    </row>
    <row r="330" spans="3:38" ht="15.75" customHeight="1">
      <c r="D330" s="275"/>
      <c r="AK330" s="1030"/>
      <c r="AL330" s="1030"/>
    </row>
    <row r="331" spans="3:38" ht="15.75" customHeight="1">
      <c r="D331" s="275"/>
      <c r="AK331" s="1030"/>
      <c r="AL331" s="1030"/>
    </row>
    <row r="332" spans="3:38" ht="15.75" customHeight="1">
      <c r="D332" s="275"/>
      <c r="AK332" s="1030"/>
      <c r="AL332" s="1030"/>
    </row>
    <row r="333" spans="3:38" ht="15.75" customHeight="1">
      <c r="D333" s="275"/>
      <c r="AK333" s="1030"/>
      <c r="AL333" s="1030"/>
    </row>
    <row r="334" spans="3:38" ht="15.75" customHeight="1">
      <c r="D334" s="275"/>
      <c r="AK334" s="1030"/>
      <c r="AL334" s="1030"/>
    </row>
    <row r="335" spans="3:38" ht="15.75" customHeight="1">
      <c r="D335" s="275"/>
      <c r="AK335" s="1030"/>
      <c r="AL335" s="1030"/>
    </row>
    <row r="336" spans="3:38" ht="15.75" customHeight="1">
      <c r="D336" s="275"/>
      <c r="AK336" s="1030"/>
      <c r="AL336" s="1030"/>
    </row>
    <row r="337" spans="4:38" ht="15.75" customHeight="1">
      <c r="D337" s="275"/>
      <c r="AK337" s="1030"/>
      <c r="AL337" s="1030"/>
    </row>
    <row r="338" spans="4:38" ht="15.75" customHeight="1">
      <c r="D338" s="275"/>
      <c r="AK338" s="1030"/>
      <c r="AL338" s="1030"/>
    </row>
    <row r="339" spans="4:38" ht="15.75" customHeight="1">
      <c r="D339" s="275"/>
      <c r="AK339" s="1030"/>
      <c r="AL339" s="1030"/>
    </row>
    <row r="340" spans="4:38" ht="15.75" customHeight="1">
      <c r="D340" s="275"/>
      <c r="AK340" s="1030"/>
      <c r="AL340" s="1030"/>
    </row>
    <row r="341" spans="4:38" ht="15.75" customHeight="1">
      <c r="D341" s="275"/>
      <c r="AK341" s="1030"/>
      <c r="AL341" s="1030"/>
    </row>
    <row r="342" spans="4:38" ht="15.75" customHeight="1">
      <c r="D342" s="275"/>
      <c r="AK342" s="1030"/>
      <c r="AL342" s="1030"/>
    </row>
    <row r="343" spans="4:38" ht="15.75" customHeight="1">
      <c r="D343" s="275"/>
      <c r="AK343" s="1030"/>
      <c r="AL343" s="1030"/>
    </row>
    <row r="344" spans="4:38" ht="15.75" customHeight="1">
      <c r="D344" s="275"/>
      <c r="AK344" s="1030"/>
      <c r="AL344" s="1030"/>
    </row>
    <row r="345" spans="4:38" ht="15.75" customHeight="1">
      <c r="D345" s="275"/>
      <c r="AK345" s="1030"/>
      <c r="AL345" s="1030"/>
    </row>
    <row r="346" spans="4:38" ht="15.75" customHeight="1">
      <c r="D346" s="275"/>
      <c r="AK346" s="1030"/>
      <c r="AL346" s="1030"/>
    </row>
    <row r="347" spans="4:38" ht="15.75" customHeight="1">
      <c r="D347" s="275"/>
      <c r="AK347" s="1030"/>
      <c r="AL347" s="1030"/>
    </row>
    <row r="348" spans="4:38" ht="15.75" customHeight="1">
      <c r="D348" s="275"/>
      <c r="AK348" s="1030"/>
      <c r="AL348" s="1030"/>
    </row>
    <row r="349" spans="4:38" ht="15.75" customHeight="1">
      <c r="D349" s="275"/>
      <c r="AK349" s="1030"/>
      <c r="AL349" s="1030"/>
    </row>
    <row r="350" spans="4:38" ht="15.75" customHeight="1">
      <c r="D350" s="275"/>
      <c r="AK350" s="1030"/>
      <c r="AL350" s="1030"/>
    </row>
    <row r="351" spans="4:38" ht="15.75" customHeight="1">
      <c r="D351" s="275"/>
      <c r="AK351" s="1030"/>
      <c r="AL351" s="1030"/>
    </row>
    <row r="352" spans="4:38" ht="15.75" customHeight="1">
      <c r="D352" s="275"/>
      <c r="AK352" s="1030"/>
      <c r="AL352" s="1030"/>
    </row>
    <row r="353" spans="4:38" ht="15.75" customHeight="1">
      <c r="D353" s="275"/>
      <c r="AK353" s="1030"/>
      <c r="AL353" s="1030"/>
    </row>
    <row r="354" spans="4:38" ht="15.75" customHeight="1">
      <c r="D354" s="275"/>
      <c r="AK354" s="1030"/>
      <c r="AL354" s="1030"/>
    </row>
    <row r="355" spans="4:38" ht="15.75" customHeight="1">
      <c r="D355" s="275"/>
      <c r="AK355" s="1030"/>
      <c r="AL355" s="1030"/>
    </row>
    <row r="356" spans="4:38" ht="15.75" customHeight="1">
      <c r="D356" s="275"/>
      <c r="AK356" s="1030"/>
      <c r="AL356" s="1030"/>
    </row>
    <row r="357" spans="4:38" ht="15.75" customHeight="1">
      <c r="D357" s="275"/>
      <c r="AK357" s="1030"/>
      <c r="AL357" s="1030"/>
    </row>
    <row r="358" spans="4:38" ht="15.75" customHeight="1">
      <c r="D358" s="275"/>
      <c r="AK358" s="1030"/>
      <c r="AL358" s="1030"/>
    </row>
    <row r="359" spans="4:38" ht="15.75" customHeight="1">
      <c r="D359" s="275"/>
      <c r="AK359" s="1030"/>
      <c r="AL359" s="1030"/>
    </row>
    <row r="360" spans="4:38" ht="15.75" customHeight="1">
      <c r="D360" s="275"/>
      <c r="AK360" s="1030"/>
      <c r="AL360" s="1030"/>
    </row>
    <row r="361" spans="4:38" ht="15.75" customHeight="1">
      <c r="D361" s="275"/>
      <c r="AK361" s="1030"/>
      <c r="AL361" s="1030"/>
    </row>
    <row r="362" spans="4:38" ht="15.75" customHeight="1">
      <c r="D362" s="275"/>
      <c r="AK362" s="1030"/>
      <c r="AL362" s="1030"/>
    </row>
    <row r="363" spans="4:38" ht="15.75" customHeight="1">
      <c r="D363" s="275"/>
      <c r="AK363" s="1030"/>
      <c r="AL363" s="1030"/>
    </row>
    <row r="364" spans="4:38" ht="15.75" customHeight="1">
      <c r="D364" s="275"/>
      <c r="AK364" s="1030"/>
      <c r="AL364" s="1030"/>
    </row>
    <row r="365" spans="4:38" ht="15.75" customHeight="1">
      <c r="D365" s="275"/>
      <c r="AK365" s="1030"/>
      <c r="AL365" s="1030"/>
    </row>
    <row r="366" spans="4:38" ht="15.75" customHeight="1">
      <c r="D366" s="275"/>
      <c r="AK366" s="1030"/>
      <c r="AL366" s="1030"/>
    </row>
    <row r="367" spans="4:38" ht="15.75" customHeight="1">
      <c r="D367" s="275"/>
      <c r="AK367" s="1030"/>
      <c r="AL367" s="1030"/>
    </row>
    <row r="368" spans="4:38" ht="15.75" customHeight="1">
      <c r="D368" s="275"/>
      <c r="AK368" s="1030"/>
      <c r="AL368" s="1030"/>
    </row>
    <row r="369" spans="4:38" ht="15.75" customHeight="1">
      <c r="D369" s="275"/>
      <c r="AK369" s="1030"/>
      <c r="AL369" s="1030"/>
    </row>
    <row r="370" spans="4:38" ht="15.75" customHeight="1">
      <c r="D370" s="275"/>
      <c r="AK370" s="1030"/>
      <c r="AL370" s="1030"/>
    </row>
    <row r="371" spans="4:38" ht="15.75" customHeight="1">
      <c r="D371" s="275"/>
      <c r="AK371" s="1030"/>
      <c r="AL371" s="1030"/>
    </row>
    <row r="372" spans="4:38" ht="15.75" customHeight="1">
      <c r="D372" s="275"/>
      <c r="AK372" s="1030"/>
      <c r="AL372" s="1030"/>
    </row>
    <row r="373" spans="4:38" ht="15.75" customHeight="1">
      <c r="D373" s="275"/>
      <c r="AK373" s="1030"/>
      <c r="AL373" s="1030"/>
    </row>
    <row r="374" spans="4:38" ht="15.75" customHeight="1">
      <c r="D374" s="275"/>
      <c r="AK374" s="1030"/>
      <c r="AL374" s="1030"/>
    </row>
    <row r="375" spans="4:38" ht="15.75" customHeight="1">
      <c r="D375" s="275"/>
      <c r="AK375" s="1030"/>
      <c r="AL375" s="1030"/>
    </row>
    <row r="376" spans="4:38" ht="15.75" customHeight="1">
      <c r="D376" s="275"/>
      <c r="AK376" s="1030"/>
      <c r="AL376" s="1030"/>
    </row>
    <row r="377" spans="4:38" ht="15.75" customHeight="1">
      <c r="D377" s="275"/>
      <c r="AK377" s="1030"/>
      <c r="AL377" s="1030"/>
    </row>
    <row r="378" spans="4:38" ht="15.75" customHeight="1">
      <c r="D378" s="275"/>
      <c r="AK378" s="1030"/>
      <c r="AL378" s="1030"/>
    </row>
    <row r="379" spans="4:38" ht="15.75" customHeight="1">
      <c r="D379" s="275"/>
      <c r="AK379" s="1030"/>
      <c r="AL379" s="1030"/>
    </row>
    <row r="380" spans="4:38" ht="15.75" customHeight="1">
      <c r="D380" s="275"/>
      <c r="AK380" s="1030"/>
      <c r="AL380" s="1030"/>
    </row>
    <row r="381" spans="4:38" ht="15.75" customHeight="1">
      <c r="D381" s="275"/>
      <c r="AK381" s="1030"/>
      <c r="AL381" s="1030"/>
    </row>
    <row r="382" spans="4:38" ht="15.75" customHeight="1">
      <c r="D382" s="275"/>
      <c r="AK382" s="1030"/>
      <c r="AL382" s="1030"/>
    </row>
    <row r="383" spans="4:38" ht="15.75" customHeight="1">
      <c r="D383" s="275"/>
      <c r="AK383" s="1030"/>
      <c r="AL383" s="1030"/>
    </row>
    <row r="384" spans="4:38" ht="15.75" customHeight="1">
      <c r="D384" s="275"/>
      <c r="AK384" s="1030"/>
      <c r="AL384" s="1030"/>
    </row>
    <row r="385" spans="4:38" ht="15.75" customHeight="1">
      <c r="D385" s="275"/>
      <c r="AK385" s="1030"/>
      <c r="AL385" s="1030"/>
    </row>
    <row r="386" spans="4:38" ht="15.75" customHeight="1">
      <c r="D386" s="275"/>
      <c r="AK386" s="1030"/>
      <c r="AL386" s="1030"/>
    </row>
    <row r="387" spans="4:38" ht="15.75" customHeight="1">
      <c r="D387" s="275"/>
      <c r="AK387" s="1030"/>
      <c r="AL387" s="1030"/>
    </row>
    <row r="388" spans="4:38" ht="15.75" customHeight="1">
      <c r="D388" s="275"/>
      <c r="AK388" s="1030"/>
      <c r="AL388" s="1030"/>
    </row>
    <row r="389" spans="4:38" ht="15.75" customHeight="1">
      <c r="D389" s="275"/>
      <c r="AK389" s="1030"/>
      <c r="AL389" s="1030"/>
    </row>
    <row r="390" spans="4:38" ht="15.75" customHeight="1">
      <c r="D390" s="275"/>
      <c r="AK390" s="1030"/>
      <c r="AL390" s="1030"/>
    </row>
    <row r="391" spans="4:38" ht="15.75" customHeight="1">
      <c r="D391" s="275"/>
      <c r="AK391" s="1030"/>
      <c r="AL391" s="1030"/>
    </row>
    <row r="392" spans="4:38" ht="15.75" customHeight="1">
      <c r="D392" s="275"/>
      <c r="AK392" s="1030"/>
      <c r="AL392" s="1030"/>
    </row>
    <row r="393" spans="4:38" ht="15.75" customHeight="1">
      <c r="D393" s="275"/>
      <c r="AK393" s="1030"/>
      <c r="AL393" s="1030"/>
    </row>
    <row r="394" spans="4:38" ht="15.75" customHeight="1">
      <c r="D394" s="275"/>
      <c r="AK394" s="1030"/>
      <c r="AL394" s="1030"/>
    </row>
    <row r="395" spans="4:38" ht="15.75" customHeight="1">
      <c r="D395" s="275"/>
      <c r="AK395" s="1030"/>
      <c r="AL395" s="1030"/>
    </row>
    <row r="396" spans="4:38" ht="15.75" customHeight="1">
      <c r="D396" s="275"/>
      <c r="AK396" s="1030"/>
      <c r="AL396" s="1030"/>
    </row>
    <row r="397" spans="4:38" ht="15.75" customHeight="1">
      <c r="D397" s="275"/>
      <c r="AK397" s="1030"/>
      <c r="AL397" s="1030"/>
    </row>
    <row r="398" spans="4:38" ht="15.75" customHeight="1">
      <c r="D398" s="275"/>
      <c r="AK398" s="1030"/>
      <c r="AL398" s="1030"/>
    </row>
    <row r="399" spans="4:38" ht="15.75" customHeight="1">
      <c r="D399" s="275"/>
      <c r="AK399" s="1030"/>
      <c r="AL399" s="1030"/>
    </row>
    <row r="400" spans="4:38" ht="15.75" customHeight="1">
      <c r="D400" s="275"/>
      <c r="AK400" s="1030"/>
      <c r="AL400" s="1030"/>
    </row>
    <row r="401" spans="4:38" ht="15.75" customHeight="1">
      <c r="D401" s="275"/>
      <c r="AK401" s="1030"/>
      <c r="AL401" s="1030"/>
    </row>
    <row r="402" spans="4:38" ht="15.75" customHeight="1">
      <c r="D402" s="275"/>
      <c r="AK402" s="1030"/>
      <c r="AL402" s="1030"/>
    </row>
    <row r="403" spans="4:38" ht="15.75" customHeight="1">
      <c r="D403" s="275"/>
      <c r="AK403" s="1030"/>
      <c r="AL403" s="1030"/>
    </row>
    <row r="404" spans="4:38" ht="15.75" customHeight="1">
      <c r="D404" s="275"/>
      <c r="AK404" s="1030"/>
      <c r="AL404" s="1030"/>
    </row>
    <row r="405" spans="4:38" ht="15.75" customHeight="1">
      <c r="D405" s="275"/>
      <c r="AK405" s="1030"/>
      <c r="AL405" s="1030"/>
    </row>
    <row r="406" spans="4:38" ht="15.75" customHeight="1">
      <c r="D406" s="275"/>
      <c r="AK406" s="1030"/>
      <c r="AL406" s="1030"/>
    </row>
    <row r="407" spans="4:38" ht="15.75" customHeight="1">
      <c r="D407" s="275"/>
      <c r="AK407" s="1030"/>
      <c r="AL407" s="1030"/>
    </row>
    <row r="408" spans="4:38" ht="15.75" customHeight="1">
      <c r="D408" s="275"/>
      <c r="AK408" s="1030"/>
      <c r="AL408" s="1030"/>
    </row>
    <row r="409" spans="4:38" ht="15.75" customHeight="1">
      <c r="D409" s="275"/>
      <c r="AK409" s="1030"/>
      <c r="AL409" s="1030"/>
    </row>
    <row r="410" spans="4:38" ht="15.75" customHeight="1">
      <c r="D410" s="275"/>
      <c r="AK410" s="1030"/>
      <c r="AL410" s="1030"/>
    </row>
    <row r="411" spans="4:38" ht="15.75" customHeight="1">
      <c r="D411" s="275"/>
      <c r="AK411" s="1030"/>
      <c r="AL411" s="1030"/>
    </row>
    <row r="412" spans="4:38" ht="15.75" customHeight="1">
      <c r="D412" s="275"/>
      <c r="AK412" s="1030"/>
      <c r="AL412" s="1030"/>
    </row>
    <row r="413" spans="4:38" ht="15.75" customHeight="1">
      <c r="D413" s="275"/>
      <c r="AK413" s="1030"/>
      <c r="AL413" s="1030"/>
    </row>
    <row r="414" spans="4:38" ht="15.75" customHeight="1">
      <c r="D414" s="275"/>
      <c r="AK414" s="1030"/>
      <c r="AL414" s="1030"/>
    </row>
    <row r="415" spans="4:38" ht="15.75" customHeight="1">
      <c r="D415" s="275"/>
      <c r="AK415" s="1030"/>
      <c r="AL415" s="1030"/>
    </row>
    <row r="416" spans="4:38" ht="15.75" customHeight="1">
      <c r="D416" s="275"/>
      <c r="AK416" s="1030"/>
      <c r="AL416" s="1030"/>
    </row>
    <row r="417" spans="4:38" ht="15.75" customHeight="1">
      <c r="D417" s="275"/>
      <c r="AK417" s="1030"/>
      <c r="AL417" s="1030"/>
    </row>
    <row r="418" spans="4:38" ht="15.75" customHeight="1">
      <c r="D418" s="275"/>
      <c r="AK418" s="1030"/>
      <c r="AL418" s="1030"/>
    </row>
    <row r="419" spans="4:38" ht="15.75" customHeight="1">
      <c r="D419" s="275"/>
      <c r="AK419" s="1030"/>
      <c r="AL419" s="1030"/>
    </row>
    <row r="420" spans="4:38" ht="15.75" customHeight="1">
      <c r="D420" s="275"/>
      <c r="AK420" s="1030"/>
      <c r="AL420" s="1030"/>
    </row>
    <row r="421" spans="4:38" ht="15.75" customHeight="1">
      <c r="D421" s="275"/>
      <c r="AK421" s="1030"/>
      <c r="AL421" s="1030"/>
    </row>
    <row r="422" spans="4:38" ht="15.75" customHeight="1">
      <c r="D422" s="275"/>
      <c r="AK422" s="1030"/>
      <c r="AL422" s="1030"/>
    </row>
    <row r="423" spans="4:38" ht="15.75" customHeight="1">
      <c r="D423" s="275"/>
      <c r="AK423" s="1030"/>
      <c r="AL423" s="1030"/>
    </row>
    <row r="424" spans="4:38" ht="15.75" customHeight="1">
      <c r="D424" s="275"/>
      <c r="AK424" s="1030"/>
      <c r="AL424" s="1030"/>
    </row>
    <row r="425" spans="4:38" ht="15.75" customHeight="1">
      <c r="D425" s="275"/>
      <c r="AK425" s="1030"/>
      <c r="AL425" s="1030"/>
    </row>
    <row r="426" spans="4:38" ht="15.75" customHeight="1">
      <c r="D426" s="275"/>
      <c r="AK426" s="1030"/>
      <c r="AL426" s="1030"/>
    </row>
    <row r="427" spans="4:38" ht="15.75" customHeight="1">
      <c r="D427" s="275"/>
      <c r="AK427" s="1030"/>
      <c r="AL427" s="1030"/>
    </row>
    <row r="428" spans="4:38" ht="15.75" customHeight="1">
      <c r="D428" s="275"/>
      <c r="AK428" s="1030"/>
      <c r="AL428" s="1030"/>
    </row>
    <row r="429" spans="4:38" ht="15.75" customHeight="1">
      <c r="D429" s="275"/>
      <c r="AK429" s="1030"/>
      <c r="AL429" s="1030"/>
    </row>
    <row r="430" spans="4:38" ht="15.75" customHeight="1">
      <c r="D430" s="275"/>
      <c r="AK430" s="1030"/>
      <c r="AL430" s="1030"/>
    </row>
    <row r="431" spans="4:38" ht="15.75" customHeight="1">
      <c r="D431" s="275"/>
      <c r="AK431" s="1030"/>
      <c r="AL431" s="1030"/>
    </row>
    <row r="432" spans="4:38" ht="15.75" customHeight="1">
      <c r="D432" s="275"/>
      <c r="AK432" s="1030"/>
      <c r="AL432" s="1030"/>
    </row>
    <row r="433" spans="4:38" ht="15.75" customHeight="1">
      <c r="D433" s="275"/>
      <c r="AK433" s="1030"/>
      <c r="AL433" s="1030"/>
    </row>
    <row r="434" spans="4:38" ht="15.75" customHeight="1">
      <c r="D434" s="275"/>
      <c r="AK434" s="1030"/>
      <c r="AL434" s="1030"/>
    </row>
    <row r="435" spans="4:38" ht="15.75" customHeight="1">
      <c r="D435" s="275"/>
      <c r="AK435" s="1030"/>
      <c r="AL435" s="1030"/>
    </row>
    <row r="436" spans="4:38" ht="15.75" customHeight="1">
      <c r="D436" s="275"/>
      <c r="AK436" s="1030"/>
      <c r="AL436" s="1030"/>
    </row>
    <row r="437" spans="4:38" ht="15.75" customHeight="1">
      <c r="D437" s="275"/>
      <c r="AK437" s="1030"/>
      <c r="AL437" s="1030"/>
    </row>
    <row r="438" spans="4:38" ht="15.75" customHeight="1">
      <c r="D438" s="275"/>
      <c r="AK438" s="1030"/>
      <c r="AL438" s="1030"/>
    </row>
    <row r="439" spans="4:38" ht="15.75" customHeight="1">
      <c r="D439" s="275"/>
      <c r="AK439" s="1030"/>
      <c r="AL439" s="1030"/>
    </row>
    <row r="440" spans="4:38" ht="15.75" customHeight="1">
      <c r="D440" s="275"/>
      <c r="AK440" s="1030"/>
      <c r="AL440" s="1030"/>
    </row>
    <row r="441" spans="4:38" ht="15.75" customHeight="1">
      <c r="D441" s="275"/>
      <c r="AK441" s="1030"/>
      <c r="AL441" s="1030"/>
    </row>
    <row r="442" spans="4:38" ht="15.75" customHeight="1">
      <c r="D442" s="275"/>
      <c r="AK442" s="1030"/>
      <c r="AL442" s="1030"/>
    </row>
    <row r="443" spans="4:38" ht="15.75" customHeight="1">
      <c r="D443" s="275"/>
      <c r="AK443" s="1030"/>
      <c r="AL443" s="1030"/>
    </row>
    <row r="444" spans="4:38" ht="15.75" customHeight="1">
      <c r="D444" s="275"/>
      <c r="AK444" s="1030"/>
      <c r="AL444" s="1030"/>
    </row>
    <row r="445" spans="4:38" ht="15.75" customHeight="1">
      <c r="D445" s="275"/>
      <c r="AK445" s="1030"/>
      <c r="AL445" s="1030"/>
    </row>
    <row r="446" spans="4:38" ht="15.75" customHeight="1">
      <c r="D446" s="275"/>
      <c r="AK446" s="1030"/>
      <c r="AL446" s="1030"/>
    </row>
    <row r="447" spans="4:38" ht="15.75" customHeight="1">
      <c r="D447" s="275"/>
      <c r="AK447" s="1030"/>
      <c r="AL447" s="1030"/>
    </row>
    <row r="448" spans="4:38" ht="15.75" customHeight="1">
      <c r="D448" s="275"/>
      <c r="AK448" s="1030"/>
      <c r="AL448" s="1030"/>
    </row>
    <row r="449" spans="4:38" ht="15.75" customHeight="1">
      <c r="D449" s="275"/>
      <c r="AK449" s="1030"/>
      <c r="AL449" s="1030"/>
    </row>
    <row r="450" spans="4:38" ht="15.75" customHeight="1">
      <c r="D450" s="275"/>
      <c r="AK450" s="1030"/>
      <c r="AL450" s="1030"/>
    </row>
    <row r="451" spans="4:38" ht="15.75" customHeight="1">
      <c r="D451" s="275"/>
      <c r="AK451" s="1030"/>
      <c r="AL451" s="1030"/>
    </row>
    <row r="452" spans="4:38" ht="15.75" customHeight="1">
      <c r="D452" s="275"/>
      <c r="AK452" s="1030"/>
      <c r="AL452" s="1030"/>
    </row>
    <row r="453" spans="4:38" ht="15.75" customHeight="1">
      <c r="D453" s="275"/>
      <c r="AK453" s="1030"/>
      <c r="AL453" s="1030"/>
    </row>
    <row r="454" spans="4:38" ht="15.75" customHeight="1">
      <c r="D454" s="275"/>
      <c r="AK454" s="1030"/>
      <c r="AL454" s="1030"/>
    </row>
    <row r="455" spans="4:38" ht="15.75" customHeight="1">
      <c r="D455" s="275"/>
      <c r="AK455" s="1030"/>
      <c r="AL455" s="1030"/>
    </row>
    <row r="456" spans="4:38" ht="15.75" customHeight="1">
      <c r="D456" s="275"/>
      <c r="AK456" s="1030"/>
      <c r="AL456" s="1030"/>
    </row>
    <row r="457" spans="4:38" ht="15.75" customHeight="1">
      <c r="D457" s="275"/>
      <c r="AK457" s="1030"/>
      <c r="AL457" s="1030"/>
    </row>
    <row r="458" spans="4:38" ht="15.75" customHeight="1">
      <c r="D458" s="275"/>
      <c r="AK458" s="1030"/>
      <c r="AL458" s="1030"/>
    </row>
    <row r="459" spans="4:38" ht="15.75" customHeight="1">
      <c r="D459" s="275"/>
      <c r="AK459" s="1030"/>
      <c r="AL459" s="1030"/>
    </row>
    <row r="460" spans="4:38" ht="15.75" customHeight="1">
      <c r="D460" s="275"/>
      <c r="AK460" s="1030"/>
      <c r="AL460" s="1030"/>
    </row>
    <row r="461" spans="4:38" ht="15.75" customHeight="1">
      <c r="D461" s="275"/>
      <c r="AK461" s="1030"/>
      <c r="AL461" s="1030"/>
    </row>
    <row r="462" spans="4:38" ht="15.75" customHeight="1">
      <c r="D462" s="275"/>
      <c r="AK462" s="1030"/>
      <c r="AL462" s="1030"/>
    </row>
    <row r="463" spans="4:38" ht="15.75" customHeight="1">
      <c r="D463" s="275"/>
      <c r="AK463" s="1030"/>
      <c r="AL463" s="1030"/>
    </row>
    <row r="464" spans="4:38" ht="15.75" customHeight="1">
      <c r="D464" s="275"/>
      <c r="AK464" s="1030"/>
      <c r="AL464" s="1030"/>
    </row>
    <row r="465" spans="4:38" ht="15.75" customHeight="1">
      <c r="D465" s="275"/>
      <c r="AK465" s="1030"/>
      <c r="AL465" s="1030"/>
    </row>
    <row r="466" spans="4:38" ht="15.75" customHeight="1">
      <c r="D466" s="275"/>
      <c r="AK466" s="1030"/>
      <c r="AL466" s="1030"/>
    </row>
    <row r="467" spans="4:38" ht="15.75" customHeight="1">
      <c r="D467" s="275"/>
      <c r="AK467" s="1030"/>
      <c r="AL467" s="1030"/>
    </row>
    <row r="468" spans="4:38" ht="15.75" customHeight="1">
      <c r="D468" s="275"/>
      <c r="AK468" s="1030"/>
      <c r="AL468" s="1030"/>
    </row>
    <row r="469" spans="4:38" ht="15.75" customHeight="1">
      <c r="D469" s="275"/>
      <c r="AK469" s="1030"/>
      <c r="AL469" s="1030"/>
    </row>
    <row r="470" spans="4:38" ht="15.75" customHeight="1">
      <c r="D470" s="275"/>
      <c r="AK470" s="1030"/>
      <c r="AL470" s="1030"/>
    </row>
    <row r="471" spans="4:38" ht="15.75" customHeight="1">
      <c r="D471" s="275"/>
      <c r="AK471" s="1030"/>
      <c r="AL471" s="1030"/>
    </row>
    <row r="472" spans="4:38" ht="15.75" customHeight="1">
      <c r="D472" s="275"/>
      <c r="AK472" s="1030"/>
      <c r="AL472" s="1030"/>
    </row>
    <row r="473" spans="4:38" ht="15.75" customHeight="1">
      <c r="D473" s="275"/>
      <c r="AK473" s="1030"/>
      <c r="AL473" s="1030"/>
    </row>
    <row r="474" spans="4:38" ht="15.75" customHeight="1">
      <c r="D474" s="275"/>
      <c r="AK474" s="1030"/>
      <c r="AL474" s="1030"/>
    </row>
    <row r="475" spans="4:38" ht="15.75" customHeight="1">
      <c r="D475" s="275"/>
      <c r="AK475" s="1030"/>
      <c r="AL475" s="1030"/>
    </row>
    <row r="476" spans="4:38" ht="15.75" customHeight="1">
      <c r="D476" s="275"/>
      <c r="AK476" s="1030"/>
      <c r="AL476" s="1030"/>
    </row>
    <row r="477" spans="4:38" ht="15.75" customHeight="1">
      <c r="D477" s="275"/>
      <c r="AK477" s="1030"/>
      <c r="AL477" s="1030"/>
    </row>
    <row r="478" spans="4:38" ht="15.75" customHeight="1">
      <c r="D478" s="275"/>
      <c r="AK478" s="1030"/>
      <c r="AL478" s="1030"/>
    </row>
    <row r="479" spans="4:38" ht="15.75" customHeight="1">
      <c r="D479" s="275"/>
      <c r="AK479" s="1030"/>
      <c r="AL479" s="1030"/>
    </row>
    <row r="480" spans="4:38" ht="15.75" customHeight="1">
      <c r="D480" s="275"/>
      <c r="AK480" s="1030"/>
      <c r="AL480" s="1030"/>
    </row>
    <row r="481" spans="4:38" ht="15.75" customHeight="1">
      <c r="D481" s="275"/>
      <c r="AK481" s="1030"/>
      <c r="AL481" s="1030"/>
    </row>
    <row r="482" spans="4:38" ht="15.75" customHeight="1">
      <c r="D482" s="275"/>
      <c r="AK482" s="1030"/>
      <c r="AL482" s="1030"/>
    </row>
    <row r="483" spans="4:38" ht="15.75" customHeight="1">
      <c r="D483" s="275"/>
      <c r="AK483" s="1030"/>
      <c r="AL483" s="1030"/>
    </row>
    <row r="484" spans="4:38" ht="15.75" customHeight="1">
      <c r="D484" s="275"/>
      <c r="AK484" s="1030"/>
      <c r="AL484" s="1030"/>
    </row>
    <row r="485" spans="4:38" ht="15.75" customHeight="1">
      <c r="D485" s="275"/>
      <c r="AK485" s="1030"/>
      <c r="AL485" s="1030"/>
    </row>
    <row r="486" spans="4:38" ht="15.75" customHeight="1">
      <c r="D486" s="275"/>
      <c r="AK486" s="1030"/>
      <c r="AL486" s="1030"/>
    </row>
    <row r="487" spans="4:38" ht="15.75" customHeight="1">
      <c r="D487" s="275"/>
      <c r="AK487" s="1030"/>
      <c r="AL487" s="1030"/>
    </row>
    <row r="488" spans="4:38" ht="15.75" customHeight="1">
      <c r="D488" s="275"/>
      <c r="AK488" s="1030"/>
      <c r="AL488" s="1030"/>
    </row>
    <row r="489" spans="4:38" ht="15.75" customHeight="1">
      <c r="D489" s="275"/>
      <c r="AK489" s="1030"/>
      <c r="AL489" s="1030"/>
    </row>
    <row r="490" spans="4:38" ht="15.75" customHeight="1">
      <c r="D490" s="275"/>
      <c r="AK490" s="1030"/>
      <c r="AL490" s="1030"/>
    </row>
    <row r="491" spans="4:38" ht="15.75" customHeight="1">
      <c r="D491" s="275"/>
      <c r="AK491" s="1030"/>
      <c r="AL491" s="1030"/>
    </row>
    <row r="492" spans="4:38" ht="15.75" customHeight="1">
      <c r="D492" s="275"/>
      <c r="AK492" s="1030"/>
      <c r="AL492" s="1030"/>
    </row>
    <row r="493" spans="4:38" ht="15.75" customHeight="1">
      <c r="D493" s="275"/>
      <c r="AK493" s="1030"/>
      <c r="AL493" s="1030"/>
    </row>
    <row r="494" spans="4:38" ht="15.75" customHeight="1">
      <c r="D494" s="275"/>
      <c r="AK494" s="1030"/>
      <c r="AL494" s="1030"/>
    </row>
    <row r="495" spans="4:38" ht="15.75" customHeight="1">
      <c r="D495" s="275"/>
      <c r="AK495" s="1030"/>
      <c r="AL495" s="1030"/>
    </row>
    <row r="496" spans="4:38" ht="15.75" customHeight="1">
      <c r="D496" s="275"/>
      <c r="AK496" s="1030"/>
      <c r="AL496" s="1030"/>
    </row>
    <row r="497" spans="4:38" ht="15.75" customHeight="1">
      <c r="D497" s="275"/>
      <c r="AK497" s="1030"/>
      <c r="AL497" s="1030"/>
    </row>
    <row r="498" spans="4:38" ht="15.75" customHeight="1">
      <c r="D498" s="275"/>
      <c r="AK498" s="1030"/>
      <c r="AL498" s="1030"/>
    </row>
    <row r="499" spans="4:38" ht="15.75" customHeight="1">
      <c r="D499" s="275"/>
      <c r="AK499" s="1030"/>
      <c r="AL499" s="1030"/>
    </row>
    <row r="500" spans="4:38" ht="15.75" customHeight="1">
      <c r="D500" s="275"/>
      <c r="AK500" s="1030"/>
      <c r="AL500" s="1030"/>
    </row>
    <row r="501" spans="4:38" ht="15.75" customHeight="1">
      <c r="D501" s="275"/>
      <c r="AK501" s="1030"/>
      <c r="AL501" s="1030"/>
    </row>
    <row r="502" spans="4:38" ht="15.75" customHeight="1">
      <c r="D502" s="275"/>
      <c r="AK502" s="1030"/>
      <c r="AL502" s="1030"/>
    </row>
    <row r="503" spans="4:38" ht="15.75" customHeight="1">
      <c r="D503" s="275"/>
      <c r="AK503" s="1030"/>
      <c r="AL503" s="1030"/>
    </row>
    <row r="504" spans="4:38" ht="15.75" customHeight="1">
      <c r="D504" s="275"/>
      <c r="AK504" s="1030"/>
      <c r="AL504" s="1030"/>
    </row>
    <row r="505" spans="4:38" ht="15.75" customHeight="1">
      <c r="D505" s="275"/>
      <c r="AK505" s="1030"/>
      <c r="AL505" s="1030"/>
    </row>
    <row r="506" spans="4:38" ht="15.75" customHeight="1">
      <c r="D506" s="275"/>
      <c r="AK506" s="1030"/>
      <c r="AL506" s="1030"/>
    </row>
    <row r="507" spans="4:38" ht="15.75" customHeight="1">
      <c r="D507" s="275"/>
      <c r="AK507" s="1030"/>
      <c r="AL507" s="1030"/>
    </row>
    <row r="508" spans="4:38" ht="15.75" customHeight="1">
      <c r="D508" s="275"/>
      <c r="AK508" s="1030"/>
      <c r="AL508" s="1030"/>
    </row>
    <row r="509" spans="4:38" ht="15.75" customHeight="1">
      <c r="D509" s="275"/>
      <c r="AK509" s="1030"/>
      <c r="AL509" s="1030"/>
    </row>
    <row r="510" spans="4:38" ht="15.75" customHeight="1">
      <c r="D510" s="275"/>
      <c r="AK510" s="1030"/>
      <c r="AL510" s="1030"/>
    </row>
    <row r="511" spans="4:38" ht="15.75" customHeight="1">
      <c r="D511" s="275"/>
      <c r="AK511" s="1030"/>
      <c r="AL511" s="1030"/>
    </row>
    <row r="512" spans="4:38" ht="15.75" customHeight="1">
      <c r="D512" s="275"/>
      <c r="AK512" s="1030"/>
      <c r="AL512" s="1030"/>
    </row>
    <row r="513" spans="4:38" ht="15.75" customHeight="1">
      <c r="D513" s="275"/>
      <c r="AK513" s="1030"/>
      <c r="AL513" s="1030"/>
    </row>
    <row r="514" spans="4:38" ht="15.75" customHeight="1">
      <c r="D514" s="275"/>
      <c r="AK514" s="1030"/>
      <c r="AL514" s="1030"/>
    </row>
    <row r="515" spans="4:38" ht="15.75" customHeight="1">
      <c r="D515" s="275"/>
      <c r="AK515" s="1030"/>
      <c r="AL515" s="1030"/>
    </row>
    <row r="516" spans="4:38" ht="15.75" customHeight="1">
      <c r="D516" s="275"/>
      <c r="AK516" s="1030"/>
      <c r="AL516" s="1030"/>
    </row>
    <row r="517" spans="4:38" ht="15.75" customHeight="1">
      <c r="D517" s="275"/>
      <c r="AK517" s="1030"/>
      <c r="AL517" s="1030"/>
    </row>
    <row r="518" spans="4:38" ht="15.75" customHeight="1">
      <c r="D518" s="275"/>
      <c r="AK518" s="1030"/>
      <c r="AL518" s="1030"/>
    </row>
    <row r="519" spans="4:38" ht="15.75" customHeight="1">
      <c r="D519" s="275"/>
      <c r="AK519" s="1030"/>
      <c r="AL519" s="1030"/>
    </row>
    <row r="520" spans="4:38" ht="15.75" customHeight="1">
      <c r="D520" s="275"/>
      <c r="AK520" s="1030"/>
      <c r="AL520" s="1030"/>
    </row>
    <row r="521" spans="4:38" ht="15.75" customHeight="1">
      <c r="D521" s="275"/>
      <c r="AK521" s="1030"/>
      <c r="AL521" s="1030"/>
    </row>
    <row r="522" spans="4:38" ht="15.75" customHeight="1">
      <c r="D522" s="275"/>
      <c r="AK522" s="1030"/>
      <c r="AL522" s="1030"/>
    </row>
    <row r="523" spans="4:38" ht="15.75" customHeight="1">
      <c r="D523" s="275"/>
      <c r="AK523" s="1030"/>
      <c r="AL523" s="1030"/>
    </row>
    <row r="524" spans="4:38" ht="15.75" customHeight="1">
      <c r="D524" s="275"/>
      <c r="AK524" s="1030"/>
      <c r="AL524" s="1030"/>
    </row>
    <row r="525" spans="4:38" ht="15.75" customHeight="1">
      <c r="D525" s="275"/>
      <c r="AK525" s="1030"/>
      <c r="AL525" s="1030"/>
    </row>
    <row r="526" spans="4:38" ht="15.75" customHeight="1">
      <c r="D526" s="275"/>
      <c r="AK526" s="1030"/>
      <c r="AL526" s="1030"/>
    </row>
    <row r="527" spans="4:38" ht="15.75" customHeight="1">
      <c r="D527" s="275"/>
      <c r="AK527" s="1030"/>
      <c r="AL527" s="1030"/>
    </row>
    <row r="528" spans="4:38" ht="15.75" customHeight="1">
      <c r="D528" s="275"/>
      <c r="AK528" s="1030"/>
      <c r="AL528" s="1030"/>
    </row>
    <row r="529" spans="4:38" ht="15.75" customHeight="1">
      <c r="D529" s="275"/>
      <c r="AK529" s="1030"/>
      <c r="AL529" s="1030"/>
    </row>
    <row r="530" spans="4:38" ht="15.75" customHeight="1">
      <c r="D530" s="275"/>
      <c r="AK530" s="1030"/>
      <c r="AL530" s="1030"/>
    </row>
    <row r="531" spans="4:38" ht="15.75" customHeight="1">
      <c r="D531" s="275"/>
      <c r="AK531" s="1030"/>
      <c r="AL531" s="1030"/>
    </row>
    <row r="532" spans="4:38" ht="15.75" customHeight="1">
      <c r="D532" s="275"/>
      <c r="AK532" s="1030"/>
      <c r="AL532" s="1030"/>
    </row>
    <row r="533" spans="4:38" ht="15.75" customHeight="1">
      <c r="D533" s="275"/>
      <c r="AK533" s="1030"/>
      <c r="AL533" s="1030"/>
    </row>
    <row r="534" spans="4:38" ht="15.75" customHeight="1">
      <c r="D534" s="275"/>
      <c r="AK534" s="1030"/>
      <c r="AL534" s="1030"/>
    </row>
    <row r="535" spans="4:38" ht="15.75" customHeight="1">
      <c r="D535" s="275"/>
      <c r="AK535" s="1030"/>
      <c r="AL535" s="1030"/>
    </row>
    <row r="536" spans="4:38" ht="15.75" customHeight="1">
      <c r="D536" s="275"/>
      <c r="AK536" s="1030"/>
      <c r="AL536" s="1030"/>
    </row>
    <row r="537" spans="4:38" ht="15.75" customHeight="1">
      <c r="D537" s="275"/>
      <c r="AK537" s="1030"/>
      <c r="AL537" s="1030"/>
    </row>
    <row r="538" spans="4:38" ht="15.75" customHeight="1">
      <c r="D538" s="275"/>
      <c r="AK538" s="1030"/>
      <c r="AL538" s="1030"/>
    </row>
    <row r="539" spans="4:38" ht="15.75" customHeight="1">
      <c r="D539" s="275"/>
      <c r="AK539" s="1030"/>
      <c r="AL539" s="1030"/>
    </row>
    <row r="540" spans="4:38" ht="15.75" customHeight="1">
      <c r="D540" s="275"/>
      <c r="AK540" s="1030"/>
      <c r="AL540" s="1030"/>
    </row>
    <row r="541" spans="4:38" ht="15.75" customHeight="1">
      <c r="D541" s="275"/>
      <c r="AK541" s="1030"/>
      <c r="AL541" s="1030"/>
    </row>
    <row r="542" spans="4:38" ht="15.75" customHeight="1">
      <c r="D542" s="275"/>
      <c r="AK542" s="1030"/>
      <c r="AL542" s="1030"/>
    </row>
    <row r="543" spans="4:38" ht="15.75" customHeight="1">
      <c r="D543" s="275"/>
      <c r="AK543" s="1030"/>
      <c r="AL543" s="1030"/>
    </row>
    <row r="544" spans="4:38" ht="15.75" customHeight="1">
      <c r="D544" s="275"/>
      <c r="AK544" s="1030"/>
      <c r="AL544" s="1030"/>
    </row>
    <row r="545" spans="4:38" ht="15.75" customHeight="1">
      <c r="D545" s="275"/>
      <c r="AK545" s="1030"/>
      <c r="AL545" s="1030"/>
    </row>
    <row r="546" spans="4:38" ht="15.75" customHeight="1">
      <c r="D546" s="275"/>
      <c r="AK546" s="1030"/>
      <c r="AL546" s="1030"/>
    </row>
    <row r="547" spans="4:38" ht="15.75" customHeight="1">
      <c r="D547" s="275"/>
      <c r="AK547" s="1030"/>
      <c r="AL547" s="1030"/>
    </row>
    <row r="548" spans="4:38" ht="15.75" customHeight="1">
      <c r="D548" s="275"/>
      <c r="AK548" s="1030"/>
      <c r="AL548" s="1030"/>
    </row>
    <row r="549" spans="4:38" ht="15.75" customHeight="1">
      <c r="D549" s="275"/>
      <c r="AK549" s="1030"/>
      <c r="AL549" s="1030"/>
    </row>
    <row r="550" spans="4:38" ht="15.75" customHeight="1">
      <c r="D550" s="275"/>
      <c r="AK550" s="1030"/>
      <c r="AL550" s="1030"/>
    </row>
    <row r="551" spans="4:38" ht="15.75" customHeight="1">
      <c r="D551" s="275"/>
      <c r="AK551" s="1030"/>
      <c r="AL551" s="1030"/>
    </row>
    <row r="552" spans="4:38" ht="15.75" customHeight="1">
      <c r="D552" s="275"/>
      <c r="AK552" s="1030"/>
      <c r="AL552" s="1030"/>
    </row>
    <row r="553" spans="4:38" ht="15.75" customHeight="1">
      <c r="D553" s="275"/>
      <c r="AK553" s="1030"/>
      <c r="AL553" s="1030"/>
    </row>
    <row r="554" spans="4:38" ht="15.75" customHeight="1">
      <c r="D554" s="275"/>
      <c r="AK554" s="1030"/>
      <c r="AL554" s="1030"/>
    </row>
    <row r="555" spans="4:38" ht="15.75" customHeight="1">
      <c r="D555" s="275"/>
      <c r="AK555" s="1030"/>
      <c r="AL555" s="1030"/>
    </row>
    <row r="556" spans="4:38" ht="15.75" customHeight="1">
      <c r="D556" s="275"/>
      <c r="AK556" s="1030"/>
      <c r="AL556" s="1030"/>
    </row>
    <row r="557" spans="4:38" ht="15.75" customHeight="1">
      <c r="D557" s="275"/>
      <c r="AK557" s="1030"/>
      <c r="AL557" s="1030"/>
    </row>
    <row r="558" spans="4:38" ht="15.75" customHeight="1">
      <c r="D558" s="275"/>
      <c r="AK558" s="1030"/>
      <c r="AL558" s="1030"/>
    </row>
    <row r="559" spans="4:38" ht="15.75" customHeight="1">
      <c r="D559" s="275"/>
      <c r="AK559" s="1030"/>
      <c r="AL559" s="1030"/>
    </row>
    <row r="560" spans="4:38" ht="15.75" customHeight="1">
      <c r="D560" s="275"/>
      <c r="AK560" s="1030"/>
      <c r="AL560" s="1030"/>
    </row>
    <row r="561" spans="4:38" ht="15.75" customHeight="1">
      <c r="D561" s="275"/>
      <c r="AK561" s="1030"/>
      <c r="AL561" s="1030"/>
    </row>
    <row r="562" spans="4:38" ht="15.75" customHeight="1">
      <c r="D562" s="275"/>
      <c r="AK562" s="1030"/>
      <c r="AL562" s="1030"/>
    </row>
    <row r="563" spans="4:38" ht="15.75" customHeight="1">
      <c r="D563" s="275"/>
      <c r="AK563" s="1030"/>
      <c r="AL563" s="1030"/>
    </row>
    <row r="564" spans="4:38" ht="15.75" customHeight="1">
      <c r="D564" s="275"/>
      <c r="AK564" s="1030"/>
      <c r="AL564" s="1030"/>
    </row>
    <row r="565" spans="4:38" ht="15.75" customHeight="1">
      <c r="D565" s="275"/>
      <c r="AK565" s="1030"/>
      <c r="AL565" s="1030"/>
    </row>
    <row r="566" spans="4:38" ht="15.75" customHeight="1">
      <c r="D566" s="275"/>
      <c r="AK566" s="1030"/>
      <c r="AL566" s="1030"/>
    </row>
    <row r="567" spans="4:38" ht="15.75" customHeight="1">
      <c r="D567" s="275"/>
      <c r="AK567" s="1030"/>
      <c r="AL567" s="1030"/>
    </row>
    <row r="568" spans="4:38" ht="15.75" customHeight="1">
      <c r="D568" s="275"/>
      <c r="AK568" s="1030"/>
      <c r="AL568" s="1030"/>
    </row>
    <row r="569" spans="4:38" ht="15.75" customHeight="1">
      <c r="D569" s="275"/>
      <c r="AK569" s="1030"/>
      <c r="AL569" s="1030"/>
    </row>
    <row r="570" spans="4:38" ht="15.75" customHeight="1">
      <c r="D570" s="275"/>
      <c r="AK570" s="1030"/>
      <c r="AL570" s="1030"/>
    </row>
    <row r="571" spans="4:38" ht="15.75" customHeight="1">
      <c r="D571" s="275"/>
      <c r="AK571" s="1030"/>
      <c r="AL571" s="1030"/>
    </row>
    <row r="572" spans="4:38" ht="15.75" customHeight="1">
      <c r="D572" s="275"/>
      <c r="AK572" s="1030"/>
      <c r="AL572" s="1030"/>
    </row>
    <row r="573" spans="4:38" ht="15.75" customHeight="1">
      <c r="D573" s="275"/>
      <c r="AK573" s="1030"/>
      <c r="AL573" s="1030"/>
    </row>
    <row r="574" spans="4:38" ht="15.75" customHeight="1">
      <c r="D574" s="275"/>
      <c r="AK574" s="1030"/>
      <c r="AL574" s="1030"/>
    </row>
    <row r="575" spans="4:38" ht="15.75" customHeight="1">
      <c r="D575" s="275"/>
      <c r="AK575" s="1030"/>
      <c r="AL575" s="1030"/>
    </row>
    <row r="576" spans="4:38" ht="15.75" customHeight="1">
      <c r="D576" s="275"/>
      <c r="AK576" s="1030"/>
      <c r="AL576" s="1030"/>
    </row>
    <row r="577" spans="4:38" ht="15.75" customHeight="1">
      <c r="D577" s="275"/>
      <c r="AK577" s="1030"/>
      <c r="AL577" s="1030"/>
    </row>
    <row r="578" spans="4:38" ht="15.75" customHeight="1">
      <c r="D578" s="275"/>
      <c r="AK578" s="1030"/>
      <c r="AL578" s="1030"/>
    </row>
    <row r="579" spans="4:38" ht="15.75" customHeight="1">
      <c r="D579" s="275"/>
      <c r="AK579" s="1030"/>
      <c r="AL579" s="1030"/>
    </row>
    <row r="580" spans="4:38" ht="15.75" customHeight="1">
      <c r="D580" s="275"/>
      <c r="AK580" s="1030"/>
      <c r="AL580" s="1030"/>
    </row>
    <row r="581" spans="4:38" ht="15.75" customHeight="1">
      <c r="D581" s="275"/>
      <c r="AK581" s="1030"/>
      <c r="AL581" s="1030"/>
    </row>
    <row r="582" spans="4:38" ht="15.75" customHeight="1">
      <c r="D582" s="275"/>
      <c r="AK582" s="1030"/>
      <c r="AL582" s="1030"/>
    </row>
    <row r="583" spans="4:38" ht="15.75" customHeight="1">
      <c r="D583" s="275"/>
      <c r="AK583" s="1030"/>
      <c r="AL583" s="1030"/>
    </row>
    <row r="584" spans="4:38" ht="15.75" customHeight="1">
      <c r="D584" s="275"/>
      <c r="AK584" s="1030"/>
      <c r="AL584" s="1030"/>
    </row>
    <row r="585" spans="4:38" ht="15.75" customHeight="1">
      <c r="D585" s="275"/>
      <c r="AK585" s="1030"/>
      <c r="AL585" s="1030"/>
    </row>
    <row r="586" spans="4:38" ht="15.75" customHeight="1">
      <c r="D586" s="275"/>
      <c r="AK586" s="1030"/>
      <c r="AL586" s="1030"/>
    </row>
    <row r="587" spans="4:38" ht="15.75" customHeight="1">
      <c r="D587" s="275"/>
      <c r="AK587" s="1030"/>
      <c r="AL587" s="1030"/>
    </row>
    <row r="588" spans="4:38" ht="15.75" customHeight="1">
      <c r="D588" s="275"/>
      <c r="AK588" s="1030"/>
      <c r="AL588" s="1030"/>
    </row>
    <row r="589" spans="4:38" ht="15.75" customHeight="1">
      <c r="D589" s="275"/>
      <c r="AK589" s="1030"/>
      <c r="AL589" s="1030"/>
    </row>
    <row r="590" spans="4:38" ht="15.75" customHeight="1">
      <c r="D590" s="275"/>
      <c r="AK590" s="1030"/>
      <c r="AL590" s="1030"/>
    </row>
    <row r="591" spans="4:38" ht="15.75" customHeight="1">
      <c r="D591" s="275"/>
      <c r="AK591" s="1030"/>
      <c r="AL591" s="1030"/>
    </row>
    <row r="592" spans="4:38" ht="15.75" customHeight="1">
      <c r="D592" s="275"/>
      <c r="AK592" s="1030"/>
      <c r="AL592" s="1030"/>
    </row>
    <row r="593" spans="4:38" ht="15.75" customHeight="1">
      <c r="D593" s="275"/>
      <c r="AK593" s="1030"/>
      <c r="AL593" s="1030"/>
    </row>
    <row r="594" spans="4:38" ht="15.75" customHeight="1">
      <c r="D594" s="275"/>
      <c r="AK594" s="1030"/>
      <c r="AL594" s="1030"/>
    </row>
    <row r="595" spans="4:38" ht="15.75" customHeight="1">
      <c r="D595" s="275"/>
      <c r="AK595" s="1030"/>
      <c r="AL595" s="1030"/>
    </row>
    <row r="596" spans="4:38" ht="15.75" customHeight="1">
      <c r="D596" s="275"/>
      <c r="AK596" s="1030"/>
      <c r="AL596" s="1030"/>
    </row>
    <row r="597" spans="4:38" ht="15.75" customHeight="1">
      <c r="D597" s="275"/>
      <c r="AK597" s="1030"/>
      <c r="AL597" s="1030"/>
    </row>
    <row r="598" spans="4:38" ht="15.75" customHeight="1">
      <c r="D598" s="275"/>
      <c r="AK598" s="1030"/>
      <c r="AL598" s="1030"/>
    </row>
    <row r="599" spans="4:38" ht="15.75" customHeight="1">
      <c r="D599" s="275"/>
      <c r="AK599" s="1030"/>
      <c r="AL599" s="1030"/>
    </row>
    <row r="600" spans="4:38" ht="15.75" customHeight="1">
      <c r="D600" s="275"/>
      <c r="AK600" s="1030"/>
      <c r="AL600" s="1030"/>
    </row>
    <row r="601" spans="4:38" ht="15.75" customHeight="1">
      <c r="D601" s="275"/>
      <c r="AK601" s="1030"/>
      <c r="AL601" s="1030"/>
    </row>
    <row r="602" spans="4:38" ht="15.75" customHeight="1">
      <c r="D602" s="275"/>
      <c r="AK602" s="1030"/>
      <c r="AL602" s="1030"/>
    </row>
    <row r="603" spans="4:38" ht="15.75" customHeight="1">
      <c r="D603" s="275"/>
      <c r="AK603" s="1030"/>
      <c r="AL603" s="1030"/>
    </row>
    <row r="604" spans="4:38" ht="15.75" customHeight="1">
      <c r="D604" s="275"/>
      <c r="AK604" s="1030"/>
      <c r="AL604" s="1030"/>
    </row>
    <row r="605" spans="4:38" ht="15.75" customHeight="1">
      <c r="D605" s="275"/>
      <c r="AK605" s="1030"/>
      <c r="AL605" s="1030"/>
    </row>
    <row r="606" spans="4:38" ht="15.75" customHeight="1">
      <c r="D606" s="275"/>
      <c r="AK606" s="1030"/>
      <c r="AL606" s="1030"/>
    </row>
    <row r="607" spans="4:38" ht="15.75" customHeight="1">
      <c r="D607" s="275"/>
      <c r="AK607" s="1030"/>
      <c r="AL607" s="1030"/>
    </row>
    <row r="608" spans="4:38" ht="15.75" customHeight="1">
      <c r="D608" s="275"/>
      <c r="AK608" s="1030"/>
      <c r="AL608" s="1030"/>
    </row>
    <row r="609" spans="4:38" ht="15.75" customHeight="1">
      <c r="D609" s="275"/>
      <c r="AK609" s="1030"/>
      <c r="AL609" s="1030"/>
    </row>
    <row r="610" spans="4:38" ht="15.75" customHeight="1">
      <c r="D610" s="275"/>
      <c r="AK610" s="1030"/>
      <c r="AL610" s="1030"/>
    </row>
    <row r="611" spans="4:38" ht="15.75" customHeight="1">
      <c r="D611" s="275"/>
      <c r="AK611" s="1030"/>
      <c r="AL611" s="1030"/>
    </row>
    <row r="612" spans="4:38" ht="15.75" customHeight="1">
      <c r="D612" s="275"/>
      <c r="AK612" s="1030"/>
      <c r="AL612" s="1030"/>
    </row>
    <row r="613" spans="4:38" ht="15.75" customHeight="1">
      <c r="D613" s="275"/>
      <c r="AK613" s="1030"/>
      <c r="AL613" s="1030"/>
    </row>
    <row r="614" spans="4:38" ht="15.75" customHeight="1">
      <c r="D614" s="275"/>
      <c r="AK614" s="1030"/>
      <c r="AL614" s="1030"/>
    </row>
    <row r="615" spans="4:38" ht="15.75" customHeight="1">
      <c r="D615" s="275"/>
      <c r="AK615" s="1030"/>
      <c r="AL615" s="1030"/>
    </row>
    <row r="616" spans="4:38" ht="15.75" customHeight="1">
      <c r="D616" s="275"/>
      <c r="AK616" s="1030"/>
      <c r="AL616" s="1030"/>
    </row>
    <row r="617" spans="4:38" ht="15.75" customHeight="1">
      <c r="D617" s="275"/>
      <c r="AK617" s="1030"/>
      <c r="AL617" s="1030"/>
    </row>
    <row r="618" spans="4:38" ht="15.75" customHeight="1">
      <c r="D618" s="275"/>
      <c r="AK618" s="1030"/>
      <c r="AL618" s="1030"/>
    </row>
    <row r="619" spans="4:38" ht="15.75" customHeight="1">
      <c r="D619" s="275"/>
      <c r="AK619" s="1030"/>
      <c r="AL619" s="1030"/>
    </row>
    <row r="620" spans="4:38" ht="15.75" customHeight="1">
      <c r="D620" s="275"/>
      <c r="AK620" s="1030"/>
      <c r="AL620" s="1030"/>
    </row>
    <row r="621" spans="4:38" ht="15.75" customHeight="1">
      <c r="D621" s="275"/>
      <c r="AK621" s="1030"/>
      <c r="AL621" s="1030"/>
    </row>
    <row r="622" spans="4:38" ht="15.75" customHeight="1">
      <c r="D622" s="275"/>
      <c r="AK622" s="1030"/>
      <c r="AL622" s="1030"/>
    </row>
    <row r="623" spans="4:38" ht="15.75" customHeight="1">
      <c r="D623" s="275"/>
      <c r="AK623" s="1030"/>
      <c r="AL623" s="1030"/>
    </row>
    <row r="624" spans="4:38" ht="15.75" customHeight="1">
      <c r="D624" s="275"/>
      <c r="AK624" s="1030"/>
      <c r="AL624" s="1030"/>
    </row>
    <row r="625" spans="4:38" ht="15.75" customHeight="1">
      <c r="D625" s="275"/>
      <c r="AK625" s="1030"/>
      <c r="AL625" s="1030"/>
    </row>
    <row r="626" spans="4:38" ht="15.75" customHeight="1">
      <c r="D626" s="275"/>
      <c r="AK626" s="1030"/>
      <c r="AL626" s="1030"/>
    </row>
    <row r="627" spans="4:38" ht="15.75" customHeight="1">
      <c r="D627" s="275"/>
      <c r="AK627" s="1030"/>
      <c r="AL627" s="1030"/>
    </row>
    <row r="628" spans="4:38" ht="15.75" customHeight="1">
      <c r="D628" s="275"/>
      <c r="AK628" s="1030"/>
      <c r="AL628" s="1030"/>
    </row>
    <row r="629" spans="4:38" ht="15.75" customHeight="1">
      <c r="D629" s="275"/>
      <c r="AK629" s="1030"/>
      <c r="AL629" s="1030"/>
    </row>
    <row r="630" spans="4:38" ht="15.75" customHeight="1">
      <c r="D630" s="275"/>
      <c r="AK630" s="1030"/>
      <c r="AL630" s="1030"/>
    </row>
    <row r="631" spans="4:38" ht="15.75" customHeight="1">
      <c r="D631" s="275"/>
      <c r="AK631" s="1030"/>
      <c r="AL631" s="1030"/>
    </row>
    <row r="632" spans="4:38" ht="15.75" customHeight="1">
      <c r="D632" s="275"/>
      <c r="AK632" s="1030"/>
      <c r="AL632" s="1030"/>
    </row>
    <row r="633" spans="4:38" ht="15.75" customHeight="1">
      <c r="D633" s="275"/>
      <c r="AK633" s="1030"/>
      <c r="AL633" s="1030"/>
    </row>
    <row r="634" spans="4:38" ht="15.75" customHeight="1">
      <c r="D634" s="275"/>
      <c r="AK634" s="1030"/>
      <c r="AL634" s="1030"/>
    </row>
    <row r="635" spans="4:38" ht="15.75" customHeight="1">
      <c r="D635" s="275"/>
      <c r="AK635" s="1030"/>
      <c r="AL635" s="1030"/>
    </row>
    <row r="636" spans="4:38" ht="15.75" customHeight="1">
      <c r="D636" s="275"/>
      <c r="AK636" s="1030"/>
      <c r="AL636" s="1030"/>
    </row>
    <row r="637" spans="4:38" ht="15.75" customHeight="1">
      <c r="D637" s="275"/>
      <c r="AK637" s="1030"/>
      <c r="AL637" s="1030"/>
    </row>
    <row r="638" spans="4:38" ht="15.75" customHeight="1">
      <c r="D638" s="275"/>
      <c r="AK638" s="1030"/>
      <c r="AL638" s="1030"/>
    </row>
    <row r="639" spans="4:38" ht="15.75" customHeight="1">
      <c r="D639" s="275"/>
      <c r="AK639" s="1030"/>
      <c r="AL639" s="1030"/>
    </row>
    <row r="640" spans="4:38" ht="15.75" customHeight="1">
      <c r="D640" s="275"/>
      <c r="AK640" s="1030"/>
      <c r="AL640" s="1030"/>
    </row>
    <row r="641" spans="4:38" ht="15.75" customHeight="1">
      <c r="D641" s="275"/>
      <c r="AK641" s="1030"/>
      <c r="AL641" s="1030"/>
    </row>
    <row r="642" spans="4:38" ht="15.75" customHeight="1">
      <c r="D642" s="275"/>
      <c r="AK642" s="1030"/>
      <c r="AL642" s="1030"/>
    </row>
    <row r="643" spans="4:38" ht="15.75" customHeight="1">
      <c r="D643" s="275"/>
      <c r="AK643" s="1030"/>
      <c r="AL643" s="1030"/>
    </row>
    <row r="644" spans="4:38" ht="15.75" customHeight="1">
      <c r="D644" s="275"/>
      <c r="AK644" s="1030"/>
      <c r="AL644" s="1030"/>
    </row>
    <row r="645" spans="4:38" ht="15.75" customHeight="1">
      <c r="D645" s="275"/>
      <c r="AK645" s="1030"/>
      <c r="AL645" s="1030"/>
    </row>
    <row r="646" spans="4:38" ht="15.75" customHeight="1">
      <c r="D646" s="275"/>
      <c r="AK646" s="1030"/>
      <c r="AL646" s="1030"/>
    </row>
    <row r="647" spans="4:38" ht="15.75" customHeight="1">
      <c r="D647" s="275"/>
      <c r="AK647" s="1030"/>
      <c r="AL647" s="1030"/>
    </row>
    <row r="648" spans="4:38" ht="15.75" customHeight="1">
      <c r="D648" s="275"/>
      <c r="AK648" s="1030"/>
      <c r="AL648" s="1030"/>
    </row>
    <row r="649" spans="4:38" ht="15.75" customHeight="1">
      <c r="D649" s="275"/>
      <c r="AK649" s="1030"/>
      <c r="AL649" s="1030"/>
    </row>
    <row r="650" spans="4:38" ht="15.75" customHeight="1">
      <c r="D650" s="275"/>
      <c r="AK650" s="1030"/>
      <c r="AL650" s="1030"/>
    </row>
    <row r="651" spans="4:38" ht="15.75" customHeight="1">
      <c r="D651" s="275"/>
      <c r="AK651" s="1030"/>
      <c r="AL651" s="1030"/>
    </row>
    <row r="652" spans="4:38" ht="15.75" customHeight="1">
      <c r="D652" s="275"/>
      <c r="AK652" s="1030"/>
      <c r="AL652" s="1030"/>
    </row>
    <row r="653" spans="4:38" ht="15.75" customHeight="1">
      <c r="D653" s="275"/>
      <c r="AK653" s="1030"/>
      <c r="AL653" s="1030"/>
    </row>
    <row r="654" spans="4:38" ht="15.75" customHeight="1">
      <c r="D654" s="275"/>
      <c r="AK654" s="1030"/>
      <c r="AL654" s="1030"/>
    </row>
    <row r="655" spans="4:38" ht="15.75" customHeight="1">
      <c r="D655" s="275"/>
      <c r="AK655" s="1030"/>
      <c r="AL655" s="1030"/>
    </row>
    <row r="656" spans="4:38" ht="15.75" customHeight="1">
      <c r="D656" s="275"/>
      <c r="AK656" s="1030"/>
      <c r="AL656" s="1030"/>
    </row>
    <row r="657" spans="4:38" ht="15.75" customHeight="1">
      <c r="D657" s="275"/>
      <c r="AK657" s="1030"/>
      <c r="AL657" s="1030"/>
    </row>
    <row r="658" spans="4:38" ht="15.75" customHeight="1">
      <c r="D658" s="275"/>
      <c r="AK658" s="1030"/>
      <c r="AL658" s="1030"/>
    </row>
    <row r="659" spans="4:38" ht="15.75" customHeight="1">
      <c r="D659" s="275"/>
      <c r="AK659" s="1030"/>
      <c r="AL659" s="1030"/>
    </row>
    <row r="660" spans="4:38" ht="15.75" customHeight="1">
      <c r="D660" s="275"/>
      <c r="AK660" s="1030"/>
      <c r="AL660" s="1030"/>
    </row>
    <row r="661" spans="4:38" ht="15.75" customHeight="1">
      <c r="D661" s="275"/>
      <c r="AK661" s="1030"/>
      <c r="AL661" s="1030"/>
    </row>
    <row r="662" spans="4:38" ht="15.75" customHeight="1">
      <c r="D662" s="275"/>
      <c r="AK662" s="1030"/>
      <c r="AL662" s="1030"/>
    </row>
    <row r="663" spans="4:38" ht="15.75" customHeight="1">
      <c r="D663" s="275"/>
      <c r="AK663" s="1030"/>
      <c r="AL663" s="1030"/>
    </row>
    <row r="664" spans="4:38" ht="15.75" customHeight="1">
      <c r="D664" s="275"/>
      <c r="AK664" s="1030"/>
      <c r="AL664" s="1030"/>
    </row>
    <row r="665" spans="4:38" ht="15.75" customHeight="1">
      <c r="D665" s="275"/>
      <c r="AK665" s="1030"/>
      <c r="AL665" s="1030"/>
    </row>
    <row r="666" spans="4:38" ht="15.75" customHeight="1">
      <c r="D666" s="275"/>
      <c r="AK666" s="1030"/>
      <c r="AL666" s="1030"/>
    </row>
    <row r="667" spans="4:38" ht="15.75" customHeight="1">
      <c r="D667" s="275"/>
      <c r="AK667" s="1030"/>
      <c r="AL667" s="1030"/>
    </row>
    <row r="668" spans="4:38" ht="15.75" customHeight="1">
      <c r="D668" s="275"/>
      <c r="AK668" s="1030"/>
      <c r="AL668" s="1030"/>
    </row>
    <row r="669" spans="4:38" ht="15.75" customHeight="1">
      <c r="D669" s="275"/>
      <c r="AK669" s="1030"/>
      <c r="AL669" s="1030"/>
    </row>
    <row r="670" spans="4:38" ht="15.75" customHeight="1">
      <c r="D670" s="275"/>
      <c r="AK670" s="1030"/>
      <c r="AL670" s="1030"/>
    </row>
    <row r="671" spans="4:38" ht="15.75" customHeight="1">
      <c r="D671" s="275"/>
      <c r="AK671" s="1030"/>
      <c r="AL671" s="1030"/>
    </row>
    <row r="672" spans="4:38" ht="15.75" customHeight="1">
      <c r="D672" s="275"/>
      <c r="AK672" s="1030"/>
      <c r="AL672" s="1030"/>
    </row>
    <row r="673" spans="4:38" ht="15.75" customHeight="1">
      <c r="D673" s="275"/>
      <c r="AK673" s="1030"/>
      <c r="AL673" s="1030"/>
    </row>
    <row r="674" spans="4:38" ht="15.75" customHeight="1">
      <c r="D674" s="275"/>
      <c r="AK674" s="1030"/>
      <c r="AL674" s="1030"/>
    </row>
    <row r="675" spans="4:38" ht="15.75" customHeight="1">
      <c r="D675" s="275"/>
      <c r="AK675" s="1030"/>
      <c r="AL675" s="1030"/>
    </row>
    <row r="676" spans="4:38" ht="15.75" customHeight="1">
      <c r="D676" s="275"/>
      <c r="AK676" s="1030"/>
      <c r="AL676" s="1030"/>
    </row>
    <row r="677" spans="4:38" ht="15.75" customHeight="1">
      <c r="D677" s="275"/>
      <c r="AK677" s="1030"/>
      <c r="AL677" s="1030"/>
    </row>
    <row r="678" spans="4:38" ht="15.75" customHeight="1">
      <c r="D678" s="275"/>
      <c r="AK678" s="1030"/>
      <c r="AL678" s="1030"/>
    </row>
    <row r="679" spans="4:38" ht="15.75" customHeight="1">
      <c r="D679" s="275"/>
      <c r="AK679" s="1030"/>
      <c r="AL679" s="1030"/>
    </row>
    <row r="680" spans="4:38" ht="15.75" customHeight="1">
      <c r="D680" s="275"/>
      <c r="AK680" s="1030"/>
      <c r="AL680" s="1030"/>
    </row>
    <row r="681" spans="4:38" ht="15.75" customHeight="1">
      <c r="D681" s="275"/>
      <c r="AK681" s="1030"/>
      <c r="AL681" s="1030"/>
    </row>
    <row r="682" spans="4:38" ht="15.75" customHeight="1">
      <c r="D682" s="275"/>
      <c r="AK682" s="1030"/>
      <c r="AL682" s="1030"/>
    </row>
    <row r="683" spans="4:38" ht="15.75" customHeight="1">
      <c r="D683" s="275"/>
      <c r="AK683" s="1030"/>
      <c r="AL683" s="1030"/>
    </row>
    <row r="684" spans="4:38" ht="15.75" customHeight="1">
      <c r="D684" s="275"/>
      <c r="AK684" s="1030"/>
      <c r="AL684" s="1030"/>
    </row>
    <row r="685" spans="4:38" ht="15.75" customHeight="1">
      <c r="D685" s="275"/>
      <c r="AK685" s="1030"/>
      <c r="AL685" s="1030"/>
    </row>
    <row r="686" spans="4:38" ht="15.75" customHeight="1">
      <c r="D686" s="275"/>
      <c r="AK686" s="1030"/>
      <c r="AL686" s="1030"/>
    </row>
    <row r="687" spans="4:38" ht="15.75" customHeight="1">
      <c r="D687" s="275"/>
      <c r="AK687" s="1030"/>
      <c r="AL687" s="1030"/>
    </row>
    <row r="688" spans="4:38" ht="15.75" customHeight="1">
      <c r="D688" s="275"/>
      <c r="AK688" s="1030"/>
      <c r="AL688" s="1030"/>
    </row>
    <row r="689" spans="4:38" ht="15.75" customHeight="1">
      <c r="D689" s="275"/>
      <c r="AK689" s="1030"/>
      <c r="AL689" s="1030"/>
    </row>
    <row r="690" spans="4:38" ht="15.75" customHeight="1">
      <c r="D690" s="275"/>
      <c r="AK690" s="1030"/>
      <c r="AL690" s="1030"/>
    </row>
    <row r="691" spans="4:38" ht="15.75" customHeight="1">
      <c r="D691" s="275"/>
      <c r="AK691" s="1030"/>
      <c r="AL691" s="1030"/>
    </row>
    <row r="692" spans="4:38" ht="15.75" customHeight="1">
      <c r="D692" s="275"/>
      <c r="AK692" s="1030"/>
      <c r="AL692" s="1030"/>
    </row>
    <row r="693" spans="4:38" ht="15.75" customHeight="1">
      <c r="D693" s="275"/>
      <c r="AK693" s="1030"/>
      <c r="AL693" s="1030"/>
    </row>
    <row r="694" spans="4:38" ht="15.75" customHeight="1">
      <c r="D694" s="275"/>
      <c r="AK694" s="1030"/>
      <c r="AL694" s="1030"/>
    </row>
    <row r="695" spans="4:38" ht="15.75" customHeight="1">
      <c r="D695" s="275"/>
      <c r="AK695" s="1030"/>
      <c r="AL695" s="1030"/>
    </row>
    <row r="696" spans="4:38" ht="15.75" customHeight="1">
      <c r="D696" s="275"/>
      <c r="AK696" s="1030"/>
      <c r="AL696" s="1030"/>
    </row>
    <row r="697" spans="4:38" ht="15.75" customHeight="1">
      <c r="D697" s="275"/>
      <c r="AK697" s="1030"/>
      <c r="AL697" s="1030"/>
    </row>
    <row r="698" spans="4:38" ht="15.75" customHeight="1">
      <c r="D698" s="275"/>
      <c r="AK698" s="1030"/>
      <c r="AL698" s="1030"/>
    </row>
    <row r="699" spans="4:38" ht="15.75" customHeight="1">
      <c r="D699" s="275"/>
      <c r="AK699" s="1030"/>
      <c r="AL699" s="1030"/>
    </row>
    <row r="700" spans="4:38" ht="15.75" customHeight="1">
      <c r="D700" s="275"/>
      <c r="AK700" s="1030"/>
      <c r="AL700" s="1030"/>
    </row>
    <row r="701" spans="4:38" ht="15.75" customHeight="1">
      <c r="D701" s="275"/>
      <c r="AK701" s="1030"/>
      <c r="AL701" s="1030"/>
    </row>
    <row r="702" spans="4:38" ht="15.75" customHeight="1">
      <c r="D702" s="275"/>
      <c r="AK702" s="1030"/>
      <c r="AL702" s="1030"/>
    </row>
    <row r="703" spans="4:38" ht="15.75" customHeight="1">
      <c r="D703" s="275"/>
      <c r="AK703" s="1030"/>
      <c r="AL703" s="1030"/>
    </row>
    <row r="704" spans="4:38" ht="15.75" customHeight="1">
      <c r="D704" s="275"/>
      <c r="AK704" s="1030"/>
      <c r="AL704" s="1030"/>
    </row>
    <row r="705" spans="4:38" ht="15.75" customHeight="1">
      <c r="D705" s="275"/>
      <c r="AK705" s="1030"/>
      <c r="AL705" s="1030"/>
    </row>
    <row r="706" spans="4:38" ht="15.75" customHeight="1">
      <c r="D706" s="275"/>
      <c r="AK706" s="1030"/>
      <c r="AL706" s="1030"/>
    </row>
    <row r="707" spans="4:38" ht="15.75" customHeight="1">
      <c r="D707" s="275"/>
      <c r="AK707" s="1030"/>
      <c r="AL707" s="1030"/>
    </row>
    <row r="708" spans="4:38" ht="15.75" customHeight="1">
      <c r="D708" s="275"/>
      <c r="AK708" s="1030"/>
      <c r="AL708" s="1030"/>
    </row>
    <row r="709" spans="4:38" ht="15.75" customHeight="1">
      <c r="D709" s="275"/>
      <c r="AK709" s="1030"/>
      <c r="AL709" s="1030"/>
    </row>
    <row r="710" spans="4:38" ht="15.75" customHeight="1">
      <c r="D710" s="275"/>
      <c r="AK710" s="1030"/>
      <c r="AL710" s="1030"/>
    </row>
    <row r="711" spans="4:38" ht="15.75" customHeight="1">
      <c r="D711" s="275"/>
      <c r="AK711" s="1030"/>
      <c r="AL711" s="1030"/>
    </row>
    <row r="712" spans="4:38" ht="15.75" customHeight="1">
      <c r="D712" s="275"/>
      <c r="AK712" s="1030"/>
      <c r="AL712" s="1030"/>
    </row>
    <row r="713" spans="4:38" ht="15.75" customHeight="1">
      <c r="D713" s="275"/>
      <c r="AK713" s="1030"/>
      <c r="AL713" s="1030"/>
    </row>
    <row r="714" spans="4:38" ht="15.75" customHeight="1">
      <c r="D714" s="275"/>
      <c r="AK714" s="1030"/>
      <c r="AL714" s="1030"/>
    </row>
    <row r="715" spans="4:38" ht="15.75" customHeight="1">
      <c r="D715" s="275"/>
      <c r="AK715" s="1030"/>
      <c r="AL715" s="1030"/>
    </row>
    <row r="716" spans="4:38" ht="15.75" customHeight="1">
      <c r="D716" s="275"/>
      <c r="AK716" s="1030"/>
      <c r="AL716" s="1030"/>
    </row>
    <row r="717" spans="4:38" ht="15.75" customHeight="1">
      <c r="D717" s="275"/>
      <c r="AK717" s="1030"/>
      <c r="AL717" s="1030"/>
    </row>
    <row r="718" spans="4:38" ht="15.75" customHeight="1">
      <c r="D718" s="275"/>
      <c r="AK718" s="1030"/>
      <c r="AL718" s="1030"/>
    </row>
    <row r="719" spans="4:38" ht="15.75" customHeight="1">
      <c r="D719" s="275"/>
      <c r="AK719" s="1030"/>
      <c r="AL719" s="1030"/>
    </row>
    <row r="720" spans="4:38" ht="15.75" customHeight="1">
      <c r="D720" s="275"/>
      <c r="AK720" s="1030"/>
      <c r="AL720" s="1030"/>
    </row>
    <row r="721" spans="4:38" ht="15.75" customHeight="1">
      <c r="D721" s="275"/>
      <c r="AK721" s="1030"/>
      <c r="AL721" s="1030"/>
    </row>
    <row r="722" spans="4:38" ht="15.75" customHeight="1">
      <c r="D722" s="275"/>
      <c r="AK722" s="1030"/>
      <c r="AL722" s="1030"/>
    </row>
    <row r="723" spans="4:38" ht="15.75" customHeight="1">
      <c r="D723" s="275"/>
      <c r="AK723" s="1030"/>
      <c r="AL723" s="1030"/>
    </row>
    <row r="724" spans="4:38" ht="15.75" customHeight="1">
      <c r="D724" s="275"/>
      <c r="AK724" s="1030"/>
      <c r="AL724" s="1030"/>
    </row>
    <row r="725" spans="4:38" ht="15.75" customHeight="1">
      <c r="D725" s="275"/>
      <c r="AK725" s="1030"/>
      <c r="AL725" s="1030"/>
    </row>
    <row r="726" spans="4:38" ht="15.75" customHeight="1">
      <c r="D726" s="275"/>
      <c r="AK726" s="1030"/>
      <c r="AL726" s="1030"/>
    </row>
    <row r="727" spans="4:38" ht="15.75" customHeight="1">
      <c r="D727" s="275"/>
      <c r="AK727" s="1030"/>
      <c r="AL727" s="1030"/>
    </row>
    <row r="728" spans="4:38" ht="15.75" customHeight="1">
      <c r="D728" s="275"/>
      <c r="AK728" s="1030"/>
      <c r="AL728" s="1030"/>
    </row>
    <row r="729" spans="4:38" ht="15.75" customHeight="1">
      <c r="D729" s="275"/>
      <c r="AK729" s="1030"/>
      <c r="AL729" s="1030"/>
    </row>
    <row r="730" spans="4:38" ht="15.75" customHeight="1">
      <c r="D730" s="275"/>
      <c r="AK730" s="1030"/>
      <c r="AL730" s="1030"/>
    </row>
    <row r="731" spans="4:38" ht="15.75" customHeight="1">
      <c r="D731" s="275"/>
      <c r="AK731" s="1030"/>
      <c r="AL731" s="1030"/>
    </row>
    <row r="732" spans="4:38" ht="15.75" customHeight="1">
      <c r="D732" s="275"/>
      <c r="AK732" s="1030"/>
      <c r="AL732" s="1030"/>
    </row>
    <row r="733" spans="4:38" ht="15.75" customHeight="1">
      <c r="D733" s="275"/>
      <c r="AK733" s="1030"/>
      <c r="AL733" s="1030"/>
    </row>
    <row r="734" spans="4:38" ht="15.75" customHeight="1">
      <c r="D734" s="275"/>
      <c r="AK734" s="1030"/>
      <c r="AL734" s="1030"/>
    </row>
    <row r="735" spans="4:38" ht="15.75" customHeight="1">
      <c r="D735" s="275"/>
      <c r="AK735" s="1030"/>
      <c r="AL735" s="1030"/>
    </row>
    <row r="736" spans="4:38" ht="15.75" customHeight="1">
      <c r="D736" s="275"/>
      <c r="AK736" s="1030"/>
      <c r="AL736" s="1030"/>
    </row>
    <row r="737" spans="4:38" ht="15.75" customHeight="1">
      <c r="D737" s="275"/>
      <c r="AK737" s="1030"/>
      <c r="AL737" s="1030"/>
    </row>
    <row r="738" spans="4:38" ht="15.75" customHeight="1">
      <c r="D738" s="275"/>
      <c r="AK738" s="1030"/>
      <c r="AL738" s="1030"/>
    </row>
    <row r="739" spans="4:38" ht="15.75" customHeight="1">
      <c r="D739" s="275"/>
      <c r="AK739" s="1030"/>
      <c r="AL739" s="1030"/>
    </row>
    <row r="740" spans="4:38" ht="15.75" customHeight="1">
      <c r="D740" s="275"/>
      <c r="AK740" s="1030"/>
      <c r="AL740" s="1030"/>
    </row>
    <row r="741" spans="4:38" ht="15.75" customHeight="1">
      <c r="D741" s="275"/>
      <c r="AK741" s="1030"/>
      <c r="AL741" s="1030"/>
    </row>
    <row r="742" spans="4:38" ht="15.75" customHeight="1">
      <c r="D742" s="275"/>
      <c r="AK742" s="1030"/>
      <c r="AL742" s="1030"/>
    </row>
    <row r="743" spans="4:38" ht="15.75" customHeight="1">
      <c r="D743" s="275"/>
      <c r="AK743" s="1030"/>
      <c r="AL743" s="1030"/>
    </row>
    <row r="744" spans="4:38" ht="15.75" customHeight="1">
      <c r="D744" s="275"/>
      <c r="AK744" s="1030"/>
      <c r="AL744" s="1030"/>
    </row>
    <row r="745" spans="4:38" ht="15.75" customHeight="1">
      <c r="D745" s="275"/>
      <c r="AK745" s="1030"/>
      <c r="AL745" s="1030"/>
    </row>
    <row r="746" spans="4:38" ht="15.75" customHeight="1">
      <c r="D746" s="275"/>
      <c r="AK746" s="1030"/>
      <c r="AL746" s="1030"/>
    </row>
    <row r="747" spans="4:38" ht="15.75" customHeight="1">
      <c r="D747" s="275"/>
      <c r="AK747" s="1030"/>
      <c r="AL747" s="1030"/>
    </row>
    <row r="748" spans="4:38" ht="15.75" customHeight="1">
      <c r="D748" s="275"/>
      <c r="AK748" s="1030"/>
      <c r="AL748" s="1030"/>
    </row>
    <row r="749" spans="4:38" ht="15.75" customHeight="1">
      <c r="D749" s="275"/>
      <c r="AK749" s="1030"/>
      <c r="AL749" s="1030"/>
    </row>
    <row r="750" spans="4:38" ht="15.75" customHeight="1">
      <c r="D750" s="275"/>
      <c r="AK750" s="1030"/>
      <c r="AL750" s="1030"/>
    </row>
    <row r="751" spans="4:38" ht="15.75" customHeight="1">
      <c r="D751" s="275"/>
      <c r="AK751" s="1030"/>
      <c r="AL751" s="1030"/>
    </row>
    <row r="752" spans="4:38" ht="15.75" customHeight="1">
      <c r="D752" s="275"/>
      <c r="AK752" s="1030"/>
      <c r="AL752" s="1030"/>
    </row>
    <row r="753" spans="4:38" ht="15.75" customHeight="1">
      <c r="D753" s="275"/>
      <c r="AK753" s="1030"/>
      <c r="AL753" s="1030"/>
    </row>
    <row r="754" spans="4:38" ht="15.75" customHeight="1">
      <c r="D754" s="275"/>
      <c r="AK754" s="1030"/>
      <c r="AL754" s="1030"/>
    </row>
    <row r="755" spans="4:38" ht="15.75" customHeight="1">
      <c r="D755" s="275"/>
      <c r="AK755" s="1030"/>
      <c r="AL755" s="1030"/>
    </row>
    <row r="756" spans="4:38" ht="15.75" customHeight="1">
      <c r="D756" s="275"/>
      <c r="AK756" s="1030"/>
      <c r="AL756" s="1030"/>
    </row>
    <row r="757" spans="4:38" ht="15.75" customHeight="1">
      <c r="D757" s="275"/>
      <c r="AK757" s="1030"/>
      <c r="AL757" s="1030"/>
    </row>
    <row r="758" spans="4:38" ht="15.75" customHeight="1">
      <c r="D758" s="275"/>
      <c r="AK758" s="1030"/>
      <c r="AL758" s="1030"/>
    </row>
    <row r="759" spans="4:38" ht="15.75" customHeight="1">
      <c r="D759" s="275"/>
      <c r="AK759" s="1030"/>
      <c r="AL759" s="1030"/>
    </row>
    <row r="760" spans="4:38" ht="15.75" customHeight="1">
      <c r="D760" s="275"/>
      <c r="AK760" s="1030"/>
      <c r="AL760" s="1030"/>
    </row>
    <row r="761" spans="4:38" ht="15.75" customHeight="1">
      <c r="D761" s="275"/>
      <c r="AK761" s="1030"/>
      <c r="AL761" s="1030"/>
    </row>
    <row r="762" spans="4:38" ht="15.75" customHeight="1">
      <c r="D762" s="275"/>
      <c r="AK762" s="1030"/>
      <c r="AL762" s="1030"/>
    </row>
    <row r="763" spans="4:38" ht="15.75" customHeight="1">
      <c r="D763" s="275"/>
      <c r="AK763" s="1030"/>
      <c r="AL763" s="1030"/>
    </row>
    <row r="764" spans="4:38" ht="15.75" customHeight="1">
      <c r="D764" s="275"/>
      <c r="AK764" s="1030"/>
      <c r="AL764" s="1030"/>
    </row>
    <row r="765" spans="4:38" ht="15.75" customHeight="1">
      <c r="D765" s="275"/>
      <c r="AK765" s="1030"/>
      <c r="AL765" s="1030"/>
    </row>
    <row r="766" spans="4:38" ht="15.75" customHeight="1">
      <c r="D766" s="275"/>
      <c r="AK766" s="1030"/>
      <c r="AL766" s="1030"/>
    </row>
    <row r="767" spans="4:38" ht="15.75" customHeight="1">
      <c r="D767" s="275"/>
      <c r="AK767" s="1030"/>
      <c r="AL767" s="1030"/>
    </row>
    <row r="768" spans="4:38" ht="15.75" customHeight="1">
      <c r="D768" s="275"/>
      <c r="AK768" s="1030"/>
      <c r="AL768" s="1030"/>
    </row>
    <row r="769" spans="4:38" ht="15.75" customHeight="1">
      <c r="D769" s="275"/>
      <c r="AK769" s="1030"/>
      <c r="AL769" s="1030"/>
    </row>
    <row r="770" spans="4:38" ht="15.75" customHeight="1">
      <c r="D770" s="275"/>
      <c r="AK770" s="1030"/>
      <c r="AL770" s="1030"/>
    </row>
    <row r="771" spans="4:38" ht="15.75" customHeight="1">
      <c r="D771" s="275"/>
      <c r="AK771" s="1030"/>
      <c r="AL771" s="1030"/>
    </row>
    <row r="772" spans="4:38" ht="15.75" customHeight="1">
      <c r="D772" s="275"/>
      <c r="AK772" s="1030"/>
      <c r="AL772" s="1030"/>
    </row>
    <row r="773" spans="4:38" ht="15.75" customHeight="1">
      <c r="D773" s="275"/>
      <c r="AK773" s="1030"/>
      <c r="AL773" s="1030"/>
    </row>
    <row r="774" spans="4:38" ht="15.75" customHeight="1">
      <c r="D774" s="275"/>
      <c r="AK774" s="1030"/>
      <c r="AL774" s="1030"/>
    </row>
    <row r="775" spans="4:38" ht="15.75" customHeight="1">
      <c r="D775" s="275"/>
      <c r="AK775" s="1030"/>
      <c r="AL775" s="1030"/>
    </row>
    <row r="776" spans="4:38" ht="15.75" customHeight="1">
      <c r="D776" s="275"/>
      <c r="AK776" s="1030"/>
      <c r="AL776" s="1030"/>
    </row>
    <row r="777" spans="4:38" ht="15.75" customHeight="1">
      <c r="D777" s="275"/>
      <c r="AK777" s="1030"/>
      <c r="AL777" s="1030"/>
    </row>
    <row r="778" spans="4:38" ht="15.75" customHeight="1">
      <c r="D778" s="275"/>
      <c r="AK778" s="1030"/>
      <c r="AL778" s="1030"/>
    </row>
    <row r="779" spans="4:38" ht="15.75" customHeight="1">
      <c r="D779" s="275"/>
      <c r="AK779" s="1030"/>
      <c r="AL779" s="1030"/>
    </row>
    <row r="780" spans="4:38" ht="15.75" customHeight="1">
      <c r="D780" s="275"/>
      <c r="AK780" s="1030"/>
      <c r="AL780" s="1030"/>
    </row>
    <row r="781" spans="4:38" ht="15.75" customHeight="1">
      <c r="D781" s="275"/>
      <c r="AK781" s="1030"/>
      <c r="AL781" s="1030"/>
    </row>
    <row r="782" spans="4:38" ht="15.75" customHeight="1">
      <c r="D782" s="275"/>
      <c r="AK782" s="1030"/>
      <c r="AL782" s="1030"/>
    </row>
    <row r="783" spans="4:38" ht="15.75" customHeight="1">
      <c r="D783" s="275"/>
      <c r="AK783" s="1030"/>
      <c r="AL783" s="1030"/>
    </row>
    <row r="784" spans="4:38" ht="15.75" customHeight="1">
      <c r="D784" s="275"/>
      <c r="AK784" s="1030"/>
      <c r="AL784" s="1030"/>
    </row>
    <row r="785" spans="4:38" ht="15.75" customHeight="1">
      <c r="D785" s="275"/>
      <c r="AK785" s="1030"/>
      <c r="AL785" s="1030"/>
    </row>
    <row r="786" spans="4:38" ht="15.75" customHeight="1">
      <c r="D786" s="275"/>
      <c r="AK786" s="1030"/>
      <c r="AL786" s="1030"/>
    </row>
    <row r="787" spans="4:38" ht="15.75" customHeight="1">
      <c r="D787" s="275"/>
      <c r="AK787" s="1030"/>
      <c r="AL787" s="1030"/>
    </row>
    <row r="788" spans="4:38" ht="15.75" customHeight="1">
      <c r="D788" s="275"/>
      <c r="AK788" s="1030"/>
      <c r="AL788" s="1030"/>
    </row>
    <row r="789" spans="4:38" ht="15.75" customHeight="1">
      <c r="D789" s="275"/>
      <c r="AK789" s="1030"/>
      <c r="AL789" s="1030"/>
    </row>
    <row r="790" spans="4:38" ht="15.75" customHeight="1">
      <c r="D790" s="275"/>
      <c r="AK790" s="1030"/>
      <c r="AL790" s="1030"/>
    </row>
    <row r="791" spans="4:38" ht="15.75" customHeight="1">
      <c r="D791" s="275"/>
      <c r="AK791" s="1030"/>
      <c r="AL791" s="1030"/>
    </row>
    <row r="792" spans="4:38" ht="15.75" customHeight="1">
      <c r="D792" s="275"/>
      <c r="AK792" s="1030"/>
      <c r="AL792" s="1030"/>
    </row>
    <row r="793" spans="4:38" ht="15.75" customHeight="1">
      <c r="D793" s="275"/>
      <c r="AK793" s="1030"/>
      <c r="AL793" s="1030"/>
    </row>
    <row r="794" spans="4:38" ht="15.75" customHeight="1">
      <c r="D794" s="275"/>
      <c r="AK794" s="1030"/>
      <c r="AL794" s="1030"/>
    </row>
    <row r="795" spans="4:38" ht="15.75" customHeight="1">
      <c r="D795" s="275"/>
      <c r="AK795" s="1030"/>
      <c r="AL795" s="1030"/>
    </row>
    <row r="796" spans="4:38" ht="15.75" customHeight="1">
      <c r="D796" s="275"/>
      <c r="AK796" s="1030"/>
      <c r="AL796" s="1030"/>
    </row>
    <row r="797" spans="4:38" ht="15.75" customHeight="1">
      <c r="D797" s="275"/>
      <c r="AK797" s="1030"/>
      <c r="AL797" s="1030"/>
    </row>
    <row r="798" spans="4:38" ht="15.75" customHeight="1">
      <c r="D798" s="275"/>
      <c r="AK798" s="1030"/>
      <c r="AL798" s="1030"/>
    </row>
    <row r="799" spans="4:38" ht="15.75" customHeight="1">
      <c r="D799" s="275"/>
      <c r="AK799" s="1030"/>
      <c r="AL799" s="1030"/>
    </row>
    <row r="800" spans="4:38" ht="15.75" customHeight="1">
      <c r="D800" s="275"/>
      <c r="AK800" s="1030"/>
      <c r="AL800" s="1030"/>
    </row>
    <row r="801" spans="4:38" ht="15.75" customHeight="1">
      <c r="D801" s="275"/>
      <c r="AK801" s="1030"/>
      <c r="AL801" s="1030"/>
    </row>
    <row r="802" spans="4:38" ht="15.75" customHeight="1">
      <c r="D802" s="275"/>
      <c r="AK802" s="1030"/>
      <c r="AL802" s="1030"/>
    </row>
    <row r="803" spans="4:38" ht="15.75" customHeight="1">
      <c r="D803" s="275"/>
      <c r="AK803" s="1030"/>
      <c r="AL803" s="1030"/>
    </row>
    <row r="804" spans="4:38" ht="15.75" customHeight="1">
      <c r="D804" s="275"/>
      <c r="AK804" s="1030"/>
      <c r="AL804" s="1030"/>
    </row>
    <row r="805" spans="4:38" ht="15.75" customHeight="1">
      <c r="D805" s="275"/>
      <c r="AK805" s="1030"/>
      <c r="AL805" s="1030"/>
    </row>
    <row r="806" spans="4:38" ht="15.75" customHeight="1">
      <c r="D806" s="275"/>
      <c r="AK806" s="1030"/>
      <c r="AL806" s="1030"/>
    </row>
    <row r="807" spans="4:38" ht="15.75" customHeight="1">
      <c r="D807" s="275"/>
      <c r="AK807" s="1030"/>
      <c r="AL807" s="1030"/>
    </row>
    <row r="808" spans="4:38" ht="15.75" customHeight="1">
      <c r="D808" s="275"/>
      <c r="AK808" s="1030"/>
      <c r="AL808" s="1030"/>
    </row>
    <row r="809" spans="4:38" ht="15.75" customHeight="1">
      <c r="D809" s="275"/>
      <c r="AK809" s="1030"/>
      <c r="AL809" s="1030"/>
    </row>
    <row r="810" spans="4:38" ht="15.75" customHeight="1">
      <c r="D810" s="275"/>
      <c r="AK810" s="1030"/>
      <c r="AL810" s="1030"/>
    </row>
    <row r="811" spans="4:38" ht="15.75" customHeight="1">
      <c r="D811" s="275"/>
      <c r="AK811" s="1030"/>
      <c r="AL811" s="1030"/>
    </row>
    <row r="812" spans="4:38" ht="15.75" customHeight="1">
      <c r="D812" s="275"/>
      <c r="AK812" s="1030"/>
      <c r="AL812" s="1030"/>
    </row>
    <row r="813" spans="4:38" ht="15.75" customHeight="1">
      <c r="D813" s="275"/>
      <c r="AK813" s="1030"/>
      <c r="AL813" s="1030"/>
    </row>
    <row r="814" spans="4:38" ht="15.75" customHeight="1">
      <c r="D814" s="275"/>
      <c r="AK814" s="1030"/>
      <c r="AL814" s="1030"/>
    </row>
    <row r="815" spans="4:38" ht="15.75" customHeight="1">
      <c r="D815" s="275"/>
      <c r="AK815" s="1030"/>
      <c r="AL815" s="1030"/>
    </row>
    <row r="816" spans="4:38" ht="15.75" customHeight="1">
      <c r="D816" s="275"/>
      <c r="AK816" s="1030"/>
      <c r="AL816" s="1030"/>
    </row>
    <row r="817" spans="4:38" ht="15.75" customHeight="1">
      <c r="D817" s="275"/>
      <c r="AK817" s="1030"/>
      <c r="AL817" s="1030"/>
    </row>
    <row r="818" spans="4:38" ht="15.75" customHeight="1">
      <c r="D818" s="275"/>
      <c r="AK818" s="1030"/>
      <c r="AL818" s="1030"/>
    </row>
    <row r="819" spans="4:38" ht="15.75" customHeight="1">
      <c r="D819" s="275"/>
      <c r="AK819" s="1030"/>
      <c r="AL819" s="1030"/>
    </row>
    <row r="820" spans="4:38" ht="15.75" customHeight="1">
      <c r="D820" s="275"/>
      <c r="AK820" s="1030"/>
      <c r="AL820" s="1030"/>
    </row>
    <row r="821" spans="4:38" ht="15.75" customHeight="1">
      <c r="D821" s="275"/>
      <c r="AK821" s="1030"/>
      <c r="AL821" s="1030"/>
    </row>
    <row r="822" spans="4:38" ht="15.75" customHeight="1">
      <c r="D822" s="275"/>
      <c r="AK822" s="1030"/>
      <c r="AL822" s="1030"/>
    </row>
    <row r="823" spans="4:38" ht="15.75" customHeight="1">
      <c r="D823" s="275"/>
      <c r="AK823" s="1030"/>
      <c r="AL823" s="1030"/>
    </row>
    <row r="824" spans="4:38" ht="15.75" customHeight="1">
      <c r="D824" s="275"/>
      <c r="AK824" s="1030"/>
      <c r="AL824" s="1030"/>
    </row>
    <row r="825" spans="4:38" ht="15.75" customHeight="1">
      <c r="D825" s="275"/>
      <c r="AK825" s="1030"/>
      <c r="AL825" s="1030"/>
    </row>
    <row r="826" spans="4:38" ht="15.75" customHeight="1">
      <c r="D826" s="275"/>
      <c r="AK826" s="1030"/>
      <c r="AL826" s="1030"/>
    </row>
    <row r="827" spans="4:38" ht="15.75" customHeight="1">
      <c r="D827" s="275"/>
      <c r="AK827" s="1030"/>
      <c r="AL827" s="1030"/>
    </row>
    <row r="828" spans="4:38" ht="15.75" customHeight="1">
      <c r="D828" s="275"/>
      <c r="AK828" s="1030"/>
      <c r="AL828" s="1030"/>
    </row>
    <row r="829" spans="4:38" ht="15.75" customHeight="1">
      <c r="D829" s="275"/>
      <c r="AK829" s="1030"/>
      <c r="AL829" s="1030"/>
    </row>
    <row r="830" spans="4:38" ht="15.75" customHeight="1">
      <c r="D830" s="275"/>
      <c r="AK830" s="1030"/>
      <c r="AL830" s="1030"/>
    </row>
    <row r="831" spans="4:38" ht="15.75" customHeight="1">
      <c r="D831" s="275"/>
      <c r="AK831" s="1030"/>
      <c r="AL831" s="1030"/>
    </row>
    <row r="832" spans="4:38" ht="15.75" customHeight="1">
      <c r="D832" s="275"/>
      <c r="AK832" s="1030"/>
      <c r="AL832" s="1030"/>
    </row>
    <row r="833" spans="4:38" ht="15.75" customHeight="1">
      <c r="D833" s="275"/>
      <c r="AK833" s="1030"/>
      <c r="AL833" s="1030"/>
    </row>
    <row r="834" spans="4:38" ht="15.75" customHeight="1">
      <c r="D834" s="275"/>
      <c r="AK834" s="1030"/>
      <c r="AL834" s="1030"/>
    </row>
    <row r="835" spans="4:38" ht="15.75" customHeight="1">
      <c r="D835" s="275"/>
      <c r="AK835" s="1030"/>
      <c r="AL835" s="1030"/>
    </row>
    <row r="836" spans="4:38" ht="15.75" customHeight="1">
      <c r="D836" s="275"/>
      <c r="AK836" s="1030"/>
      <c r="AL836" s="1030"/>
    </row>
    <row r="837" spans="4:38" ht="15.75" customHeight="1">
      <c r="D837" s="275"/>
      <c r="AK837" s="1030"/>
      <c r="AL837" s="1030"/>
    </row>
    <row r="838" spans="4:38" ht="15.75" customHeight="1">
      <c r="D838" s="275"/>
      <c r="AK838" s="1030"/>
      <c r="AL838" s="1030"/>
    </row>
    <row r="839" spans="4:38" ht="15.75" customHeight="1">
      <c r="D839" s="275"/>
      <c r="AK839" s="1030"/>
      <c r="AL839" s="1030"/>
    </row>
    <row r="840" spans="4:38" ht="15.75" customHeight="1">
      <c r="D840" s="275"/>
      <c r="AK840" s="1030"/>
      <c r="AL840" s="1030"/>
    </row>
    <row r="841" spans="4:38" ht="15.75" customHeight="1">
      <c r="D841" s="275"/>
      <c r="AK841" s="1030"/>
      <c r="AL841" s="1030"/>
    </row>
    <row r="842" spans="4:38" ht="15.75" customHeight="1">
      <c r="D842" s="275"/>
      <c r="AK842" s="1030"/>
      <c r="AL842" s="1030"/>
    </row>
    <row r="843" spans="4:38" ht="15.75" customHeight="1">
      <c r="D843" s="275"/>
      <c r="AK843" s="1030"/>
      <c r="AL843" s="1030"/>
    </row>
    <row r="844" spans="4:38" ht="15.75" customHeight="1">
      <c r="D844" s="275"/>
      <c r="AK844" s="1030"/>
      <c r="AL844" s="1030"/>
    </row>
    <row r="845" spans="4:38" ht="15.75" customHeight="1">
      <c r="D845" s="275"/>
      <c r="AK845" s="1030"/>
      <c r="AL845" s="1030"/>
    </row>
    <row r="846" spans="4:38" ht="15.75" customHeight="1">
      <c r="D846" s="275"/>
      <c r="AK846" s="1030"/>
      <c r="AL846" s="1030"/>
    </row>
    <row r="847" spans="4:38" ht="15.75" customHeight="1">
      <c r="D847" s="275"/>
      <c r="AK847" s="1030"/>
      <c r="AL847" s="1030"/>
    </row>
    <row r="848" spans="4:38" ht="15.75" customHeight="1">
      <c r="D848" s="275"/>
      <c r="AK848" s="1030"/>
      <c r="AL848" s="1030"/>
    </row>
    <row r="849" spans="4:38" ht="15.75" customHeight="1">
      <c r="D849" s="275"/>
      <c r="AK849" s="1030"/>
      <c r="AL849" s="1030"/>
    </row>
    <row r="850" spans="4:38" ht="15.75" customHeight="1">
      <c r="D850" s="275"/>
      <c r="AK850" s="1030"/>
      <c r="AL850" s="1030"/>
    </row>
    <row r="851" spans="4:38" ht="15.75" customHeight="1">
      <c r="D851" s="275"/>
      <c r="AK851" s="1030"/>
      <c r="AL851" s="1030"/>
    </row>
    <row r="852" spans="4:38" ht="15.75" customHeight="1">
      <c r="D852" s="275"/>
      <c r="AK852" s="1030"/>
      <c r="AL852" s="1030"/>
    </row>
    <row r="853" spans="4:38" ht="15.75" customHeight="1">
      <c r="D853" s="275"/>
      <c r="AK853" s="1030"/>
      <c r="AL853" s="1030"/>
    </row>
    <row r="854" spans="4:38" ht="15.75" customHeight="1">
      <c r="D854" s="275"/>
      <c r="AK854" s="1030"/>
      <c r="AL854" s="1030"/>
    </row>
    <row r="855" spans="4:38" ht="15.75" customHeight="1">
      <c r="D855" s="275"/>
      <c r="AK855" s="1030"/>
      <c r="AL855" s="1030"/>
    </row>
    <row r="856" spans="4:38" ht="15.75" customHeight="1">
      <c r="D856" s="275"/>
      <c r="AK856" s="1030"/>
      <c r="AL856" s="1030"/>
    </row>
    <row r="857" spans="4:38" ht="15.75" customHeight="1">
      <c r="D857" s="275"/>
      <c r="AK857" s="1030"/>
      <c r="AL857" s="1030"/>
    </row>
    <row r="858" spans="4:38" ht="15.75" customHeight="1">
      <c r="D858" s="275"/>
      <c r="AK858" s="1030"/>
      <c r="AL858" s="1030"/>
    </row>
    <row r="859" spans="4:38" ht="15.75" customHeight="1">
      <c r="D859" s="275"/>
      <c r="AK859" s="1030"/>
      <c r="AL859" s="1030"/>
    </row>
    <row r="860" spans="4:38" ht="15.75" customHeight="1">
      <c r="D860" s="275"/>
      <c r="AK860" s="1030"/>
      <c r="AL860" s="1030"/>
    </row>
    <row r="861" spans="4:38" ht="15.75" customHeight="1">
      <c r="D861" s="275"/>
      <c r="AK861" s="1030"/>
      <c r="AL861" s="1030"/>
    </row>
    <row r="862" spans="4:38" ht="15.75" customHeight="1">
      <c r="D862" s="275"/>
      <c r="AK862" s="1030"/>
      <c r="AL862" s="1030"/>
    </row>
    <row r="863" spans="4:38" ht="15.75" customHeight="1">
      <c r="D863" s="275"/>
      <c r="AK863" s="1030"/>
      <c r="AL863" s="1030"/>
    </row>
    <row r="864" spans="4:38" ht="15.75" customHeight="1">
      <c r="D864" s="275"/>
      <c r="AK864" s="1030"/>
      <c r="AL864" s="1030"/>
    </row>
    <row r="865" spans="4:38" ht="15.75" customHeight="1">
      <c r="D865" s="275"/>
      <c r="AK865" s="1030"/>
      <c r="AL865" s="1030"/>
    </row>
    <row r="866" spans="4:38" ht="15.75" customHeight="1">
      <c r="D866" s="275"/>
      <c r="AK866" s="1030"/>
      <c r="AL866" s="1030"/>
    </row>
    <row r="867" spans="4:38" ht="15.75" customHeight="1">
      <c r="D867" s="275"/>
      <c r="AK867" s="1030"/>
      <c r="AL867" s="1030"/>
    </row>
    <row r="868" spans="4:38" ht="15.75" customHeight="1">
      <c r="D868" s="275"/>
      <c r="AK868" s="1030"/>
      <c r="AL868" s="1030"/>
    </row>
    <row r="869" spans="4:38" ht="15.75" customHeight="1">
      <c r="D869" s="275"/>
      <c r="AK869" s="1030"/>
      <c r="AL869" s="1030"/>
    </row>
    <row r="870" spans="4:38" ht="15.75" customHeight="1">
      <c r="D870" s="275"/>
      <c r="AK870" s="1030"/>
      <c r="AL870" s="1030"/>
    </row>
    <row r="871" spans="4:38" ht="15.75" customHeight="1">
      <c r="D871" s="275"/>
      <c r="AK871" s="1030"/>
      <c r="AL871" s="1030"/>
    </row>
    <row r="872" spans="4:38" ht="15.75" customHeight="1">
      <c r="D872" s="275"/>
      <c r="AK872" s="1030"/>
      <c r="AL872" s="1030"/>
    </row>
    <row r="873" spans="4:38" ht="15.75" customHeight="1">
      <c r="D873" s="275"/>
      <c r="AK873" s="1030"/>
      <c r="AL873" s="1030"/>
    </row>
    <row r="874" spans="4:38" ht="15.75" customHeight="1">
      <c r="D874" s="275"/>
      <c r="AK874" s="1030"/>
      <c r="AL874" s="1030"/>
    </row>
    <row r="875" spans="4:38" ht="15.75" customHeight="1">
      <c r="D875" s="275"/>
      <c r="AK875" s="1030"/>
      <c r="AL875" s="1030"/>
    </row>
    <row r="876" spans="4:38" ht="15.75" customHeight="1">
      <c r="D876" s="275"/>
      <c r="AK876" s="1030"/>
      <c r="AL876" s="1030"/>
    </row>
    <row r="877" spans="4:38" ht="15.75" customHeight="1">
      <c r="D877" s="275"/>
      <c r="AK877" s="1030"/>
      <c r="AL877" s="1030"/>
    </row>
    <row r="878" spans="4:38" ht="15.75" customHeight="1">
      <c r="D878" s="275"/>
      <c r="AK878" s="1030"/>
      <c r="AL878" s="1030"/>
    </row>
    <row r="879" spans="4:38" ht="15.75" customHeight="1">
      <c r="D879" s="275"/>
      <c r="AK879" s="1030"/>
      <c r="AL879" s="1030"/>
    </row>
    <row r="880" spans="4:38" ht="15.75" customHeight="1">
      <c r="D880" s="275"/>
      <c r="AK880" s="1030"/>
      <c r="AL880" s="1030"/>
    </row>
    <row r="881" spans="4:38" ht="15.75" customHeight="1">
      <c r="D881" s="275"/>
      <c r="AK881" s="1030"/>
      <c r="AL881" s="1030"/>
    </row>
    <row r="882" spans="4:38" ht="15.75" customHeight="1">
      <c r="D882" s="275"/>
      <c r="AK882" s="1030"/>
      <c r="AL882" s="1030"/>
    </row>
    <row r="883" spans="4:38" ht="15.75" customHeight="1">
      <c r="D883" s="275"/>
      <c r="AK883" s="1030"/>
      <c r="AL883" s="1030"/>
    </row>
    <row r="884" spans="4:38" ht="15.75" customHeight="1">
      <c r="D884" s="275"/>
      <c r="AK884" s="1030"/>
      <c r="AL884" s="1030"/>
    </row>
    <row r="885" spans="4:38" ht="15.75" customHeight="1">
      <c r="D885" s="275"/>
      <c r="AK885" s="1030"/>
      <c r="AL885" s="1030"/>
    </row>
    <row r="886" spans="4:38" ht="15.75" customHeight="1">
      <c r="D886" s="275"/>
      <c r="AK886" s="1030"/>
      <c r="AL886" s="1030"/>
    </row>
    <row r="887" spans="4:38" ht="15.75" customHeight="1">
      <c r="D887" s="275"/>
      <c r="AK887" s="1030"/>
      <c r="AL887" s="1030"/>
    </row>
    <row r="888" spans="4:38" ht="15.75" customHeight="1">
      <c r="D888" s="275"/>
      <c r="AK888" s="1030"/>
      <c r="AL888" s="1030"/>
    </row>
    <row r="889" spans="4:38" ht="15.75" customHeight="1">
      <c r="D889" s="275"/>
      <c r="AK889" s="1030"/>
      <c r="AL889" s="1030"/>
    </row>
    <row r="890" spans="4:38" ht="15.75" customHeight="1">
      <c r="D890" s="275"/>
      <c r="AK890" s="1030"/>
      <c r="AL890" s="1030"/>
    </row>
    <row r="891" spans="4:38" ht="15.75" customHeight="1">
      <c r="D891" s="275"/>
      <c r="AK891" s="1030"/>
      <c r="AL891" s="1030"/>
    </row>
    <row r="892" spans="4:38" ht="15.75" customHeight="1">
      <c r="D892" s="275"/>
      <c r="AK892" s="1030"/>
      <c r="AL892" s="1030"/>
    </row>
    <row r="893" spans="4:38" ht="15.75" customHeight="1">
      <c r="D893" s="275"/>
      <c r="AK893" s="1030"/>
      <c r="AL893" s="1030"/>
    </row>
    <row r="894" spans="4:38" ht="15.75" customHeight="1">
      <c r="D894" s="275"/>
      <c r="AK894" s="1030"/>
      <c r="AL894" s="1030"/>
    </row>
    <row r="895" spans="4:38" ht="15.75" customHeight="1">
      <c r="D895" s="275"/>
      <c r="AK895" s="1030"/>
      <c r="AL895" s="1030"/>
    </row>
    <row r="896" spans="4:38" ht="15.75" customHeight="1">
      <c r="D896" s="275"/>
      <c r="AK896" s="1030"/>
      <c r="AL896" s="1030"/>
    </row>
    <row r="897" spans="4:38" ht="15.75" customHeight="1">
      <c r="D897" s="275"/>
      <c r="AK897" s="1030"/>
      <c r="AL897" s="1030"/>
    </row>
    <row r="898" spans="4:38" ht="15.75" customHeight="1">
      <c r="D898" s="275"/>
      <c r="AK898" s="1030"/>
      <c r="AL898" s="1030"/>
    </row>
    <row r="899" spans="4:38" ht="15.75" customHeight="1">
      <c r="D899" s="275"/>
      <c r="AK899" s="1030"/>
      <c r="AL899" s="1030"/>
    </row>
    <row r="900" spans="4:38" ht="15.75" customHeight="1">
      <c r="D900" s="275"/>
      <c r="AK900" s="1030"/>
      <c r="AL900" s="1030"/>
    </row>
    <row r="901" spans="4:38" ht="15.75" customHeight="1">
      <c r="D901" s="275"/>
      <c r="AK901" s="1030"/>
      <c r="AL901" s="1030"/>
    </row>
    <row r="902" spans="4:38" ht="15.75" customHeight="1">
      <c r="D902" s="275"/>
      <c r="AK902" s="1030"/>
      <c r="AL902" s="1030"/>
    </row>
    <row r="903" spans="4:38" ht="15.75" customHeight="1">
      <c r="D903" s="275"/>
      <c r="AK903" s="1030"/>
      <c r="AL903" s="1030"/>
    </row>
    <row r="904" spans="4:38" ht="15.75" customHeight="1">
      <c r="D904" s="275"/>
      <c r="AK904" s="1030"/>
      <c r="AL904" s="1030"/>
    </row>
    <row r="905" spans="4:38" ht="15.75" customHeight="1">
      <c r="D905" s="275"/>
      <c r="AK905" s="1030"/>
      <c r="AL905" s="1030"/>
    </row>
    <row r="906" spans="4:38" ht="15.75" customHeight="1">
      <c r="D906" s="275"/>
      <c r="AK906" s="1030"/>
      <c r="AL906" s="1030"/>
    </row>
    <row r="907" spans="4:38" ht="15.75" customHeight="1">
      <c r="D907" s="275"/>
      <c r="AK907" s="1030"/>
      <c r="AL907" s="1030"/>
    </row>
    <row r="908" spans="4:38" ht="15.75" customHeight="1">
      <c r="D908" s="275"/>
      <c r="AK908" s="1030"/>
      <c r="AL908" s="1030"/>
    </row>
    <row r="909" spans="4:38" ht="15.75" customHeight="1">
      <c r="D909" s="275"/>
      <c r="AK909" s="1030"/>
      <c r="AL909" s="1030"/>
    </row>
    <row r="910" spans="4:38" ht="15.75" customHeight="1">
      <c r="D910" s="275"/>
      <c r="AK910" s="1030"/>
      <c r="AL910" s="1030"/>
    </row>
    <row r="911" spans="4:38" ht="15.75" customHeight="1">
      <c r="D911" s="275"/>
      <c r="AK911" s="1030"/>
      <c r="AL911" s="1030"/>
    </row>
    <row r="912" spans="4:38" ht="15.75" customHeight="1">
      <c r="D912" s="275"/>
      <c r="AK912" s="1030"/>
      <c r="AL912" s="1030"/>
    </row>
    <row r="913" spans="4:38" ht="15.75" customHeight="1">
      <c r="D913" s="275"/>
      <c r="AK913" s="1030"/>
      <c r="AL913" s="1030"/>
    </row>
    <row r="914" spans="4:38" ht="15.75" customHeight="1">
      <c r="D914" s="275"/>
      <c r="AK914" s="1030"/>
      <c r="AL914" s="1030"/>
    </row>
    <row r="915" spans="4:38" ht="15.75" customHeight="1">
      <c r="D915" s="275"/>
      <c r="AK915" s="1030"/>
      <c r="AL915" s="1030"/>
    </row>
    <row r="916" spans="4:38" ht="15.75" customHeight="1">
      <c r="D916" s="275"/>
      <c r="AK916" s="1030"/>
      <c r="AL916" s="1030"/>
    </row>
    <row r="917" spans="4:38" ht="15.75" customHeight="1">
      <c r="D917" s="275"/>
      <c r="AK917" s="1030"/>
      <c r="AL917" s="1030"/>
    </row>
    <row r="918" spans="4:38" ht="15.75" customHeight="1">
      <c r="D918" s="275"/>
      <c r="AK918" s="1030"/>
      <c r="AL918" s="1030"/>
    </row>
    <row r="919" spans="4:38" ht="15.75" customHeight="1">
      <c r="D919" s="275"/>
      <c r="AK919" s="1030"/>
      <c r="AL919" s="1030"/>
    </row>
    <row r="920" spans="4:38" ht="15.75" customHeight="1">
      <c r="D920" s="275"/>
      <c r="AK920" s="1030"/>
      <c r="AL920" s="1030"/>
    </row>
    <row r="921" spans="4:38" ht="15.75" customHeight="1">
      <c r="D921" s="275"/>
      <c r="AK921" s="1030"/>
      <c r="AL921" s="1030"/>
    </row>
    <row r="922" spans="4:38" ht="15.75" customHeight="1">
      <c r="D922" s="275"/>
      <c r="AK922" s="1030"/>
      <c r="AL922" s="1030"/>
    </row>
    <row r="923" spans="4:38" ht="15.75" customHeight="1">
      <c r="D923" s="275"/>
      <c r="AK923" s="1030"/>
      <c r="AL923" s="1030"/>
    </row>
    <row r="924" spans="4:38" ht="15.75" customHeight="1">
      <c r="D924" s="275"/>
      <c r="AK924" s="1030"/>
      <c r="AL924" s="1030"/>
    </row>
    <row r="925" spans="4:38" ht="15.75" customHeight="1">
      <c r="D925" s="275"/>
      <c r="AK925" s="1030"/>
      <c r="AL925" s="1030"/>
    </row>
    <row r="926" spans="4:38" ht="15.75" customHeight="1">
      <c r="D926" s="275"/>
      <c r="AK926" s="1030"/>
      <c r="AL926" s="1030"/>
    </row>
    <row r="927" spans="4:38" ht="15.75" customHeight="1">
      <c r="D927" s="275"/>
      <c r="AK927" s="1030"/>
      <c r="AL927" s="1030"/>
    </row>
    <row r="928" spans="4:38" ht="15.75" customHeight="1">
      <c r="D928" s="275"/>
      <c r="AK928" s="1030"/>
      <c r="AL928" s="1030"/>
    </row>
    <row r="929" spans="4:38" ht="15.75" customHeight="1">
      <c r="D929" s="275"/>
      <c r="AK929" s="1030"/>
      <c r="AL929" s="1030"/>
    </row>
    <row r="930" spans="4:38" ht="15.75" customHeight="1">
      <c r="D930" s="275"/>
      <c r="AK930" s="1030"/>
      <c r="AL930" s="1030"/>
    </row>
    <row r="931" spans="4:38" ht="15.75" customHeight="1">
      <c r="D931" s="275"/>
      <c r="AK931" s="1030"/>
      <c r="AL931" s="1030"/>
    </row>
    <row r="932" spans="4:38" ht="15.75" customHeight="1">
      <c r="D932" s="275"/>
      <c r="AK932" s="1030"/>
      <c r="AL932" s="1030"/>
    </row>
    <row r="933" spans="4:38" ht="15.75" customHeight="1">
      <c r="D933" s="275"/>
      <c r="AK933" s="1030"/>
      <c r="AL933" s="1030"/>
    </row>
    <row r="934" spans="4:38" ht="15.75" customHeight="1">
      <c r="D934" s="275"/>
      <c r="AK934" s="1030"/>
      <c r="AL934" s="1030"/>
    </row>
    <row r="935" spans="4:38" ht="15.75" customHeight="1">
      <c r="D935" s="275"/>
      <c r="AK935" s="1030"/>
      <c r="AL935" s="1030"/>
    </row>
    <row r="936" spans="4:38" ht="15.75" customHeight="1">
      <c r="D936" s="275"/>
      <c r="AK936" s="1030"/>
      <c r="AL936" s="1030"/>
    </row>
    <row r="937" spans="4:38" ht="15.75" customHeight="1">
      <c r="D937" s="275"/>
      <c r="AK937" s="1030"/>
      <c r="AL937" s="1030"/>
    </row>
    <row r="938" spans="4:38" ht="15.75" customHeight="1">
      <c r="D938" s="275"/>
      <c r="AK938" s="1030"/>
      <c r="AL938" s="1030"/>
    </row>
    <row r="939" spans="4:38" ht="15.75" customHeight="1">
      <c r="D939" s="275"/>
      <c r="AK939" s="1030"/>
      <c r="AL939" s="1030"/>
    </row>
    <row r="940" spans="4:38" ht="15.75" customHeight="1">
      <c r="D940" s="275"/>
      <c r="AK940" s="1030"/>
      <c r="AL940" s="1030"/>
    </row>
    <row r="941" spans="4:38" ht="15.75" customHeight="1">
      <c r="D941" s="275"/>
      <c r="AK941" s="1030"/>
      <c r="AL941" s="1030"/>
    </row>
    <row r="942" spans="4:38" ht="15.75" customHeight="1">
      <c r="D942" s="275"/>
      <c r="AK942" s="1030"/>
      <c r="AL942" s="1030"/>
    </row>
    <row r="943" spans="4:38" ht="15.75" customHeight="1">
      <c r="D943" s="275"/>
      <c r="AK943" s="1030"/>
      <c r="AL943" s="1030"/>
    </row>
    <row r="944" spans="4:38" ht="15.75" customHeight="1">
      <c r="D944" s="275"/>
      <c r="AK944" s="1030"/>
      <c r="AL944" s="1030"/>
    </row>
    <row r="945" spans="4:38" ht="15.75" customHeight="1">
      <c r="D945" s="275"/>
      <c r="AK945" s="1030"/>
      <c r="AL945" s="1030"/>
    </row>
    <row r="946" spans="4:38" ht="15.75" customHeight="1">
      <c r="D946" s="275"/>
      <c r="AK946" s="1030"/>
      <c r="AL946" s="1030"/>
    </row>
    <row r="947" spans="4:38" ht="15.75" customHeight="1">
      <c r="D947" s="275"/>
      <c r="AK947" s="1030"/>
      <c r="AL947" s="1030"/>
    </row>
    <row r="948" spans="4:38" ht="15.75" customHeight="1">
      <c r="D948" s="275"/>
      <c r="AK948" s="1030"/>
      <c r="AL948" s="1030"/>
    </row>
    <row r="949" spans="4:38" ht="15.75" customHeight="1">
      <c r="D949" s="275"/>
      <c r="AK949" s="1030"/>
      <c r="AL949" s="1030"/>
    </row>
    <row r="950" spans="4:38" ht="15.75" customHeight="1">
      <c r="D950" s="275"/>
      <c r="AK950" s="1030"/>
      <c r="AL950" s="1030"/>
    </row>
    <row r="951" spans="4:38" ht="15.75" customHeight="1">
      <c r="D951" s="275"/>
      <c r="AK951" s="1030"/>
      <c r="AL951" s="1030"/>
    </row>
    <row r="952" spans="4:38" ht="15.75" customHeight="1">
      <c r="D952" s="275"/>
      <c r="AK952" s="1030"/>
      <c r="AL952" s="1030"/>
    </row>
    <row r="953" spans="4:38" ht="15.75" customHeight="1">
      <c r="D953" s="275"/>
      <c r="AK953" s="1030"/>
      <c r="AL953" s="1030"/>
    </row>
    <row r="954" spans="4:38" ht="15.75" customHeight="1">
      <c r="D954" s="275"/>
      <c r="AK954" s="1030"/>
      <c r="AL954" s="1030"/>
    </row>
    <row r="955" spans="4:38" ht="15.75" customHeight="1">
      <c r="D955" s="275"/>
      <c r="AK955" s="1030"/>
      <c r="AL955" s="1030"/>
    </row>
    <row r="956" spans="4:38" ht="15.75" customHeight="1">
      <c r="D956" s="275"/>
      <c r="AK956" s="1030"/>
      <c r="AL956" s="1030"/>
    </row>
    <row r="957" spans="4:38" ht="15.75" customHeight="1">
      <c r="D957" s="275"/>
      <c r="AK957" s="1030"/>
      <c r="AL957" s="1030"/>
    </row>
    <row r="958" spans="4:38" ht="15.75" customHeight="1">
      <c r="D958" s="275"/>
      <c r="AK958" s="1030"/>
      <c r="AL958" s="1030"/>
    </row>
    <row r="959" spans="4:38" ht="15.75" customHeight="1">
      <c r="D959" s="275"/>
      <c r="AK959" s="1030"/>
      <c r="AL959" s="1030"/>
    </row>
    <row r="960" spans="4:38" ht="15.75" customHeight="1">
      <c r="D960" s="275"/>
      <c r="AK960" s="1030"/>
      <c r="AL960" s="1030"/>
    </row>
    <row r="961" spans="4:38" ht="15.75" customHeight="1">
      <c r="D961" s="275"/>
      <c r="AK961" s="1030"/>
      <c r="AL961" s="1030"/>
    </row>
    <row r="962" spans="4:38" ht="15.75" customHeight="1">
      <c r="D962" s="275"/>
      <c r="AK962" s="1030"/>
      <c r="AL962" s="1030"/>
    </row>
    <row r="963" spans="4:38" ht="15.75" customHeight="1">
      <c r="D963" s="275"/>
      <c r="AK963" s="1030"/>
      <c r="AL963" s="1030"/>
    </row>
    <row r="964" spans="4:38" ht="15.75" customHeight="1">
      <c r="D964" s="275"/>
      <c r="AK964" s="1030"/>
      <c r="AL964" s="1030"/>
    </row>
    <row r="965" spans="4:38" ht="15.75" customHeight="1">
      <c r="D965" s="275"/>
      <c r="AK965" s="1030"/>
      <c r="AL965" s="1030"/>
    </row>
    <row r="966" spans="4:38" ht="15.75" customHeight="1">
      <c r="D966" s="275"/>
      <c r="AK966" s="1030"/>
      <c r="AL966" s="1030"/>
    </row>
    <row r="967" spans="4:38" ht="15.75" customHeight="1">
      <c r="D967" s="275"/>
      <c r="AK967" s="1030"/>
      <c r="AL967" s="1030"/>
    </row>
    <row r="968" spans="4:38" ht="15.75" customHeight="1">
      <c r="D968" s="275"/>
      <c r="AK968" s="1030"/>
      <c r="AL968" s="1030"/>
    </row>
    <row r="969" spans="4:38" ht="15.75" customHeight="1">
      <c r="D969" s="275"/>
      <c r="AK969" s="1030"/>
      <c r="AL969" s="1030"/>
    </row>
    <row r="970" spans="4:38" ht="15.75" customHeight="1">
      <c r="D970" s="275"/>
      <c r="AK970" s="1030"/>
      <c r="AL970" s="1030"/>
    </row>
    <row r="971" spans="4:38" ht="15.75" customHeight="1">
      <c r="D971" s="275"/>
      <c r="AK971" s="1030"/>
      <c r="AL971" s="1030"/>
    </row>
    <row r="972" spans="4:38" ht="15.75" customHeight="1">
      <c r="D972" s="275"/>
      <c r="AK972" s="1030"/>
      <c r="AL972" s="1030"/>
    </row>
    <row r="973" spans="4:38" ht="15.75" customHeight="1">
      <c r="D973" s="275"/>
      <c r="AK973" s="1030"/>
      <c r="AL973" s="1030"/>
    </row>
    <row r="974" spans="4:38" ht="15.75" customHeight="1">
      <c r="D974" s="275"/>
      <c r="AK974" s="1030"/>
      <c r="AL974" s="1030"/>
    </row>
    <row r="975" spans="4:38" ht="15.75" customHeight="1">
      <c r="D975" s="275"/>
      <c r="AK975" s="1030"/>
      <c r="AL975" s="1030"/>
    </row>
    <row r="976" spans="4:38" ht="15.75" customHeight="1">
      <c r="D976" s="275"/>
      <c r="AK976" s="1030"/>
      <c r="AL976" s="1030"/>
    </row>
    <row r="977" spans="4:38" ht="15.75" customHeight="1">
      <c r="D977" s="275"/>
      <c r="AK977" s="1030"/>
      <c r="AL977" s="1030"/>
    </row>
    <row r="978" spans="4:38" ht="15.75" customHeight="1">
      <c r="D978" s="275"/>
      <c r="AK978" s="1030"/>
      <c r="AL978" s="1030"/>
    </row>
    <row r="979" spans="4:38" ht="15.75" customHeight="1">
      <c r="D979" s="275"/>
      <c r="AK979" s="1030"/>
      <c r="AL979" s="1030"/>
    </row>
    <row r="980" spans="4:38" ht="15.75" customHeight="1">
      <c r="D980" s="275"/>
      <c r="AK980" s="1030"/>
      <c r="AL980" s="1030"/>
    </row>
    <row r="981" spans="4:38" ht="15.75" customHeight="1">
      <c r="D981" s="275"/>
      <c r="AK981" s="1030"/>
      <c r="AL981" s="1030"/>
    </row>
    <row r="982" spans="4:38" ht="15.75" customHeight="1">
      <c r="D982" s="275"/>
      <c r="AK982" s="1030"/>
      <c r="AL982" s="1030"/>
    </row>
    <row r="983" spans="4:38" ht="15.75" customHeight="1">
      <c r="D983" s="275"/>
      <c r="AK983" s="1030"/>
      <c r="AL983" s="1030"/>
    </row>
    <row r="984" spans="4:38" ht="15.75" customHeight="1">
      <c r="D984" s="275"/>
      <c r="AK984" s="1030"/>
      <c r="AL984" s="1030"/>
    </row>
    <row r="985" spans="4:38" ht="15.75" customHeight="1">
      <c r="D985" s="275"/>
      <c r="AK985" s="1030"/>
      <c r="AL985" s="1030"/>
    </row>
    <row r="986" spans="4:38" ht="15.75" customHeight="1">
      <c r="D986" s="275"/>
      <c r="AK986" s="1030"/>
      <c r="AL986" s="1030"/>
    </row>
    <row r="987" spans="4:38" ht="15.75" customHeight="1">
      <c r="D987" s="275"/>
      <c r="AK987" s="1030"/>
      <c r="AL987" s="1030"/>
    </row>
    <row r="988" spans="4:38" ht="15.75" customHeight="1">
      <c r="D988" s="275"/>
      <c r="AK988" s="1030"/>
      <c r="AL988" s="1030"/>
    </row>
    <row r="989" spans="4:38" ht="15.75" customHeight="1">
      <c r="D989" s="275"/>
      <c r="AK989" s="1030"/>
      <c r="AL989" s="1030"/>
    </row>
    <row r="990" spans="4:38" ht="15.75" customHeight="1">
      <c r="D990" s="275"/>
      <c r="AK990" s="1030"/>
      <c r="AL990" s="1030"/>
    </row>
    <row r="991" spans="4:38" ht="15.75" customHeight="1">
      <c r="D991" s="275"/>
      <c r="AK991" s="1030"/>
      <c r="AL991" s="1030"/>
    </row>
    <row r="992" spans="4:38" ht="15.75" customHeight="1">
      <c r="D992" s="275"/>
      <c r="AK992" s="1030"/>
      <c r="AL992" s="1030"/>
    </row>
    <row r="993" spans="4:38" ht="15.75" customHeight="1">
      <c r="D993" s="275"/>
      <c r="AK993" s="1030"/>
      <c r="AL993" s="1030"/>
    </row>
    <row r="994" spans="4:38" ht="15.75" customHeight="1">
      <c r="D994" s="275"/>
      <c r="AK994" s="1030"/>
      <c r="AL994" s="1030"/>
    </row>
    <row r="995" spans="4:38" ht="15.75" customHeight="1">
      <c r="D995" s="275"/>
      <c r="AK995" s="1030"/>
      <c r="AL995" s="1030"/>
    </row>
    <row r="996" spans="4:38" ht="15.75" customHeight="1">
      <c r="D996" s="275"/>
      <c r="AK996" s="1030"/>
      <c r="AL996" s="1030"/>
    </row>
    <row r="997" spans="4:38" ht="15.75" customHeight="1">
      <c r="D997" s="275"/>
      <c r="AK997" s="1030"/>
      <c r="AL997" s="1030"/>
    </row>
    <row r="998" spans="4:38" ht="15.75" customHeight="1">
      <c r="D998" s="275"/>
      <c r="AK998" s="1030"/>
      <c r="AL998" s="1030"/>
    </row>
    <row r="999" spans="4:38" ht="15.75" customHeight="1">
      <c r="D999" s="275"/>
      <c r="AK999" s="1030"/>
      <c r="AL999" s="1030"/>
    </row>
    <row r="1000" spans="4:38" ht="15.75" customHeight="1">
      <c r="D1000" s="275"/>
      <c r="AK1000" s="1030"/>
      <c r="AL1000" s="1030"/>
    </row>
  </sheetData>
  <mergeCells count="22">
    <mergeCell ref="A1:D2"/>
    <mergeCell ref="A4:D4"/>
    <mergeCell ref="A5:A6"/>
    <mergeCell ref="C5:C6"/>
    <mergeCell ref="D5:D6"/>
    <mergeCell ref="E5:E6"/>
    <mergeCell ref="F5:F6"/>
    <mergeCell ref="A126:D126"/>
    <mergeCell ref="T5:U5"/>
    <mergeCell ref="V5:W5"/>
    <mergeCell ref="G5:G6"/>
    <mergeCell ref="H5:I5"/>
    <mergeCell ref="J5:K5"/>
    <mergeCell ref="L5:M5"/>
    <mergeCell ref="N5:O5"/>
    <mergeCell ref="P5:Q5"/>
    <mergeCell ref="R5:S5"/>
    <mergeCell ref="X5:Y5"/>
    <mergeCell ref="Z5:AA5"/>
    <mergeCell ref="AB5:AC5"/>
    <mergeCell ref="AD5:AE5"/>
    <mergeCell ref="AG5:AH5"/>
  </mergeCells>
  <conditionalFormatting sqref="G1:G1000">
    <cfRule type="notContainsBlanks" dxfId="1" priority="1">
      <formula>LEN(TRIM(G1))&gt;0</formula>
    </cfRule>
    <cfRule type="cellIs" dxfId="0" priority="2" operator="equal">
      <formula>0</formula>
    </cfRule>
  </conditionalFormatting>
  <dataValidations count="1">
    <dataValidation type="list" allowBlank="1" showErrorMessage="1" sqref="H5 J5 L5 N5 P5 R5 T5 V5 X5 Z5 AB5 AD5" xr:uid="{00000000-0002-0000-0800-000000000000}">
      <formula1>periodestamp</formula1>
    </dataValidation>
  </dataValidations>
  <hyperlinks>
    <hyperlink ref="C7" r:id="rId1" xr:uid="{00000000-0004-0000-0800-000000000000}"/>
    <hyperlink ref="C8" r:id="rId2" xr:uid="{00000000-0004-0000-0800-000001000000}"/>
    <hyperlink ref="C9" r:id="rId3" xr:uid="{00000000-0004-0000-0800-000002000000}"/>
    <hyperlink ref="C10" r:id="rId4" xr:uid="{00000000-0004-0000-0800-000003000000}"/>
    <hyperlink ref="C11" r:id="rId5" xr:uid="{00000000-0004-0000-0800-000004000000}"/>
    <hyperlink ref="C12" r:id="rId6" xr:uid="{00000000-0004-0000-0800-000005000000}"/>
    <hyperlink ref="C13" r:id="rId7" xr:uid="{00000000-0004-0000-0800-000006000000}"/>
    <hyperlink ref="C14" r:id="rId8" xr:uid="{00000000-0004-0000-0800-000007000000}"/>
    <hyperlink ref="C15" r:id="rId9" xr:uid="{00000000-0004-0000-0800-000008000000}"/>
    <hyperlink ref="C16" r:id="rId10" xr:uid="{00000000-0004-0000-0800-000009000000}"/>
    <hyperlink ref="C17" r:id="rId11" xr:uid="{00000000-0004-0000-0800-00000A000000}"/>
    <hyperlink ref="C18" r:id="rId12" xr:uid="{00000000-0004-0000-0800-00000B000000}"/>
    <hyperlink ref="C19" r:id="rId13" xr:uid="{00000000-0004-0000-0800-00000C000000}"/>
    <hyperlink ref="C20" r:id="rId14" xr:uid="{00000000-0004-0000-0800-00000D000000}"/>
    <hyperlink ref="C21" r:id="rId15" xr:uid="{00000000-0004-0000-0800-00000E000000}"/>
    <hyperlink ref="C22" r:id="rId16" xr:uid="{00000000-0004-0000-0800-00000F000000}"/>
    <hyperlink ref="C23" r:id="rId17" xr:uid="{00000000-0004-0000-0800-000010000000}"/>
    <hyperlink ref="C24" r:id="rId18" xr:uid="{00000000-0004-0000-0800-000011000000}"/>
    <hyperlink ref="C25" r:id="rId19" xr:uid="{00000000-0004-0000-0800-000012000000}"/>
    <hyperlink ref="C26" r:id="rId20" xr:uid="{00000000-0004-0000-0800-000013000000}"/>
    <hyperlink ref="C27" r:id="rId21" xr:uid="{00000000-0004-0000-0800-000014000000}"/>
    <hyperlink ref="C28" r:id="rId22" xr:uid="{00000000-0004-0000-0800-000015000000}"/>
    <hyperlink ref="C29" r:id="rId23" xr:uid="{00000000-0004-0000-0800-000016000000}"/>
    <hyperlink ref="C30" r:id="rId24" xr:uid="{00000000-0004-0000-0800-000017000000}"/>
    <hyperlink ref="C31" r:id="rId25" xr:uid="{00000000-0004-0000-0800-000018000000}"/>
    <hyperlink ref="C32" r:id="rId26" xr:uid="{00000000-0004-0000-0800-000019000000}"/>
    <hyperlink ref="C33" r:id="rId27" xr:uid="{00000000-0004-0000-0800-00001A000000}"/>
    <hyperlink ref="C34" r:id="rId28" xr:uid="{00000000-0004-0000-0800-00001B000000}"/>
    <hyperlink ref="C35" r:id="rId29" xr:uid="{00000000-0004-0000-0800-00001C000000}"/>
    <hyperlink ref="C36" r:id="rId30" xr:uid="{00000000-0004-0000-0800-00001D000000}"/>
    <hyperlink ref="C37" r:id="rId31" xr:uid="{00000000-0004-0000-0800-00001E000000}"/>
    <hyperlink ref="C38" r:id="rId32" xr:uid="{00000000-0004-0000-0800-00001F000000}"/>
    <hyperlink ref="C39" r:id="rId33" xr:uid="{00000000-0004-0000-0800-000020000000}"/>
    <hyperlink ref="C40" r:id="rId34" xr:uid="{00000000-0004-0000-0800-000021000000}"/>
    <hyperlink ref="C41" r:id="rId35" xr:uid="{00000000-0004-0000-0800-000022000000}"/>
    <hyperlink ref="C42" r:id="rId36" xr:uid="{00000000-0004-0000-0800-000023000000}"/>
    <hyperlink ref="C43" r:id="rId37" xr:uid="{00000000-0004-0000-0800-000024000000}"/>
    <hyperlink ref="C44" r:id="rId38" xr:uid="{00000000-0004-0000-0800-000025000000}"/>
    <hyperlink ref="C45" r:id="rId39" xr:uid="{00000000-0004-0000-0800-000026000000}"/>
    <hyperlink ref="C46" r:id="rId40" xr:uid="{00000000-0004-0000-0800-000027000000}"/>
    <hyperlink ref="C47" r:id="rId41" xr:uid="{00000000-0004-0000-0800-000028000000}"/>
    <hyperlink ref="C48" r:id="rId42" xr:uid="{00000000-0004-0000-0800-000029000000}"/>
    <hyperlink ref="C49" r:id="rId43" xr:uid="{00000000-0004-0000-0800-00002A000000}"/>
    <hyperlink ref="C50" r:id="rId44" xr:uid="{00000000-0004-0000-0800-00002B000000}"/>
    <hyperlink ref="C51" r:id="rId45" xr:uid="{00000000-0004-0000-0800-00002C000000}"/>
    <hyperlink ref="C52" r:id="rId46" xr:uid="{00000000-0004-0000-0800-00002D000000}"/>
    <hyperlink ref="C53" r:id="rId47" xr:uid="{00000000-0004-0000-0800-00002E000000}"/>
    <hyperlink ref="C54" r:id="rId48" xr:uid="{00000000-0004-0000-0800-00002F000000}"/>
    <hyperlink ref="C55" r:id="rId49" xr:uid="{00000000-0004-0000-0800-000030000000}"/>
    <hyperlink ref="C56" r:id="rId50" xr:uid="{00000000-0004-0000-0800-000031000000}"/>
    <hyperlink ref="C57" r:id="rId51" xr:uid="{00000000-0004-0000-0800-000032000000}"/>
    <hyperlink ref="C58" r:id="rId52" xr:uid="{00000000-0004-0000-0800-000033000000}"/>
    <hyperlink ref="C60" r:id="rId53" xr:uid="{00000000-0004-0000-0800-000034000000}"/>
    <hyperlink ref="C62" r:id="rId54" xr:uid="{00000000-0004-0000-0800-000035000000}"/>
    <hyperlink ref="C64" r:id="rId55" xr:uid="{00000000-0004-0000-0800-000036000000}"/>
    <hyperlink ref="C66" r:id="rId56" xr:uid="{00000000-0004-0000-0800-000037000000}"/>
    <hyperlink ref="C67" r:id="rId57" xr:uid="{00000000-0004-0000-0800-000038000000}"/>
    <hyperlink ref="C68" r:id="rId58" xr:uid="{00000000-0004-0000-0800-000039000000}"/>
    <hyperlink ref="C70" r:id="rId59" xr:uid="{00000000-0004-0000-0800-00003A000000}"/>
  </hyperlinks>
  <pageMargins left="0.7" right="0.7" top="0.75" bottom="0.75" header="0" footer="0"/>
  <pageSetup orientation="landscape"/>
  <tableParts count="1">
    <tablePart r:id="rId6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M1005"/>
  <sheetViews>
    <sheetView workbookViewId="0">
      <pane ySplit="2" topLeftCell="A3" activePane="bottomLeft" state="frozen"/>
      <selection pane="bottomLeft" activeCell="B4" sqref="B4"/>
    </sheetView>
  </sheetViews>
  <sheetFormatPr defaultColWidth="11.23046875" defaultRowHeight="15" customHeight="1"/>
  <cols>
    <col min="1" max="1" width="11.23046875" customWidth="1"/>
    <col min="2" max="2" width="15.3046875" customWidth="1"/>
    <col min="3" max="3" width="2.53515625" customWidth="1"/>
    <col min="4" max="4" width="14.23046875" customWidth="1"/>
    <col min="5" max="5" width="16.3046875" customWidth="1"/>
    <col min="6" max="6" width="14.23046875" customWidth="1"/>
    <col min="7" max="7" width="15.765625" customWidth="1"/>
    <col min="8" max="8" width="12.23046875" customWidth="1"/>
    <col min="10" max="10" width="16.53515625" customWidth="1"/>
    <col min="11" max="11" width="11.07421875" customWidth="1"/>
  </cols>
  <sheetData>
    <row r="1" spans="1:13" ht="14.5">
      <c r="A1" s="602"/>
      <c r="B1" s="602"/>
      <c r="C1" s="522"/>
      <c r="D1" s="602"/>
      <c r="E1" s="602"/>
      <c r="F1" s="602"/>
      <c r="G1" s="1101"/>
      <c r="H1" s="602"/>
      <c r="I1" s="602"/>
      <c r="J1" s="602"/>
      <c r="K1" s="602"/>
      <c r="L1" s="602"/>
      <c r="M1" s="602"/>
    </row>
    <row r="2" spans="1:13" ht="15.5">
      <c r="A2" s="1102" t="s">
        <v>5</v>
      </c>
      <c r="B2" s="1103" t="s">
        <v>3013</v>
      </c>
      <c r="C2" s="1103" t="s">
        <v>3014</v>
      </c>
      <c r="D2" s="1103" t="s">
        <v>3015</v>
      </c>
      <c r="E2" s="1104" t="s">
        <v>3016</v>
      </c>
      <c r="F2" s="1105" t="s">
        <v>2908</v>
      </c>
      <c r="G2" s="1106" t="s">
        <v>2128</v>
      </c>
      <c r="H2" s="1107" t="str">
        <f ca="1">IFERROR(__xludf.DUMMYFUNCTION("IMPORTRANGE(""https://docs.google.com/spreadsheets/d/1YXbkUPS13wPU8Dscegl2VkhWtKARm3NYP21WfoO0JNs/edit"", ""Rekap Capaian PR!H2:I400"")"),"CAPAIAN")</f>
        <v>CAPAIAN</v>
      </c>
      <c r="I2" s="1107" t="str">
        <f ca="1">IFERROR(__xludf.DUMMYFUNCTION("""COMPUTED_VALUE"""),"% CAPAIAN")</f>
        <v>% CAPAIAN</v>
      </c>
      <c r="J2" s="1107" t="s">
        <v>2129</v>
      </c>
      <c r="K2" s="1107" t="s">
        <v>1836</v>
      </c>
      <c r="L2" s="1107" t="str">
        <f ca="1">IFERROR(__xludf.DUMMYFUNCTION("IMPORTRANGE(""https://docs.google.com/spreadsheets/d/1YXbkUPS13wPU8Dscegl2VkhWtKARm3NYP21WfoO0JNs/edit"", ""Rekap Capaian PR!L2:M400"")"),"% INDIKATOR")</f>
        <v>% INDIKATOR</v>
      </c>
      <c r="M2" s="1107" t="str">
        <f ca="1">IFERROR(__xludf.DUMMYFUNCTION("""COMPUTED_VALUE"""),"% PR")</f>
        <v>% PR</v>
      </c>
    </row>
    <row r="3" spans="1:13" ht="22.5" customHeight="1">
      <c r="A3" s="1298">
        <v>1</v>
      </c>
      <c r="B3" s="1300" t="s">
        <v>3017</v>
      </c>
      <c r="C3" s="1108"/>
      <c r="D3" s="1301" t="s">
        <v>3018</v>
      </c>
      <c r="E3" s="1280" t="s">
        <v>3019</v>
      </c>
      <c r="F3" s="1247">
        <v>30</v>
      </c>
      <c r="G3" s="1286" t="s">
        <v>3020</v>
      </c>
      <c r="H3" s="1287">
        <f ca="1">IFERROR(__xludf.DUMMYFUNCTION("""COMPUTED_VALUE"""),0)</f>
        <v>0</v>
      </c>
      <c r="I3" s="1288">
        <f ca="1">IFERROR(__xludf.DUMMYFUNCTION("""COMPUTED_VALUE"""),0)</f>
        <v>0</v>
      </c>
      <c r="J3" s="1289" t="s">
        <v>3020</v>
      </c>
      <c r="K3" s="1320"/>
      <c r="L3" s="1275">
        <f ca="1">IFERROR(__xludf.DUMMYFUNCTION("""COMPUTED_VALUE"""),0)</f>
        <v>0</v>
      </c>
      <c r="M3" s="1276">
        <f ca="1">IFERROR(__xludf.DUMMYFUNCTION("""COMPUTED_VALUE"""),0)</f>
        <v>0</v>
      </c>
    </row>
    <row r="4" spans="1:13" ht="22.5" customHeight="1">
      <c r="A4" s="1292"/>
      <c r="B4" s="1237"/>
      <c r="C4" s="1109"/>
      <c r="D4" s="1237"/>
      <c r="E4" s="1237"/>
      <c r="F4" s="1234"/>
      <c r="G4" s="1237"/>
      <c r="H4" s="1253"/>
      <c r="I4" s="1237"/>
      <c r="J4" s="1237"/>
      <c r="K4" s="1237"/>
      <c r="L4" s="1265"/>
      <c r="M4" s="1265"/>
    </row>
    <row r="5" spans="1:13" ht="22.5" customHeight="1">
      <c r="A5" s="1292"/>
      <c r="B5" s="1237"/>
      <c r="C5" s="1109"/>
      <c r="D5" s="1237"/>
      <c r="E5" s="1238"/>
      <c r="F5" s="1235"/>
      <c r="G5" s="1238"/>
      <c r="H5" s="1254"/>
      <c r="I5" s="1238"/>
      <c r="J5" s="1238"/>
      <c r="K5" s="1238"/>
      <c r="L5" s="1265"/>
      <c r="M5" s="1265"/>
    </row>
    <row r="6" spans="1:13" ht="22.5" customHeight="1">
      <c r="A6" s="1292"/>
      <c r="B6" s="1237"/>
      <c r="C6" s="1110"/>
      <c r="D6" s="1237"/>
      <c r="E6" s="1280" t="s">
        <v>3021</v>
      </c>
      <c r="F6" s="1247">
        <v>75</v>
      </c>
      <c r="G6" s="1236" t="s">
        <v>3022</v>
      </c>
      <c r="H6" s="1239">
        <f ca="1">IFERROR(__xludf.DUMMYFUNCTION("""COMPUTED_VALUE"""),0)</f>
        <v>0</v>
      </c>
      <c r="I6" s="1259">
        <f ca="1">IFERROR(__xludf.DUMMYFUNCTION("""COMPUTED_VALUE"""),0)</f>
        <v>0</v>
      </c>
      <c r="J6" s="1236" t="s">
        <v>3022</v>
      </c>
      <c r="K6" s="1262"/>
      <c r="L6" s="1265"/>
      <c r="M6" s="1265"/>
    </row>
    <row r="7" spans="1:13" ht="22.5" customHeight="1">
      <c r="A7" s="1292"/>
      <c r="B7" s="1237"/>
      <c r="C7" s="1110"/>
      <c r="D7" s="1237"/>
      <c r="E7" s="1237"/>
      <c r="F7" s="1234"/>
      <c r="G7" s="1237"/>
      <c r="H7" s="1237"/>
      <c r="I7" s="1237"/>
      <c r="J7" s="1237"/>
      <c r="K7" s="1237"/>
      <c r="L7" s="1265"/>
      <c r="M7" s="1265"/>
    </row>
    <row r="8" spans="1:13" ht="22.5" customHeight="1">
      <c r="A8" s="1292"/>
      <c r="B8" s="1237"/>
      <c r="C8" s="1110"/>
      <c r="D8" s="1237"/>
      <c r="E8" s="1238"/>
      <c r="F8" s="1235"/>
      <c r="G8" s="1238"/>
      <c r="H8" s="1238"/>
      <c r="I8" s="1238"/>
      <c r="J8" s="1238"/>
      <c r="K8" s="1238"/>
      <c r="L8" s="1265"/>
      <c r="M8" s="1265"/>
    </row>
    <row r="9" spans="1:13" ht="22.5" customHeight="1">
      <c r="A9" s="1292"/>
      <c r="B9" s="1237"/>
      <c r="C9" s="1110"/>
      <c r="D9" s="1237"/>
      <c r="E9" s="1280" t="s">
        <v>3023</v>
      </c>
      <c r="F9" s="1233">
        <v>2</v>
      </c>
      <c r="G9" s="1236" t="s">
        <v>3024</v>
      </c>
      <c r="H9" s="1239">
        <f ca="1">IFERROR(__xludf.DUMMYFUNCTION("""COMPUTED_VALUE"""),0)</f>
        <v>0</v>
      </c>
      <c r="I9" s="1259">
        <f ca="1">IFERROR(__xludf.DUMMYFUNCTION("""COMPUTED_VALUE"""),0)</f>
        <v>0</v>
      </c>
      <c r="J9" s="1236" t="s">
        <v>3024</v>
      </c>
      <c r="K9" s="1262"/>
      <c r="L9" s="1265"/>
      <c r="M9" s="1265"/>
    </row>
    <row r="10" spans="1:13" ht="22.5" customHeight="1">
      <c r="A10" s="1292"/>
      <c r="B10" s="1237"/>
      <c r="C10" s="1110"/>
      <c r="D10" s="1237"/>
      <c r="E10" s="1237"/>
      <c r="F10" s="1234"/>
      <c r="G10" s="1237"/>
      <c r="H10" s="1237"/>
      <c r="I10" s="1237"/>
      <c r="J10" s="1237"/>
      <c r="K10" s="1237"/>
      <c r="L10" s="1265"/>
      <c r="M10" s="1265"/>
    </row>
    <row r="11" spans="1:13" ht="22.5" customHeight="1">
      <c r="A11" s="1292"/>
      <c r="B11" s="1237"/>
      <c r="C11" s="1110"/>
      <c r="D11" s="1237"/>
      <c r="E11" s="1238"/>
      <c r="F11" s="1235"/>
      <c r="G11" s="1238"/>
      <c r="H11" s="1238"/>
      <c r="I11" s="1238"/>
      <c r="J11" s="1238"/>
      <c r="K11" s="1238"/>
      <c r="L11" s="1265"/>
      <c r="M11" s="1265"/>
    </row>
    <row r="12" spans="1:13" ht="36" customHeight="1">
      <c r="A12" s="1292"/>
      <c r="B12" s="1237"/>
      <c r="C12" s="1110"/>
      <c r="D12" s="1237"/>
      <c r="E12" s="1280" t="s">
        <v>3025</v>
      </c>
      <c r="F12" s="1258">
        <v>2800000000</v>
      </c>
      <c r="G12" s="1236" t="s">
        <v>3026</v>
      </c>
      <c r="H12" s="1260">
        <f ca="1">IFERROR(__xludf.DUMMYFUNCTION("""COMPUTED_VALUE"""),0)</f>
        <v>0</v>
      </c>
      <c r="I12" s="1259">
        <f ca="1">IFERROR(__xludf.DUMMYFUNCTION("""COMPUTED_VALUE"""),0)</f>
        <v>0</v>
      </c>
      <c r="J12" s="1236" t="s">
        <v>3026</v>
      </c>
      <c r="K12" s="1262"/>
      <c r="L12" s="1265"/>
      <c r="M12" s="1265"/>
    </row>
    <row r="13" spans="1:13" ht="36" customHeight="1">
      <c r="A13" s="1292"/>
      <c r="B13" s="1237"/>
      <c r="C13" s="1110"/>
      <c r="D13" s="1237"/>
      <c r="E13" s="1238"/>
      <c r="F13" s="1235"/>
      <c r="G13" s="1238"/>
      <c r="H13" s="1238"/>
      <c r="I13" s="1238"/>
      <c r="J13" s="1238"/>
      <c r="K13" s="1238"/>
      <c r="L13" s="1265"/>
      <c r="M13" s="1265"/>
    </row>
    <row r="14" spans="1:13" ht="34.5" customHeight="1">
      <c r="A14" s="1292"/>
      <c r="B14" s="1237"/>
      <c r="C14" s="1110"/>
      <c r="D14" s="1279" t="s">
        <v>3027</v>
      </c>
      <c r="E14" s="1280" t="s">
        <v>3028</v>
      </c>
      <c r="F14" s="1247">
        <v>5</v>
      </c>
      <c r="G14" s="1236" t="s">
        <v>1848</v>
      </c>
      <c r="H14" s="1239">
        <f ca="1">IFERROR(__xludf.DUMMYFUNCTION("""COMPUTED_VALUE"""),0)</f>
        <v>0</v>
      </c>
      <c r="I14" s="1259">
        <f ca="1">IFERROR(__xludf.DUMMYFUNCTION("""COMPUTED_VALUE"""),0)</f>
        <v>0</v>
      </c>
      <c r="J14" s="1236" t="s">
        <v>1848</v>
      </c>
      <c r="K14" s="1262"/>
      <c r="L14" s="1265"/>
      <c r="M14" s="1265"/>
    </row>
    <row r="15" spans="1:13" ht="34.5" customHeight="1">
      <c r="A15" s="1292"/>
      <c r="B15" s="1237"/>
      <c r="C15" s="1110"/>
      <c r="D15" s="1237"/>
      <c r="E15" s="1238"/>
      <c r="F15" s="1235"/>
      <c r="G15" s="1238"/>
      <c r="H15" s="1238"/>
      <c r="I15" s="1238"/>
      <c r="J15" s="1238"/>
      <c r="K15" s="1238"/>
      <c r="L15" s="1265"/>
      <c r="M15" s="1265"/>
    </row>
    <row r="16" spans="1:13" ht="34.5" customHeight="1">
      <c r="A16" s="1292"/>
      <c r="B16" s="1237"/>
      <c r="C16" s="1110"/>
      <c r="D16" s="1237"/>
      <c r="E16" s="1280" t="s">
        <v>3029</v>
      </c>
      <c r="F16" s="1247">
        <v>15</v>
      </c>
      <c r="G16" s="1236" t="s">
        <v>1848</v>
      </c>
      <c r="H16" s="1248">
        <f ca="1">IFERROR(__xludf.DUMMYFUNCTION("""COMPUTED_VALUE"""),0)</f>
        <v>0</v>
      </c>
      <c r="I16" s="1259">
        <f ca="1">IFERROR(__xludf.DUMMYFUNCTION("""COMPUTED_VALUE"""),0)</f>
        <v>0</v>
      </c>
      <c r="J16" s="1236" t="s">
        <v>1848</v>
      </c>
      <c r="K16" s="1262"/>
      <c r="L16" s="1265"/>
      <c r="M16" s="1265"/>
    </row>
    <row r="17" spans="1:13" ht="34.5" customHeight="1">
      <c r="A17" s="1292"/>
      <c r="B17" s="1237"/>
      <c r="C17" s="1110"/>
      <c r="D17" s="1237"/>
      <c r="E17" s="1238"/>
      <c r="F17" s="1235"/>
      <c r="G17" s="1238"/>
      <c r="H17" s="1238"/>
      <c r="I17" s="1238"/>
      <c r="J17" s="1238"/>
      <c r="K17" s="1238"/>
      <c r="L17" s="1265"/>
      <c r="M17" s="1265"/>
    </row>
    <row r="18" spans="1:13" ht="22.5" customHeight="1">
      <c r="A18" s="1292"/>
      <c r="B18" s="1237"/>
      <c r="C18" s="1110"/>
      <c r="D18" s="1237"/>
      <c r="E18" s="1280" t="s">
        <v>3030</v>
      </c>
      <c r="F18" s="1247">
        <v>10</v>
      </c>
      <c r="G18" s="1236" t="s">
        <v>3031</v>
      </c>
      <c r="H18" s="1248">
        <f ca="1">IFERROR(__xludf.DUMMYFUNCTION("""COMPUTED_VALUE"""),0)</f>
        <v>0</v>
      </c>
      <c r="I18" s="1259">
        <f ca="1">IFERROR(__xludf.DUMMYFUNCTION("""COMPUTED_VALUE"""),0)</f>
        <v>0</v>
      </c>
      <c r="J18" s="1236" t="s">
        <v>3031</v>
      </c>
      <c r="K18" s="1262"/>
      <c r="L18" s="1265"/>
      <c r="M18" s="1265"/>
    </row>
    <row r="19" spans="1:13" ht="22.5" customHeight="1">
      <c r="A19" s="1292"/>
      <c r="B19" s="1237"/>
      <c r="C19" s="1110"/>
      <c r="D19" s="1237"/>
      <c r="E19" s="1238"/>
      <c r="F19" s="1235"/>
      <c r="G19" s="1238"/>
      <c r="H19" s="1238"/>
      <c r="I19" s="1238"/>
      <c r="J19" s="1238"/>
      <c r="K19" s="1238"/>
      <c r="L19" s="1265"/>
      <c r="M19" s="1265"/>
    </row>
    <row r="20" spans="1:13" ht="22.5" customHeight="1">
      <c r="A20" s="1292"/>
      <c r="B20" s="1237"/>
      <c r="C20" s="1110"/>
      <c r="D20" s="1237"/>
      <c r="E20" s="1280" t="s">
        <v>3032</v>
      </c>
      <c r="F20" s="1250">
        <v>5</v>
      </c>
      <c r="G20" s="1236" t="s">
        <v>3033</v>
      </c>
      <c r="H20" s="1248">
        <f ca="1">IFERROR(__xludf.DUMMYFUNCTION("""COMPUTED_VALUE"""),0)</f>
        <v>0</v>
      </c>
      <c r="I20" s="1259">
        <f ca="1">IFERROR(__xludf.DUMMYFUNCTION("""COMPUTED_VALUE"""),0)</f>
        <v>0</v>
      </c>
      <c r="J20" s="1236" t="s">
        <v>3033</v>
      </c>
      <c r="K20" s="1262"/>
      <c r="L20" s="1265"/>
      <c r="M20" s="1265"/>
    </row>
    <row r="21" spans="1:13" ht="22.5" customHeight="1">
      <c r="A21" s="1292"/>
      <c r="B21" s="1237"/>
      <c r="C21" s="1110"/>
      <c r="D21" s="1237"/>
      <c r="E21" s="1237"/>
      <c r="F21" s="1237"/>
      <c r="G21" s="1237"/>
      <c r="H21" s="1237"/>
      <c r="I21" s="1237"/>
      <c r="J21" s="1237"/>
      <c r="K21" s="1237"/>
      <c r="L21" s="1265"/>
      <c r="M21" s="1265"/>
    </row>
    <row r="22" spans="1:13" ht="22.5" customHeight="1">
      <c r="A22" s="1292"/>
      <c r="B22" s="1237"/>
      <c r="C22" s="1110"/>
      <c r="D22" s="1237"/>
      <c r="E22" s="1249"/>
      <c r="F22" s="1238"/>
      <c r="G22" s="1237"/>
      <c r="H22" s="1237"/>
      <c r="I22" s="1237"/>
      <c r="J22" s="1237"/>
      <c r="K22" s="1237"/>
      <c r="L22" s="1265"/>
      <c r="M22" s="1265"/>
    </row>
    <row r="23" spans="1:13" ht="22.5" customHeight="1">
      <c r="A23" s="1292"/>
      <c r="B23" s="1237"/>
      <c r="C23" s="1110"/>
      <c r="D23" s="1237"/>
      <c r="E23" s="1281" t="s">
        <v>3034</v>
      </c>
      <c r="F23" s="1247">
        <v>5</v>
      </c>
      <c r="G23" s="1236" t="s">
        <v>3033</v>
      </c>
      <c r="H23" s="1248">
        <f ca="1">IFERROR(__xludf.DUMMYFUNCTION("""COMPUTED_VALUE"""),0)</f>
        <v>0</v>
      </c>
      <c r="I23" s="1259">
        <f ca="1">IFERROR(__xludf.DUMMYFUNCTION("""COMPUTED_VALUE"""),0)</f>
        <v>0</v>
      </c>
      <c r="J23" s="1236" t="s">
        <v>3033</v>
      </c>
      <c r="K23" s="1262"/>
      <c r="L23" s="1265"/>
      <c r="M23" s="1265"/>
    </row>
    <row r="24" spans="1:13" ht="22.5" customHeight="1">
      <c r="A24" s="1292"/>
      <c r="B24" s="1237"/>
      <c r="C24" s="1110"/>
      <c r="D24" s="1237"/>
      <c r="E24" s="1237"/>
      <c r="F24" s="1234"/>
      <c r="G24" s="1237"/>
      <c r="H24" s="1237"/>
      <c r="I24" s="1237"/>
      <c r="J24" s="1237"/>
      <c r="K24" s="1237"/>
      <c r="L24" s="1265"/>
      <c r="M24" s="1265"/>
    </row>
    <row r="25" spans="1:13" ht="31.5" customHeight="1">
      <c r="A25" s="1292"/>
      <c r="B25" s="1237"/>
      <c r="C25" s="1110"/>
      <c r="D25" s="1249"/>
      <c r="E25" s="1238"/>
      <c r="F25" s="1257"/>
      <c r="G25" s="1249"/>
      <c r="H25" s="1249"/>
      <c r="I25" s="1249"/>
      <c r="J25" s="1249"/>
      <c r="K25" s="1249"/>
      <c r="L25" s="1268"/>
      <c r="M25" s="1268"/>
    </row>
    <row r="26" spans="1:13" ht="22.5" customHeight="1">
      <c r="A26" s="1292"/>
      <c r="B26" s="1237"/>
      <c r="C26" s="1110"/>
      <c r="D26" s="1290" t="s">
        <v>3035</v>
      </c>
      <c r="E26" s="1281" t="s">
        <v>3036</v>
      </c>
      <c r="F26" s="1240"/>
      <c r="G26" s="1241" t="s">
        <v>3037</v>
      </c>
      <c r="H26" s="1242">
        <f ca="1">IFERROR(__xludf.DUMMYFUNCTION("""COMPUTED_VALUE"""),71)</f>
        <v>71</v>
      </c>
      <c r="I26" s="1243"/>
      <c r="J26" s="1244" t="s">
        <v>3037</v>
      </c>
      <c r="K26" s="1244"/>
      <c r="L26" s="1269"/>
      <c r="M26" s="1264"/>
    </row>
    <row r="27" spans="1:13" ht="22.5" customHeight="1">
      <c r="A27" s="1292"/>
      <c r="B27" s="1237"/>
      <c r="C27" s="1110"/>
      <c r="D27" s="1237"/>
      <c r="E27" s="1238"/>
      <c r="F27" s="1238"/>
      <c r="G27" s="1238"/>
      <c r="H27" s="1238"/>
      <c r="I27" s="1238"/>
      <c r="J27" s="1238"/>
      <c r="K27" s="1238"/>
      <c r="L27" s="1265"/>
      <c r="M27" s="1265"/>
    </row>
    <row r="28" spans="1:13" ht="22.5" customHeight="1">
      <c r="A28" s="1292"/>
      <c r="B28" s="1237"/>
      <c r="C28" s="1110"/>
      <c r="D28" s="1237"/>
      <c r="E28" s="1281" t="s">
        <v>3038</v>
      </c>
      <c r="F28" s="1240"/>
      <c r="G28" s="1241" t="s">
        <v>3039</v>
      </c>
      <c r="H28" s="1246">
        <f ca="1">IFERROR(__xludf.DUMMYFUNCTION("""COMPUTED_VALUE"""),0)</f>
        <v>0</v>
      </c>
      <c r="I28" s="1243"/>
      <c r="J28" s="1244" t="s">
        <v>3039</v>
      </c>
      <c r="K28" s="1244"/>
      <c r="L28" s="1265"/>
      <c r="M28" s="1265"/>
    </row>
    <row r="29" spans="1:13" ht="22.5" customHeight="1">
      <c r="A29" s="1299"/>
      <c r="B29" s="1245"/>
      <c r="C29" s="1111"/>
      <c r="D29" s="1245"/>
      <c r="E29" s="1245"/>
      <c r="F29" s="1245"/>
      <c r="G29" s="1245"/>
      <c r="H29" s="1245"/>
      <c r="I29" s="1245"/>
      <c r="J29" s="1245"/>
      <c r="K29" s="1245"/>
      <c r="L29" s="1266"/>
      <c r="M29" s="1266"/>
    </row>
    <row r="30" spans="1:13" ht="18.75" customHeight="1">
      <c r="A30" s="1291">
        <v>2</v>
      </c>
      <c r="B30" s="1294" t="s">
        <v>47</v>
      </c>
      <c r="C30" s="1112"/>
      <c r="D30" s="1306" t="s">
        <v>3018</v>
      </c>
      <c r="E30" s="1295" t="s">
        <v>3040</v>
      </c>
      <c r="F30" s="1282">
        <v>30</v>
      </c>
      <c r="G30" s="1284" t="s">
        <v>3020</v>
      </c>
      <c r="H30" s="1285">
        <f ca="1">IFERROR(__xludf.DUMMYFUNCTION("""COMPUTED_VALUE"""),0)</f>
        <v>0</v>
      </c>
      <c r="I30" s="1319">
        <f ca="1">IFERROR(__xludf.DUMMYFUNCTION("""COMPUTED_VALUE"""),0)</f>
        <v>0</v>
      </c>
      <c r="J30" s="1277" t="s">
        <v>3020</v>
      </c>
      <c r="K30" s="1278"/>
      <c r="L30" s="1267">
        <f ca="1">IFERROR(__xludf.DUMMYFUNCTION("""COMPUTED_VALUE"""),0.143237219576719)</f>
        <v>0.143237219576719</v>
      </c>
      <c r="M30" s="1270">
        <f ca="1">IFERROR(__xludf.DUMMYFUNCTION("""COMPUTED_VALUE"""),0.143237219576719)</f>
        <v>0.143237219576719</v>
      </c>
    </row>
    <row r="31" spans="1:13" ht="18.75" customHeight="1">
      <c r="A31" s="1292"/>
      <c r="B31" s="1237"/>
      <c r="C31" s="1112"/>
      <c r="D31" s="1237"/>
      <c r="E31" s="1237"/>
      <c r="F31" s="1234"/>
      <c r="G31" s="1237"/>
      <c r="H31" s="1253"/>
      <c r="I31" s="1237"/>
      <c r="J31" s="1237"/>
      <c r="K31" s="1237"/>
      <c r="L31" s="1265"/>
      <c r="M31" s="1265"/>
    </row>
    <row r="32" spans="1:13" ht="18.75" customHeight="1">
      <c r="A32" s="1292"/>
      <c r="B32" s="1237"/>
      <c r="C32" s="1112"/>
      <c r="D32" s="1237"/>
      <c r="E32" s="1238"/>
      <c r="F32" s="1235"/>
      <c r="G32" s="1238"/>
      <c r="H32" s="1254"/>
      <c r="I32" s="1238"/>
      <c r="J32" s="1238"/>
      <c r="K32" s="1238"/>
      <c r="L32" s="1265"/>
      <c r="M32" s="1265"/>
    </row>
    <row r="33" spans="1:13" ht="9.75" customHeight="1">
      <c r="A33" s="1292"/>
      <c r="B33" s="1237"/>
      <c r="C33" s="1113"/>
      <c r="D33" s="1237"/>
      <c r="E33" s="1295" t="s">
        <v>3041</v>
      </c>
      <c r="F33" s="1282">
        <v>75</v>
      </c>
      <c r="G33" s="1272" t="s">
        <v>3022</v>
      </c>
      <c r="H33" s="1283">
        <f ca="1">IFERROR(__xludf.DUMMYFUNCTION("""COMPUTED_VALUE"""),12)</f>
        <v>12</v>
      </c>
      <c r="I33" s="1274">
        <f ca="1">IFERROR(__xludf.DUMMYFUNCTION("""COMPUTED_VALUE"""),0.16)</f>
        <v>0.16</v>
      </c>
      <c r="J33" s="1272" t="s">
        <v>3022</v>
      </c>
      <c r="K33" s="1273"/>
      <c r="L33" s="1265"/>
      <c r="M33" s="1265"/>
    </row>
    <row r="34" spans="1:13" ht="8.25" customHeight="1">
      <c r="A34" s="1292"/>
      <c r="B34" s="1237"/>
      <c r="C34" s="1113"/>
      <c r="D34" s="1237"/>
      <c r="E34" s="1237"/>
      <c r="F34" s="1234"/>
      <c r="G34" s="1237"/>
      <c r="H34" s="1237"/>
      <c r="I34" s="1237"/>
      <c r="J34" s="1237"/>
      <c r="K34" s="1237"/>
      <c r="L34" s="1265"/>
      <c r="M34" s="1265"/>
    </row>
    <row r="35" spans="1:13" ht="10.5" customHeight="1">
      <c r="A35" s="1292"/>
      <c r="B35" s="1237"/>
      <c r="C35" s="1113"/>
      <c r="D35" s="1237"/>
      <c r="E35" s="1238"/>
      <c r="F35" s="1235"/>
      <c r="G35" s="1238"/>
      <c r="H35" s="1238"/>
      <c r="I35" s="1238"/>
      <c r="J35" s="1238"/>
      <c r="K35" s="1238"/>
      <c r="L35" s="1265"/>
      <c r="M35" s="1265"/>
    </row>
    <row r="36" spans="1:13" ht="15.75" customHeight="1">
      <c r="A36" s="1292"/>
      <c r="B36" s="1237"/>
      <c r="C36" s="1113"/>
      <c r="D36" s="1237"/>
      <c r="E36" s="1295" t="s">
        <v>3042</v>
      </c>
      <c r="F36" s="1316">
        <v>2</v>
      </c>
      <c r="G36" s="1272" t="s">
        <v>3024</v>
      </c>
      <c r="H36" s="1283">
        <f ca="1">IFERROR(__xludf.DUMMYFUNCTION("""COMPUTED_VALUE"""),0)</f>
        <v>0</v>
      </c>
      <c r="I36" s="1274">
        <f ca="1">IFERROR(__xludf.DUMMYFUNCTION("""COMPUTED_VALUE"""),0)</f>
        <v>0</v>
      </c>
      <c r="J36" s="1272" t="s">
        <v>3024</v>
      </c>
      <c r="K36" s="1273"/>
      <c r="L36" s="1265"/>
      <c r="M36" s="1265"/>
    </row>
    <row r="37" spans="1:13" ht="12" customHeight="1">
      <c r="A37" s="1292"/>
      <c r="B37" s="1237"/>
      <c r="C37" s="1113"/>
      <c r="D37" s="1237"/>
      <c r="E37" s="1237"/>
      <c r="F37" s="1234"/>
      <c r="G37" s="1237"/>
      <c r="H37" s="1237"/>
      <c r="I37" s="1237"/>
      <c r="J37" s="1237"/>
      <c r="K37" s="1237"/>
      <c r="L37" s="1265"/>
      <c r="M37" s="1265"/>
    </row>
    <row r="38" spans="1:13" ht="15.75" customHeight="1">
      <c r="A38" s="1292"/>
      <c r="B38" s="1237"/>
      <c r="C38" s="1113"/>
      <c r="D38" s="1237"/>
      <c r="E38" s="1238"/>
      <c r="F38" s="1235"/>
      <c r="G38" s="1238"/>
      <c r="H38" s="1238"/>
      <c r="I38" s="1238"/>
      <c r="J38" s="1238"/>
      <c r="K38" s="1238"/>
      <c r="L38" s="1265"/>
      <c r="M38" s="1265"/>
    </row>
    <row r="39" spans="1:13" ht="37.5" customHeight="1">
      <c r="A39" s="1292"/>
      <c r="B39" s="1237"/>
      <c r="C39" s="1113"/>
      <c r="D39" s="1237"/>
      <c r="E39" s="1295" t="s">
        <v>3043</v>
      </c>
      <c r="F39" s="1318">
        <v>2800000000</v>
      </c>
      <c r="G39" s="1272" t="s">
        <v>3026</v>
      </c>
      <c r="H39" s="1317">
        <f ca="1">IFERROR(__xludf.DUMMYFUNCTION("""COMPUTED_VALUE"""),268244600)</f>
        <v>268244600</v>
      </c>
      <c r="I39" s="1274">
        <f ca="1">IFERROR(__xludf.DUMMYFUNCTION("""COMPUTED_VALUE"""),0.0958016428571428)</f>
        <v>9.5801642857142794E-2</v>
      </c>
      <c r="J39" s="1272" t="s">
        <v>3026</v>
      </c>
      <c r="K39" s="1273"/>
      <c r="L39" s="1265"/>
      <c r="M39" s="1265"/>
    </row>
    <row r="40" spans="1:13" ht="41.25" customHeight="1">
      <c r="A40" s="1292"/>
      <c r="B40" s="1237"/>
      <c r="C40" s="1113"/>
      <c r="D40" s="1238"/>
      <c r="E40" s="1238"/>
      <c r="F40" s="1235"/>
      <c r="G40" s="1238"/>
      <c r="H40" s="1238"/>
      <c r="I40" s="1238"/>
      <c r="J40" s="1238"/>
      <c r="K40" s="1238"/>
      <c r="L40" s="1265"/>
      <c r="M40" s="1265"/>
    </row>
    <row r="41" spans="1:13" ht="31.5" customHeight="1">
      <c r="A41" s="1292"/>
      <c r="B41" s="1237"/>
      <c r="C41" s="1113"/>
      <c r="D41" s="1306" t="s">
        <v>3027</v>
      </c>
      <c r="E41" s="1295" t="s">
        <v>3044</v>
      </c>
      <c r="F41" s="1282">
        <v>5</v>
      </c>
      <c r="G41" s="1272" t="s">
        <v>1848</v>
      </c>
      <c r="H41" s="1283">
        <f ca="1">IFERROR(__xludf.DUMMYFUNCTION("""COMPUTED_VALUE"""),0)</f>
        <v>0</v>
      </c>
      <c r="I41" s="1274">
        <f ca="1">IFERROR(__xludf.DUMMYFUNCTION("""COMPUTED_VALUE"""),0)</f>
        <v>0</v>
      </c>
      <c r="J41" s="1272" t="s">
        <v>1848</v>
      </c>
      <c r="K41" s="1273"/>
      <c r="L41" s="1265"/>
      <c r="M41" s="1265"/>
    </row>
    <row r="42" spans="1:13" ht="31.5" customHeight="1">
      <c r="A42" s="1292"/>
      <c r="B42" s="1237"/>
      <c r="C42" s="1113"/>
      <c r="D42" s="1237"/>
      <c r="E42" s="1238"/>
      <c r="F42" s="1235"/>
      <c r="G42" s="1238"/>
      <c r="H42" s="1238"/>
      <c r="I42" s="1238"/>
      <c r="J42" s="1238"/>
      <c r="K42" s="1238"/>
      <c r="L42" s="1265"/>
      <c r="M42" s="1265"/>
    </row>
    <row r="43" spans="1:13" ht="30.75" customHeight="1">
      <c r="A43" s="1292"/>
      <c r="B43" s="1237"/>
      <c r="C43" s="1113"/>
      <c r="D43" s="1237"/>
      <c r="E43" s="1295" t="s">
        <v>3045</v>
      </c>
      <c r="F43" s="1282">
        <v>15</v>
      </c>
      <c r="G43" s="1272" t="s">
        <v>1848</v>
      </c>
      <c r="H43" s="1307">
        <f ca="1">IFERROR(__xludf.DUMMYFUNCTION("""COMPUTED_VALUE"""),5)</f>
        <v>5</v>
      </c>
      <c r="I43" s="1274">
        <f ca="1">IFERROR(__xludf.DUMMYFUNCTION("""COMPUTED_VALUE"""),0.333333333333333)</f>
        <v>0.33333333333333298</v>
      </c>
      <c r="J43" s="1272" t="s">
        <v>1848</v>
      </c>
      <c r="K43" s="1273"/>
      <c r="L43" s="1265"/>
      <c r="M43" s="1265"/>
    </row>
    <row r="44" spans="1:13" ht="30.75" customHeight="1">
      <c r="A44" s="1292"/>
      <c r="B44" s="1237"/>
      <c r="C44" s="1113"/>
      <c r="D44" s="1237"/>
      <c r="E44" s="1238"/>
      <c r="F44" s="1235"/>
      <c r="G44" s="1238"/>
      <c r="H44" s="1238"/>
      <c r="I44" s="1238"/>
      <c r="J44" s="1238"/>
      <c r="K44" s="1238"/>
      <c r="L44" s="1265"/>
      <c r="M44" s="1265"/>
    </row>
    <row r="45" spans="1:13" ht="18.75" customHeight="1">
      <c r="A45" s="1292"/>
      <c r="B45" s="1237"/>
      <c r="C45" s="1113"/>
      <c r="D45" s="1237"/>
      <c r="E45" s="1295" t="s">
        <v>3046</v>
      </c>
      <c r="F45" s="1282">
        <v>10</v>
      </c>
      <c r="G45" s="1272" t="s">
        <v>3031</v>
      </c>
      <c r="H45" s="1307">
        <f ca="1">IFERROR(__xludf.DUMMYFUNCTION("""COMPUTED_VALUE"""),3)</f>
        <v>3</v>
      </c>
      <c r="I45" s="1274">
        <f ca="1">IFERROR(__xludf.DUMMYFUNCTION("""COMPUTED_VALUE"""),0.3)</f>
        <v>0.3</v>
      </c>
      <c r="J45" s="1272" t="s">
        <v>3031</v>
      </c>
      <c r="K45" s="1273"/>
      <c r="L45" s="1265"/>
      <c r="M45" s="1265"/>
    </row>
    <row r="46" spans="1:13" ht="18" customHeight="1">
      <c r="A46" s="1292"/>
      <c r="B46" s="1237"/>
      <c r="C46" s="1113"/>
      <c r="D46" s="1237"/>
      <c r="E46" s="1238"/>
      <c r="F46" s="1235"/>
      <c r="G46" s="1238"/>
      <c r="H46" s="1238"/>
      <c r="I46" s="1238"/>
      <c r="J46" s="1238"/>
      <c r="K46" s="1238"/>
      <c r="L46" s="1265"/>
      <c r="M46" s="1265"/>
    </row>
    <row r="47" spans="1:13" ht="12.75" customHeight="1">
      <c r="A47" s="1292"/>
      <c r="B47" s="1237"/>
      <c r="C47" s="1113"/>
      <c r="D47" s="1237"/>
      <c r="E47" s="1295" t="s">
        <v>3047</v>
      </c>
      <c r="F47" s="1312">
        <v>5</v>
      </c>
      <c r="G47" s="1272" t="s">
        <v>3033</v>
      </c>
      <c r="H47" s="1307">
        <f ca="1">IFERROR(__xludf.DUMMYFUNCTION("""COMPUTED_VALUE"""),0)</f>
        <v>0</v>
      </c>
      <c r="I47" s="1274">
        <f ca="1">IFERROR(__xludf.DUMMYFUNCTION("""COMPUTED_VALUE"""),0)</f>
        <v>0</v>
      </c>
      <c r="J47" s="1272" t="s">
        <v>3033</v>
      </c>
      <c r="K47" s="1273"/>
      <c r="L47" s="1265"/>
      <c r="M47" s="1265"/>
    </row>
    <row r="48" spans="1:13" ht="12.75" customHeight="1">
      <c r="A48" s="1292"/>
      <c r="B48" s="1237"/>
      <c r="C48" s="1113"/>
      <c r="D48" s="1237"/>
      <c r="E48" s="1237"/>
      <c r="F48" s="1237"/>
      <c r="G48" s="1237"/>
      <c r="H48" s="1237"/>
      <c r="I48" s="1237"/>
      <c r="J48" s="1237"/>
      <c r="K48" s="1237"/>
      <c r="L48" s="1265"/>
      <c r="M48" s="1265"/>
    </row>
    <row r="49" spans="1:13" ht="12.75" customHeight="1">
      <c r="A49" s="1292"/>
      <c r="B49" s="1237"/>
      <c r="C49" s="1113"/>
      <c r="D49" s="1237"/>
      <c r="E49" s="1249"/>
      <c r="F49" s="1238"/>
      <c r="G49" s="1237"/>
      <c r="H49" s="1237"/>
      <c r="I49" s="1237"/>
      <c r="J49" s="1237"/>
      <c r="K49" s="1237"/>
      <c r="L49" s="1265"/>
      <c r="M49" s="1265"/>
    </row>
    <row r="50" spans="1:13" ht="24.75" customHeight="1">
      <c r="A50" s="1292"/>
      <c r="B50" s="1237"/>
      <c r="C50" s="1113"/>
      <c r="D50" s="1237"/>
      <c r="E50" s="1296" t="s">
        <v>3048</v>
      </c>
      <c r="F50" s="1282">
        <v>5</v>
      </c>
      <c r="G50" s="1272" t="s">
        <v>3033</v>
      </c>
      <c r="H50" s="1307">
        <f ca="1">IFERROR(__xludf.DUMMYFUNCTION("""COMPUTED_VALUE"""),2)</f>
        <v>2</v>
      </c>
      <c r="I50" s="1274">
        <f ca="1">IFERROR(__xludf.DUMMYFUNCTION("""COMPUTED_VALUE"""),0.4)</f>
        <v>0.4</v>
      </c>
      <c r="J50" s="1272" t="s">
        <v>3033</v>
      </c>
      <c r="K50" s="1273"/>
      <c r="L50" s="1265"/>
      <c r="M50" s="1265"/>
    </row>
    <row r="51" spans="1:13" ht="24.75" customHeight="1">
      <c r="A51" s="1292"/>
      <c r="B51" s="1237"/>
      <c r="C51" s="1113"/>
      <c r="D51" s="1237"/>
      <c r="E51" s="1237"/>
      <c r="F51" s="1234"/>
      <c r="G51" s="1237"/>
      <c r="H51" s="1237"/>
      <c r="I51" s="1237"/>
      <c r="J51" s="1237"/>
      <c r="K51" s="1237"/>
      <c r="L51" s="1265"/>
      <c r="M51" s="1265"/>
    </row>
    <row r="52" spans="1:13" ht="24.75" customHeight="1">
      <c r="A52" s="1292"/>
      <c r="B52" s="1237"/>
      <c r="C52" s="1113"/>
      <c r="D52" s="1238"/>
      <c r="E52" s="1238"/>
      <c r="F52" s="1257"/>
      <c r="G52" s="1249"/>
      <c r="H52" s="1249"/>
      <c r="I52" s="1249"/>
      <c r="J52" s="1249"/>
      <c r="K52" s="1249"/>
      <c r="L52" s="1268"/>
      <c r="M52" s="1268"/>
    </row>
    <row r="53" spans="1:13" ht="27" customHeight="1">
      <c r="A53" s="1292"/>
      <c r="B53" s="1237"/>
      <c r="C53" s="1113"/>
      <c r="D53" s="1297" t="s">
        <v>3035</v>
      </c>
      <c r="E53" s="1296" t="s">
        <v>3049</v>
      </c>
      <c r="F53" s="1308"/>
      <c r="G53" s="1309" t="s">
        <v>3037</v>
      </c>
      <c r="H53" s="1311">
        <f ca="1">IFERROR(__xludf.DUMMYFUNCTION("""COMPUTED_VALUE"""),220)</f>
        <v>220</v>
      </c>
      <c r="I53" s="1314"/>
      <c r="J53" s="1315" t="s">
        <v>3037</v>
      </c>
      <c r="K53" s="1315"/>
      <c r="L53" s="1269"/>
      <c r="M53" s="1264"/>
    </row>
    <row r="54" spans="1:13" ht="23.25" customHeight="1">
      <c r="A54" s="1292"/>
      <c r="B54" s="1237"/>
      <c r="C54" s="1113"/>
      <c r="D54" s="1237"/>
      <c r="E54" s="1238"/>
      <c r="F54" s="1238"/>
      <c r="G54" s="1238"/>
      <c r="H54" s="1238"/>
      <c r="I54" s="1238"/>
      <c r="J54" s="1238"/>
      <c r="K54" s="1238"/>
      <c r="L54" s="1265"/>
      <c r="M54" s="1265"/>
    </row>
    <row r="55" spans="1:13" ht="27.75" customHeight="1">
      <c r="A55" s="1292"/>
      <c r="B55" s="1237"/>
      <c r="C55" s="1113"/>
      <c r="D55" s="1237"/>
      <c r="E55" s="1296" t="s">
        <v>3050</v>
      </c>
      <c r="F55" s="1308"/>
      <c r="G55" s="1309" t="s">
        <v>3039</v>
      </c>
      <c r="H55" s="1310">
        <f ca="1">IFERROR(__xludf.DUMMYFUNCTION("""COMPUTED_VALUE"""),0)</f>
        <v>0</v>
      </c>
      <c r="I55" s="1314"/>
      <c r="J55" s="1315" t="s">
        <v>3039</v>
      </c>
      <c r="K55" s="1315"/>
      <c r="L55" s="1265"/>
      <c r="M55" s="1265"/>
    </row>
    <row r="56" spans="1:13" ht="15.75" customHeight="1">
      <c r="A56" s="1293"/>
      <c r="B56" s="1245"/>
      <c r="C56" s="1114"/>
      <c r="D56" s="1245"/>
      <c r="E56" s="1245"/>
      <c r="F56" s="1245"/>
      <c r="G56" s="1245"/>
      <c r="H56" s="1245"/>
      <c r="I56" s="1245"/>
      <c r="J56" s="1245"/>
      <c r="K56" s="1245"/>
      <c r="L56" s="1313"/>
      <c r="M56" s="1313"/>
    </row>
    <row r="57" spans="1:13" ht="15.75" customHeight="1">
      <c r="A57" s="1298">
        <v>3</v>
      </c>
      <c r="B57" s="1302">
        <v>45748</v>
      </c>
      <c r="C57" s="1109"/>
      <c r="D57" s="1279" t="s">
        <v>3051</v>
      </c>
      <c r="E57" s="1280" t="s">
        <v>3052</v>
      </c>
      <c r="F57" s="1247">
        <v>30</v>
      </c>
      <c r="G57" s="1251" t="s">
        <v>3020</v>
      </c>
      <c r="H57" s="1252">
        <f ca="1">IFERROR(__xludf.DUMMYFUNCTION("""COMPUTED_VALUE"""),0)</f>
        <v>0</v>
      </c>
      <c r="I57" s="1255">
        <f ca="1">IFERROR(__xludf.DUMMYFUNCTION("""COMPUTED_VALUE"""),0)</f>
        <v>0</v>
      </c>
      <c r="J57" s="1256" t="s">
        <v>3020</v>
      </c>
      <c r="K57" s="1263"/>
      <c r="L57" s="1275">
        <f ca="1">IFERROR(__xludf.DUMMYFUNCTION("""COMPUTED_VALUE"""),0.161660499999999)</f>
        <v>0.16166049999999901</v>
      </c>
      <c r="M57" s="1276">
        <f ca="1">IFERROR(__xludf.DUMMYFUNCTION("""COMPUTED_VALUE"""),0.161660499999999)</f>
        <v>0.16166049999999901</v>
      </c>
    </row>
    <row r="58" spans="1:13" ht="15.75" customHeight="1">
      <c r="A58" s="1292"/>
      <c r="B58" s="1237"/>
      <c r="C58" s="1109"/>
      <c r="D58" s="1237"/>
      <c r="E58" s="1237"/>
      <c r="F58" s="1234"/>
      <c r="G58" s="1237"/>
      <c r="H58" s="1253"/>
      <c r="I58" s="1237"/>
      <c r="J58" s="1237"/>
      <c r="K58" s="1237"/>
      <c r="L58" s="1265"/>
      <c r="M58" s="1265"/>
    </row>
    <row r="59" spans="1:13" ht="15.75" customHeight="1">
      <c r="A59" s="1292"/>
      <c r="B59" s="1237"/>
      <c r="C59" s="1109"/>
      <c r="D59" s="1237"/>
      <c r="E59" s="1238"/>
      <c r="F59" s="1235"/>
      <c r="G59" s="1238"/>
      <c r="H59" s="1254"/>
      <c r="I59" s="1238"/>
      <c r="J59" s="1238"/>
      <c r="K59" s="1238"/>
      <c r="L59" s="1265"/>
      <c r="M59" s="1265"/>
    </row>
    <row r="60" spans="1:13" ht="15.75" customHeight="1">
      <c r="A60" s="1292"/>
      <c r="B60" s="1237"/>
      <c r="C60" s="1110"/>
      <c r="D60" s="1237"/>
      <c r="E60" s="1280" t="s">
        <v>3021</v>
      </c>
      <c r="F60" s="1247">
        <v>75</v>
      </c>
      <c r="G60" s="1236" t="s">
        <v>3022</v>
      </c>
      <c r="H60" s="1239">
        <f ca="1">IFERROR(__xludf.DUMMYFUNCTION("""COMPUTED_VALUE"""),20)</f>
        <v>20</v>
      </c>
      <c r="I60" s="1259">
        <f ca="1">IFERROR(__xludf.DUMMYFUNCTION("""COMPUTED_VALUE"""),0.266666666666666)</f>
        <v>0.266666666666666</v>
      </c>
      <c r="J60" s="1236" t="s">
        <v>3022</v>
      </c>
      <c r="K60" s="1262"/>
      <c r="L60" s="1265"/>
      <c r="M60" s="1265"/>
    </row>
    <row r="61" spans="1:13" ht="15.75" customHeight="1">
      <c r="A61" s="1292"/>
      <c r="B61" s="1237"/>
      <c r="C61" s="1110"/>
      <c r="D61" s="1237"/>
      <c r="E61" s="1237"/>
      <c r="F61" s="1234"/>
      <c r="G61" s="1237"/>
      <c r="H61" s="1237"/>
      <c r="I61" s="1237"/>
      <c r="J61" s="1237"/>
      <c r="K61" s="1237"/>
      <c r="L61" s="1265"/>
      <c r="M61" s="1265"/>
    </row>
    <row r="62" spans="1:13" ht="15.75" customHeight="1">
      <c r="A62" s="1292"/>
      <c r="B62" s="1237"/>
      <c r="C62" s="1110"/>
      <c r="D62" s="1237"/>
      <c r="E62" s="1238"/>
      <c r="F62" s="1235"/>
      <c r="G62" s="1238"/>
      <c r="H62" s="1238"/>
      <c r="I62" s="1238"/>
      <c r="J62" s="1238"/>
      <c r="K62" s="1238"/>
      <c r="L62" s="1265"/>
      <c r="M62" s="1265"/>
    </row>
    <row r="63" spans="1:13" ht="15.75" customHeight="1">
      <c r="A63" s="1292"/>
      <c r="B63" s="1237"/>
      <c r="C63" s="1110"/>
      <c r="D63" s="1237"/>
      <c r="E63" s="1280" t="s">
        <v>3023</v>
      </c>
      <c r="F63" s="1233">
        <v>2</v>
      </c>
      <c r="G63" s="1236" t="s">
        <v>3024</v>
      </c>
      <c r="H63" s="1239">
        <f ca="1">IFERROR(__xludf.DUMMYFUNCTION("""COMPUTED_VALUE"""),0)</f>
        <v>0</v>
      </c>
      <c r="I63" s="1259">
        <f ca="1">IFERROR(__xludf.DUMMYFUNCTION("""COMPUTED_VALUE"""),0)</f>
        <v>0</v>
      </c>
      <c r="J63" s="1236" t="s">
        <v>3024</v>
      </c>
      <c r="K63" s="1262"/>
      <c r="L63" s="1265"/>
      <c r="M63" s="1265"/>
    </row>
    <row r="64" spans="1:13" ht="15.75" customHeight="1">
      <c r="A64" s="1292"/>
      <c r="B64" s="1237"/>
      <c r="C64" s="1110"/>
      <c r="D64" s="1237"/>
      <c r="E64" s="1237"/>
      <c r="F64" s="1234"/>
      <c r="G64" s="1237"/>
      <c r="H64" s="1237"/>
      <c r="I64" s="1237"/>
      <c r="J64" s="1237"/>
      <c r="K64" s="1237"/>
      <c r="L64" s="1265"/>
      <c r="M64" s="1265"/>
    </row>
    <row r="65" spans="1:13" ht="15.75" customHeight="1">
      <c r="A65" s="1292"/>
      <c r="B65" s="1237"/>
      <c r="C65" s="1110"/>
      <c r="D65" s="1237"/>
      <c r="E65" s="1238"/>
      <c r="F65" s="1235"/>
      <c r="G65" s="1238"/>
      <c r="H65" s="1238"/>
      <c r="I65" s="1238"/>
      <c r="J65" s="1238"/>
      <c r="K65" s="1238"/>
      <c r="L65" s="1265"/>
      <c r="M65" s="1265"/>
    </row>
    <row r="66" spans="1:13" ht="15.75" customHeight="1">
      <c r="A66" s="1292"/>
      <c r="B66" s="1237"/>
      <c r="C66" s="1110"/>
      <c r="D66" s="1237"/>
      <c r="E66" s="1280" t="s">
        <v>3025</v>
      </c>
      <c r="F66" s="1258">
        <v>2800000000</v>
      </c>
      <c r="G66" s="1236" t="s">
        <v>3026</v>
      </c>
      <c r="H66" s="1260">
        <f ca="1">IFERROR(__xludf.DUMMYFUNCTION("""COMPUTED_VALUE"""),433844600)</f>
        <v>433844600</v>
      </c>
      <c r="I66" s="1259">
        <f ca="1">IFERROR(__xludf.DUMMYFUNCTION("""COMPUTED_VALUE"""),0.1549445)</f>
        <v>0.15494450000000001</v>
      </c>
      <c r="J66" s="1236" t="s">
        <v>3026</v>
      </c>
      <c r="K66" s="1262"/>
      <c r="L66" s="1265"/>
      <c r="M66" s="1265"/>
    </row>
    <row r="67" spans="1:13" ht="15.75" customHeight="1">
      <c r="A67" s="1292"/>
      <c r="B67" s="1237"/>
      <c r="C67" s="1110"/>
      <c r="D67" s="1237"/>
      <c r="E67" s="1238"/>
      <c r="F67" s="1235"/>
      <c r="G67" s="1238"/>
      <c r="H67" s="1238"/>
      <c r="I67" s="1238"/>
      <c r="J67" s="1238"/>
      <c r="K67" s="1238"/>
      <c r="L67" s="1265"/>
      <c r="M67" s="1265"/>
    </row>
    <row r="68" spans="1:13" ht="15.75" customHeight="1">
      <c r="A68" s="1292"/>
      <c r="B68" s="1237"/>
      <c r="C68" s="1110"/>
      <c r="D68" s="1279" t="s">
        <v>3053</v>
      </c>
      <c r="E68" s="1280" t="s">
        <v>3054</v>
      </c>
      <c r="F68" s="1247">
        <v>5</v>
      </c>
      <c r="G68" s="1236" t="s">
        <v>1848</v>
      </c>
      <c r="H68" s="1239">
        <f ca="1">IFERROR(__xludf.DUMMYFUNCTION("""COMPUTED_VALUE"""),0)</f>
        <v>0</v>
      </c>
      <c r="I68" s="1259">
        <f ca="1">IFERROR(__xludf.DUMMYFUNCTION("""COMPUTED_VALUE"""),0)</f>
        <v>0</v>
      </c>
      <c r="J68" s="1236" t="s">
        <v>1848</v>
      </c>
      <c r="K68" s="1262"/>
      <c r="L68" s="1265"/>
      <c r="M68" s="1265"/>
    </row>
    <row r="69" spans="1:13" ht="15.75" customHeight="1">
      <c r="A69" s="1292"/>
      <c r="B69" s="1237"/>
      <c r="C69" s="1110"/>
      <c r="D69" s="1237"/>
      <c r="E69" s="1238"/>
      <c r="F69" s="1235"/>
      <c r="G69" s="1238"/>
      <c r="H69" s="1238"/>
      <c r="I69" s="1238"/>
      <c r="J69" s="1238"/>
      <c r="K69" s="1238"/>
      <c r="L69" s="1265"/>
      <c r="M69" s="1265"/>
    </row>
    <row r="70" spans="1:13" ht="15.75" customHeight="1">
      <c r="A70" s="1292"/>
      <c r="B70" s="1237"/>
      <c r="C70" s="1110"/>
      <c r="D70" s="1237"/>
      <c r="E70" s="1280" t="s">
        <v>3055</v>
      </c>
      <c r="F70" s="1247">
        <v>15</v>
      </c>
      <c r="G70" s="1236" t="s">
        <v>1848</v>
      </c>
      <c r="H70" s="1248">
        <f ca="1">IFERROR(__xludf.DUMMYFUNCTION("""COMPUTED_VALUE"""),5)</f>
        <v>5</v>
      </c>
      <c r="I70" s="1259">
        <f ca="1">IFERROR(__xludf.DUMMYFUNCTION("""COMPUTED_VALUE"""),0.333333333333333)</f>
        <v>0.33333333333333298</v>
      </c>
      <c r="J70" s="1236" t="s">
        <v>1848</v>
      </c>
      <c r="K70" s="1262"/>
      <c r="L70" s="1265"/>
      <c r="M70" s="1265"/>
    </row>
    <row r="71" spans="1:13" ht="15.75" customHeight="1">
      <c r="A71" s="1292"/>
      <c r="B71" s="1237"/>
      <c r="C71" s="1110"/>
      <c r="D71" s="1237"/>
      <c r="E71" s="1238"/>
      <c r="F71" s="1235"/>
      <c r="G71" s="1238"/>
      <c r="H71" s="1238"/>
      <c r="I71" s="1238"/>
      <c r="J71" s="1238"/>
      <c r="K71" s="1238"/>
      <c r="L71" s="1265"/>
      <c r="M71" s="1265"/>
    </row>
    <row r="72" spans="1:13" ht="15.75" customHeight="1">
      <c r="A72" s="1292"/>
      <c r="B72" s="1237"/>
      <c r="C72" s="1110"/>
      <c r="D72" s="1237"/>
      <c r="E72" s="1280" t="s">
        <v>3030</v>
      </c>
      <c r="F72" s="1247">
        <v>10</v>
      </c>
      <c r="G72" s="1236" t="s">
        <v>3031</v>
      </c>
      <c r="H72" s="1248">
        <f ca="1">IFERROR(__xludf.DUMMYFUNCTION("""COMPUTED_VALUE"""),3)</f>
        <v>3</v>
      </c>
      <c r="I72" s="1259">
        <f ca="1">IFERROR(__xludf.DUMMYFUNCTION("""COMPUTED_VALUE"""),0.3)</f>
        <v>0.3</v>
      </c>
      <c r="J72" s="1236" t="s">
        <v>3031</v>
      </c>
      <c r="K72" s="1262"/>
      <c r="L72" s="1265"/>
      <c r="M72" s="1265"/>
    </row>
    <row r="73" spans="1:13" ht="15.75" customHeight="1">
      <c r="A73" s="1292"/>
      <c r="B73" s="1237"/>
      <c r="C73" s="1110"/>
      <c r="D73" s="1237"/>
      <c r="E73" s="1238"/>
      <c r="F73" s="1235"/>
      <c r="G73" s="1238"/>
      <c r="H73" s="1238"/>
      <c r="I73" s="1238"/>
      <c r="J73" s="1238"/>
      <c r="K73" s="1238"/>
      <c r="L73" s="1265"/>
      <c r="M73" s="1265"/>
    </row>
    <row r="74" spans="1:13" ht="15.75" customHeight="1">
      <c r="A74" s="1292"/>
      <c r="B74" s="1237"/>
      <c r="C74" s="1110"/>
      <c r="D74" s="1237"/>
      <c r="E74" s="1280" t="s">
        <v>3056</v>
      </c>
      <c r="F74" s="1250">
        <v>5</v>
      </c>
      <c r="G74" s="1236" t="s">
        <v>3033</v>
      </c>
      <c r="H74" s="1248">
        <f ca="1">IFERROR(__xludf.DUMMYFUNCTION("""COMPUTED_VALUE"""),0)</f>
        <v>0</v>
      </c>
      <c r="I74" s="1259">
        <f ca="1">IFERROR(__xludf.DUMMYFUNCTION("""COMPUTED_VALUE"""),0)</f>
        <v>0</v>
      </c>
      <c r="J74" s="1236" t="s">
        <v>3033</v>
      </c>
      <c r="K74" s="1262"/>
      <c r="L74" s="1265"/>
      <c r="M74" s="1265"/>
    </row>
    <row r="75" spans="1:13" ht="15.75" customHeight="1">
      <c r="A75" s="1292"/>
      <c r="B75" s="1237"/>
      <c r="C75" s="1110"/>
      <c r="D75" s="1237"/>
      <c r="E75" s="1237"/>
      <c r="F75" s="1237"/>
      <c r="G75" s="1237"/>
      <c r="H75" s="1237"/>
      <c r="I75" s="1237"/>
      <c r="J75" s="1237"/>
      <c r="K75" s="1237"/>
      <c r="L75" s="1265"/>
      <c r="M75" s="1265"/>
    </row>
    <row r="76" spans="1:13" ht="15.75" customHeight="1">
      <c r="A76" s="1292"/>
      <c r="B76" s="1237"/>
      <c r="C76" s="1110"/>
      <c r="D76" s="1237"/>
      <c r="E76" s="1249"/>
      <c r="F76" s="1238"/>
      <c r="G76" s="1237"/>
      <c r="H76" s="1237"/>
      <c r="I76" s="1237"/>
      <c r="J76" s="1237"/>
      <c r="K76" s="1237"/>
      <c r="L76" s="1265"/>
      <c r="M76" s="1265"/>
    </row>
    <row r="77" spans="1:13" ht="15.75" customHeight="1">
      <c r="A77" s="1292"/>
      <c r="B77" s="1237"/>
      <c r="C77" s="1110"/>
      <c r="D77" s="1237"/>
      <c r="E77" s="1281" t="s">
        <v>3057</v>
      </c>
      <c r="F77" s="1247">
        <v>5</v>
      </c>
      <c r="G77" s="1236" t="s">
        <v>3033</v>
      </c>
      <c r="H77" s="1248">
        <f ca="1">IFERROR(__xludf.DUMMYFUNCTION("""COMPUTED_VALUE"""),2)</f>
        <v>2</v>
      </c>
      <c r="I77" s="1259">
        <f ca="1">IFERROR(__xludf.DUMMYFUNCTION("""COMPUTED_VALUE"""),0.4)</f>
        <v>0.4</v>
      </c>
      <c r="J77" s="1236" t="s">
        <v>3033</v>
      </c>
      <c r="K77" s="1262"/>
      <c r="L77" s="1265"/>
      <c r="M77" s="1265"/>
    </row>
    <row r="78" spans="1:13" ht="15.75" customHeight="1">
      <c r="A78" s="1292"/>
      <c r="B78" s="1237"/>
      <c r="C78" s="1110"/>
      <c r="D78" s="1237"/>
      <c r="E78" s="1237"/>
      <c r="F78" s="1234"/>
      <c r="G78" s="1237"/>
      <c r="H78" s="1237"/>
      <c r="I78" s="1237"/>
      <c r="J78" s="1237"/>
      <c r="K78" s="1237"/>
      <c r="L78" s="1265"/>
      <c r="M78" s="1265"/>
    </row>
    <row r="79" spans="1:13" ht="15.75" customHeight="1">
      <c r="A79" s="1292"/>
      <c r="B79" s="1237"/>
      <c r="C79" s="1110"/>
      <c r="D79" s="1249"/>
      <c r="E79" s="1238"/>
      <c r="F79" s="1257"/>
      <c r="G79" s="1249"/>
      <c r="H79" s="1249"/>
      <c r="I79" s="1249"/>
      <c r="J79" s="1249"/>
      <c r="K79" s="1249"/>
      <c r="L79" s="1268"/>
      <c r="M79" s="1268"/>
    </row>
    <row r="80" spans="1:13" ht="15.75" customHeight="1">
      <c r="A80" s="1292"/>
      <c r="B80" s="1237"/>
      <c r="C80" s="1110"/>
      <c r="D80" s="1290" t="s">
        <v>3058</v>
      </c>
      <c r="E80" s="1281" t="s">
        <v>3036</v>
      </c>
      <c r="F80" s="1240"/>
      <c r="G80" s="1241" t="s">
        <v>3037</v>
      </c>
      <c r="H80" s="1242">
        <f ca="1">IFERROR(__xludf.DUMMYFUNCTION("""COMPUTED_VALUE"""),379)</f>
        <v>379</v>
      </c>
      <c r="I80" s="1243"/>
      <c r="J80" s="1244" t="s">
        <v>3037</v>
      </c>
      <c r="K80" s="1244"/>
      <c r="L80" s="1269"/>
      <c r="M80" s="1264"/>
    </row>
    <row r="81" spans="1:13" ht="15.75" customHeight="1">
      <c r="A81" s="1292"/>
      <c r="B81" s="1237"/>
      <c r="C81" s="1110"/>
      <c r="D81" s="1237"/>
      <c r="E81" s="1238"/>
      <c r="F81" s="1238"/>
      <c r="G81" s="1238"/>
      <c r="H81" s="1238"/>
      <c r="I81" s="1238"/>
      <c r="J81" s="1238"/>
      <c r="K81" s="1238"/>
      <c r="L81" s="1265"/>
      <c r="M81" s="1265"/>
    </row>
    <row r="82" spans="1:13" ht="15.75" customHeight="1">
      <c r="A82" s="1292"/>
      <c r="B82" s="1237"/>
      <c r="C82" s="1110"/>
      <c r="D82" s="1237"/>
      <c r="E82" s="1281" t="s">
        <v>3038</v>
      </c>
      <c r="F82" s="1240"/>
      <c r="G82" s="1241" t="s">
        <v>3039</v>
      </c>
      <c r="H82" s="1246">
        <f ca="1">IFERROR(__xludf.DUMMYFUNCTION("""COMPUTED_VALUE"""),0)</f>
        <v>0</v>
      </c>
      <c r="I82" s="1243"/>
      <c r="J82" s="1244" t="s">
        <v>3039</v>
      </c>
      <c r="K82" s="1244"/>
      <c r="L82" s="1265"/>
      <c r="M82" s="1265"/>
    </row>
    <row r="83" spans="1:13" ht="15.75" customHeight="1">
      <c r="A83" s="1299"/>
      <c r="B83" s="1245"/>
      <c r="C83" s="1111"/>
      <c r="D83" s="1245"/>
      <c r="E83" s="1245"/>
      <c r="F83" s="1245"/>
      <c r="G83" s="1245"/>
      <c r="H83" s="1245"/>
      <c r="I83" s="1245"/>
      <c r="J83" s="1245"/>
      <c r="K83" s="1245"/>
      <c r="L83" s="1266"/>
      <c r="M83" s="1266"/>
    </row>
    <row r="84" spans="1:13" ht="15.75" customHeight="1">
      <c r="A84" s="1303">
        <v>4</v>
      </c>
      <c r="B84" s="1304" t="s">
        <v>3059</v>
      </c>
      <c r="C84" s="1109"/>
      <c r="D84" s="1279" t="s">
        <v>3051</v>
      </c>
      <c r="E84" s="1280" t="s">
        <v>3052</v>
      </c>
      <c r="F84" s="1247">
        <v>30</v>
      </c>
      <c r="G84" s="1251" t="s">
        <v>3020</v>
      </c>
      <c r="H84" s="1252">
        <f ca="1">IFERROR(__xludf.DUMMYFUNCTION("""COMPUTED_VALUE"""),1)</f>
        <v>1</v>
      </c>
      <c r="I84" s="1255">
        <f ca="1">IFERROR(__xludf.DUMMYFUNCTION("""COMPUTED_VALUE"""),0.0333333333333333)</f>
        <v>3.3333333333333298E-2</v>
      </c>
      <c r="J84" s="1256" t="s">
        <v>3020</v>
      </c>
      <c r="K84" s="1263"/>
      <c r="L84" s="1267">
        <f ca="1">IFERROR(__xludf.DUMMYFUNCTION("""COMPUTED_VALUE"""),0.22171341005291)</f>
        <v>0.22171341005291001</v>
      </c>
      <c r="M84" s="1270">
        <f ca="1">IFERROR(__xludf.DUMMYFUNCTION("""COMPUTED_VALUE"""),0.22171341005291)</f>
        <v>0.22171341005291001</v>
      </c>
    </row>
    <row r="85" spans="1:13" ht="15.75" customHeight="1">
      <c r="A85" s="1292"/>
      <c r="B85" s="1237"/>
      <c r="C85" s="1109"/>
      <c r="D85" s="1237"/>
      <c r="E85" s="1237"/>
      <c r="F85" s="1234"/>
      <c r="G85" s="1237"/>
      <c r="H85" s="1253"/>
      <c r="I85" s="1237"/>
      <c r="J85" s="1237"/>
      <c r="K85" s="1237"/>
      <c r="L85" s="1265"/>
      <c r="M85" s="1265"/>
    </row>
    <row r="86" spans="1:13" ht="15.75" customHeight="1">
      <c r="A86" s="1292"/>
      <c r="B86" s="1237"/>
      <c r="C86" s="1109"/>
      <c r="D86" s="1237"/>
      <c r="E86" s="1238"/>
      <c r="F86" s="1235"/>
      <c r="G86" s="1238"/>
      <c r="H86" s="1254"/>
      <c r="I86" s="1238"/>
      <c r="J86" s="1238"/>
      <c r="K86" s="1238"/>
      <c r="L86" s="1265"/>
      <c r="M86" s="1265"/>
    </row>
    <row r="87" spans="1:13" ht="15.75" customHeight="1">
      <c r="A87" s="1292"/>
      <c r="B87" s="1237"/>
      <c r="C87" s="1110"/>
      <c r="D87" s="1237"/>
      <c r="E87" s="1280" t="s">
        <v>3021</v>
      </c>
      <c r="F87" s="1247">
        <v>75</v>
      </c>
      <c r="G87" s="1236" t="s">
        <v>3022</v>
      </c>
      <c r="H87" s="1239">
        <f ca="1">IFERROR(__xludf.DUMMYFUNCTION("""COMPUTED_VALUE"""),26)</f>
        <v>26</v>
      </c>
      <c r="I87" s="1259">
        <f ca="1">IFERROR(__xludf.DUMMYFUNCTION("""COMPUTED_VALUE"""),0.346666666666666)</f>
        <v>0.34666666666666601</v>
      </c>
      <c r="J87" s="1236" t="s">
        <v>3022</v>
      </c>
      <c r="K87" s="1262"/>
      <c r="L87" s="1265"/>
      <c r="M87" s="1265"/>
    </row>
    <row r="88" spans="1:13" ht="15.75" customHeight="1">
      <c r="A88" s="1292"/>
      <c r="B88" s="1237"/>
      <c r="C88" s="1110"/>
      <c r="D88" s="1237"/>
      <c r="E88" s="1237"/>
      <c r="F88" s="1234"/>
      <c r="G88" s="1237"/>
      <c r="H88" s="1237"/>
      <c r="I88" s="1237"/>
      <c r="J88" s="1237"/>
      <c r="K88" s="1237"/>
      <c r="L88" s="1265"/>
      <c r="M88" s="1265"/>
    </row>
    <row r="89" spans="1:13" ht="15.75" customHeight="1">
      <c r="A89" s="1292"/>
      <c r="B89" s="1237"/>
      <c r="C89" s="1110"/>
      <c r="D89" s="1237"/>
      <c r="E89" s="1238"/>
      <c r="F89" s="1235"/>
      <c r="G89" s="1238"/>
      <c r="H89" s="1238"/>
      <c r="I89" s="1238"/>
      <c r="J89" s="1238"/>
      <c r="K89" s="1238"/>
      <c r="L89" s="1265"/>
      <c r="M89" s="1265"/>
    </row>
    <row r="90" spans="1:13" ht="15.75" customHeight="1">
      <c r="A90" s="1292"/>
      <c r="B90" s="1237"/>
      <c r="C90" s="1110"/>
      <c r="D90" s="1237"/>
      <c r="E90" s="1280" t="s">
        <v>3023</v>
      </c>
      <c r="F90" s="1233">
        <v>2</v>
      </c>
      <c r="G90" s="1236" t="s">
        <v>3024</v>
      </c>
      <c r="H90" s="1239">
        <f ca="1">IFERROR(__xludf.DUMMYFUNCTION("""COMPUTED_VALUE"""),0)</f>
        <v>0</v>
      </c>
      <c r="I90" s="1259">
        <f ca="1">IFERROR(__xludf.DUMMYFUNCTION("""COMPUTED_VALUE"""),0)</f>
        <v>0</v>
      </c>
      <c r="J90" s="1236" t="s">
        <v>3024</v>
      </c>
      <c r="K90" s="1262"/>
      <c r="L90" s="1265"/>
      <c r="M90" s="1265"/>
    </row>
    <row r="91" spans="1:13" ht="15.75" customHeight="1">
      <c r="A91" s="1292"/>
      <c r="B91" s="1237"/>
      <c r="C91" s="1110"/>
      <c r="D91" s="1237"/>
      <c r="E91" s="1237"/>
      <c r="F91" s="1234"/>
      <c r="G91" s="1237"/>
      <c r="H91" s="1237"/>
      <c r="I91" s="1237"/>
      <c r="J91" s="1237"/>
      <c r="K91" s="1237"/>
      <c r="L91" s="1265"/>
      <c r="M91" s="1265"/>
    </row>
    <row r="92" spans="1:13" ht="15.75" customHeight="1">
      <c r="A92" s="1292"/>
      <c r="B92" s="1237"/>
      <c r="C92" s="1110"/>
      <c r="D92" s="1237"/>
      <c r="E92" s="1238"/>
      <c r="F92" s="1235"/>
      <c r="G92" s="1238"/>
      <c r="H92" s="1238"/>
      <c r="I92" s="1238"/>
      <c r="J92" s="1238"/>
      <c r="K92" s="1238"/>
      <c r="L92" s="1265"/>
      <c r="M92" s="1265"/>
    </row>
    <row r="93" spans="1:13" ht="15.75" customHeight="1">
      <c r="A93" s="1292"/>
      <c r="B93" s="1237"/>
      <c r="C93" s="1110"/>
      <c r="D93" s="1237"/>
      <c r="E93" s="1280" t="s">
        <v>3025</v>
      </c>
      <c r="F93" s="1258">
        <v>2800000000</v>
      </c>
      <c r="G93" s="1236" t="s">
        <v>3026</v>
      </c>
      <c r="H93" s="1260">
        <f ca="1">IFERROR(__xludf.DUMMYFUNCTION("""COMPUTED_VALUE"""),509844600)</f>
        <v>509844600</v>
      </c>
      <c r="I93" s="1259">
        <f ca="1">IFERROR(__xludf.DUMMYFUNCTION("""COMPUTED_VALUE"""),0.182087357142857)</f>
        <v>0.18208735714285701</v>
      </c>
      <c r="J93" s="1236" t="s">
        <v>3026</v>
      </c>
      <c r="K93" s="1262"/>
      <c r="L93" s="1265"/>
      <c r="M93" s="1265"/>
    </row>
    <row r="94" spans="1:13" ht="15.75" customHeight="1">
      <c r="A94" s="1292"/>
      <c r="B94" s="1237"/>
      <c r="C94" s="1110"/>
      <c r="D94" s="1237"/>
      <c r="E94" s="1238"/>
      <c r="F94" s="1235"/>
      <c r="G94" s="1238"/>
      <c r="H94" s="1238"/>
      <c r="I94" s="1238"/>
      <c r="J94" s="1238"/>
      <c r="K94" s="1238"/>
      <c r="L94" s="1265"/>
      <c r="M94" s="1265"/>
    </row>
    <row r="95" spans="1:13" ht="15.75" customHeight="1">
      <c r="A95" s="1292"/>
      <c r="B95" s="1237"/>
      <c r="C95" s="1110"/>
      <c r="D95" s="1279" t="s">
        <v>3053</v>
      </c>
      <c r="E95" s="1280" t="s">
        <v>3054</v>
      </c>
      <c r="F95" s="1247">
        <v>5</v>
      </c>
      <c r="G95" s="1236" t="s">
        <v>1848</v>
      </c>
      <c r="H95" s="1239">
        <f ca="1">IFERROR(__xludf.DUMMYFUNCTION("""COMPUTED_VALUE"""),0)</f>
        <v>0</v>
      </c>
      <c r="I95" s="1259">
        <f ca="1">IFERROR(__xludf.DUMMYFUNCTION("""COMPUTED_VALUE"""),0)</f>
        <v>0</v>
      </c>
      <c r="J95" s="1236" t="s">
        <v>1848</v>
      </c>
      <c r="K95" s="1262"/>
      <c r="L95" s="1265"/>
      <c r="M95" s="1265"/>
    </row>
    <row r="96" spans="1:13" ht="15.75" customHeight="1">
      <c r="A96" s="1292"/>
      <c r="B96" s="1237"/>
      <c r="C96" s="1110"/>
      <c r="D96" s="1237"/>
      <c r="E96" s="1238"/>
      <c r="F96" s="1235"/>
      <c r="G96" s="1238"/>
      <c r="H96" s="1238"/>
      <c r="I96" s="1238"/>
      <c r="J96" s="1238"/>
      <c r="K96" s="1238"/>
      <c r="L96" s="1265"/>
      <c r="M96" s="1265"/>
    </row>
    <row r="97" spans="1:13" ht="15.75" customHeight="1">
      <c r="A97" s="1292"/>
      <c r="B97" s="1237"/>
      <c r="C97" s="1110"/>
      <c r="D97" s="1237"/>
      <c r="E97" s="1280" t="s">
        <v>3055</v>
      </c>
      <c r="F97" s="1247">
        <v>15</v>
      </c>
      <c r="G97" s="1236" t="s">
        <v>1848</v>
      </c>
      <c r="H97" s="1248">
        <f ca="1">IFERROR(__xludf.DUMMYFUNCTION("""COMPUTED_VALUE"""),8)</f>
        <v>8</v>
      </c>
      <c r="I97" s="1259">
        <f ca="1">IFERROR(__xludf.DUMMYFUNCTION("""COMPUTED_VALUE"""),0.533333333333333)</f>
        <v>0.53333333333333299</v>
      </c>
      <c r="J97" s="1236" t="s">
        <v>1848</v>
      </c>
      <c r="K97" s="1262"/>
      <c r="L97" s="1265"/>
      <c r="M97" s="1265"/>
    </row>
    <row r="98" spans="1:13" ht="15.75" customHeight="1">
      <c r="A98" s="1292"/>
      <c r="B98" s="1237"/>
      <c r="C98" s="1110"/>
      <c r="D98" s="1237"/>
      <c r="E98" s="1238"/>
      <c r="F98" s="1235"/>
      <c r="G98" s="1238"/>
      <c r="H98" s="1238"/>
      <c r="I98" s="1238"/>
      <c r="J98" s="1238"/>
      <c r="K98" s="1238"/>
      <c r="L98" s="1265"/>
      <c r="M98" s="1265"/>
    </row>
    <row r="99" spans="1:13" ht="15.75" customHeight="1">
      <c r="A99" s="1292"/>
      <c r="B99" s="1237"/>
      <c r="C99" s="1110"/>
      <c r="D99" s="1237"/>
      <c r="E99" s="1280" t="s">
        <v>3030</v>
      </c>
      <c r="F99" s="1247">
        <v>10</v>
      </c>
      <c r="G99" s="1236" t="s">
        <v>3031</v>
      </c>
      <c r="H99" s="1248">
        <f ca="1">IFERROR(__xludf.DUMMYFUNCTION("""COMPUTED_VALUE"""),3)</f>
        <v>3</v>
      </c>
      <c r="I99" s="1259">
        <f ca="1">IFERROR(__xludf.DUMMYFUNCTION("""COMPUTED_VALUE"""),0.3)</f>
        <v>0.3</v>
      </c>
      <c r="J99" s="1236" t="s">
        <v>3031</v>
      </c>
      <c r="K99" s="1262"/>
      <c r="L99" s="1265"/>
      <c r="M99" s="1265"/>
    </row>
    <row r="100" spans="1:13" ht="15.75" customHeight="1">
      <c r="A100" s="1292"/>
      <c r="B100" s="1237"/>
      <c r="C100" s="1110"/>
      <c r="D100" s="1237"/>
      <c r="E100" s="1238"/>
      <c r="F100" s="1235"/>
      <c r="G100" s="1238"/>
      <c r="H100" s="1238"/>
      <c r="I100" s="1238"/>
      <c r="J100" s="1238"/>
      <c r="K100" s="1238"/>
      <c r="L100" s="1265"/>
      <c r="M100" s="1265"/>
    </row>
    <row r="101" spans="1:13" ht="15.75" customHeight="1">
      <c r="A101" s="1292"/>
      <c r="B101" s="1237"/>
      <c r="C101" s="1110"/>
      <c r="D101" s="1237"/>
      <c r="E101" s="1280" t="s">
        <v>3056</v>
      </c>
      <c r="F101" s="1250">
        <v>5</v>
      </c>
      <c r="G101" s="1236" t="s">
        <v>3033</v>
      </c>
      <c r="H101" s="1248">
        <f ca="1">IFERROR(__xludf.DUMMYFUNCTION("""COMPUTED_VALUE"""),0)</f>
        <v>0</v>
      </c>
      <c r="I101" s="1259">
        <f ca="1">IFERROR(__xludf.DUMMYFUNCTION("""COMPUTED_VALUE"""),0)</f>
        <v>0</v>
      </c>
      <c r="J101" s="1236" t="s">
        <v>3033</v>
      </c>
      <c r="K101" s="1262"/>
      <c r="L101" s="1265"/>
      <c r="M101" s="1265"/>
    </row>
    <row r="102" spans="1:13" ht="15.75" customHeight="1">
      <c r="A102" s="1292"/>
      <c r="B102" s="1237"/>
      <c r="C102" s="1110"/>
      <c r="D102" s="1237"/>
      <c r="E102" s="1237"/>
      <c r="F102" s="1237"/>
      <c r="G102" s="1237"/>
      <c r="H102" s="1237"/>
      <c r="I102" s="1237"/>
      <c r="J102" s="1237"/>
      <c r="K102" s="1237"/>
      <c r="L102" s="1265"/>
      <c r="M102" s="1265"/>
    </row>
    <row r="103" spans="1:13" ht="15.75" customHeight="1">
      <c r="A103" s="1292"/>
      <c r="B103" s="1237"/>
      <c r="C103" s="1110"/>
      <c r="D103" s="1237"/>
      <c r="E103" s="1249"/>
      <c r="F103" s="1238"/>
      <c r="G103" s="1237"/>
      <c r="H103" s="1237"/>
      <c r="I103" s="1237"/>
      <c r="J103" s="1237"/>
      <c r="K103" s="1237"/>
      <c r="L103" s="1265"/>
      <c r="M103" s="1265"/>
    </row>
    <row r="104" spans="1:13" ht="15.75" customHeight="1">
      <c r="A104" s="1292"/>
      <c r="B104" s="1237"/>
      <c r="C104" s="1110"/>
      <c r="D104" s="1237"/>
      <c r="E104" s="1281" t="s">
        <v>3057</v>
      </c>
      <c r="F104" s="1247">
        <v>5</v>
      </c>
      <c r="G104" s="1236" t="s">
        <v>3033</v>
      </c>
      <c r="H104" s="1248">
        <f ca="1">IFERROR(__xludf.DUMMYFUNCTION("""COMPUTED_VALUE"""),3)</f>
        <v>3</v>
      </c>
      <c r="I104" s="1259">
        <f ca="1">IFERROR(__xludf.DUMMYFUNCTION("""COMPUTED_VALUE"""),0.6)</f>
        <v>0.6</v>
      </c>
      <c r="J104" s="1236" t="s">
        <v>3033</v>
      </c>
      <c r="K104" s="1262"/>
      <c r="L104" s="1265"/>
      <c r="M104" s="1265"/>
    </row>
    <row r="105" spans="1:13" ht="15.75" customHeight="1">
      <c r="A105" s="1292"/>
      <c r="B105" s="1237"/>
      <c r="C105" s="1110"/>
      <c r="D105" s="1237"/>
      <c r="E105" s="1237"/>
      <c r="F105" s="1234"/>
      <c r="G105" s="1237"/>
      <c r="H105" s="1237"/>
      <c r="I105" s="1237"/>
      <c r="J105" s="1237"/>
      <c r="K105" s="1237"/>
      <c r="L105" s="1265"/>
      <c r="M105" s="1265"/>
    </row>
    <row r="106" spans="1:13" ht="15.75" customHeight="1">
      <c r="A106" s="1292"/>
      <c r="B106" s="1237"/>
      <c r="C106" s="1110"/>
      <c r="D106" s="1249"/>
      <c r="E106" s="1238"/>
      <c r="F106" s="1257"/>
      <c r="G106" s="1249"/>
      <c r="H106" s="1249"/>
      <c r="I106" s="1249"/>
      <c r="J106" s="1249"/>
      <c r="K106" s="1249"/>
      <c r="L106" s="1268"/>
      <c r="M106" s="1268"/>
    </row>
    <row r="107" spans="1:13" ht="15.75" customHeight="1">
      <c r="A107" s="1292"/>
      <c r="B107" s="1237"/>
      <c r="C107" s="1110"/>
      <c r="D107" s="1290" t="s">
        <v>3035</v>
      </c>
      <c r="E107" s="1281" t="s">
        <v>3036</v>
      </c>
      <c r="F107" s="1240"/>
      <c r="G107" s="1241" t="s">
        <v>3037</v>
      </c>
      <c r="H107" s="1242">
        <f ca="1">IFERROR(__xludf.DUMMYFUNCTION("""COMPUTED_VALUE"""),533)</f>
        <v>533</v>
      </c>
      <c r="I107" s="1243"/>
      <c r="J107" s="1244" t="s">
        <v>3037</v>
      </c>
      <c r="K107" s="1244"/>
      <c r="L107" s="1269"/>
      <c r="M107" s="1264"/>
    </row>
    <row r="108" spans="1:13" ht="15.75" customHeight="1">
      <c r="A108" s="1292"/>
      <c r="B108" s="1237"/>
      <c r="C108" s="1110"/>
      <c r="D108" s="1237"/>
      <c r="E108" s="1238"/>
      <c r="F108" s="1238"/>
      <c r="G108" s="1238"/>
      <c r="H108" s="1238"/>
      <c r="I108" s="1238"/>
      <c r="J108" s="1238"/>
      <c r="K108" s="1238"/>
      <c r="L108" s="1265"/>
      <c r="M108" s="1265"/>
    </row>
    <row r="109" spans="1:13" ht="15.75" customHeight="1">
      <c r="A109" s="1292"/>
      <c r="B109" s="1237"/>
      <c r="C109" s="1110"/>
      <c r="D109" s="1237"/>
      <c r="E109" s="1281" t="s">
        <v>3038</v>
      </c>
      <c r="F109" s="1240"/>
      <c r="G109" s="1241" t="s">
        <v>3039</v>
      </c>
      <c r="H109" s="1246">
        <f ca="1">IFERROR(__xludf.DUMMYFUNCTION("""COMPUTED_VALUE"""),1)</f>
        <v>1</v>
      </c>
      <c r="I109" s="1243"/>
      <c r="J109" s="1244" t="s">
        <v>3039</v>
      </c>
      <c r="K109" s="1244"/>
      <c r="L109" s="1265"/>
      <c r="M109" s="1265"/>
    </row>
    <row r="110" spans="1:13" ht="15.75" customHeight="1">
      <c r="A110" s="1299"/>
      <c r="B110" s="1245"/>
      <c r="C110" s="1111"/>
      <c r="D110" s="1245"/>
      <c r="E110" s="1245"/>
      <c r="F110" s="1245"/>
      <c r="G110" s="1245"/>
      <c r="H110" s="1245"/>
      <c r="I110" s="1245"/>
      <c r="J110" s="1245"/>
      <c r="K110" s="1245"/>
      <c r="L110" s="1266"/>
      <c r="M110" s="1266"/>
    </row>
    <row r="111" spans="1:13" ht="15.75" customHeight="1">
      <c r="A111" s="1303">
        <v>5</v>
      </c>
      <c r="B111" s="1304" t="s">
        <v>271</v>
      </c>
      <c r="C111" s="1109"/>
      <c r="D111" s="1279" t="s">
        <v>3051</v>
      </c>
      <c r="E111" s="1280" t="s">
        <v>3052</v>
      </c>
      <c r="F111" s="1247">
        <v>30</v>
      </c>
      <c r="G111" s="1251" t="s">
        <v>3020</v>
      </c>
      <c r="H111" s="1252">
        <f ca="1">IFERROR(__xludf.DUMMYFUNCTION("""COMPUTED_VALUE"""),3)</f>
        <v>3</v>
      </c>
      <c r="I111" s="1255">
        <f ca="1">IFERROR(__xludf.DUMMYFUNCTION("""COMPUTED_VALUE"""),0.1)</f>
        <v>0.1</v>
      </c>
      <c r="J111" s="1256" t="s">
        <v>3020</v>
      </c>
      <c r="K111" s="1263"/>
      <c r="L111" s="1267">
        <f ca="1">IFERROR(__xludf.DUMMYFUNCTION("""COMPUTED_VALUE"""),0.248970023809523)</f>
        <v>0.24897002380952299</v>
      </c>
      <c r="M111" s="1270">
        <f ca="1">IFERROR(__xludf.DUMMYFUNCTION("""COMPUTED_VALUE"""),0.248970023809523)</f>
        <v>0.24897002380952299</v>
      </c>
    </row>
    <row r="112" spans="1:13" ht="15.75" customHeight="1">
      <c r="A112" s="1292"/>
      <c r="B112" s="1237"/>
      <c r="C112" s="1109"/>
      <c r="D112" s="1237"/>
      <c r="E112" s="1237"/>
      <c r="F112" s="1234"/>
      <c r="G112" s="1237"/>
      <c r="H112" s="1253"/>
      <c r="I112" s="1237"/>
      <c r="J112" s="1237"/>
      <c r="K112" s="1237"/>
      <c r="L112" s="1265"/>
      <c r="M112" s="1265"/>
    </row>
    <row r="113" spans="1:13" ht="15.75" customHeight="1">
      <c r="A113" s="1292"/>
      <c r="B113" s="1237"/>
      <c r="C113" s="1109"/>
      <c r="D113" s="1237"/>
      <c r="E113" s="1238"/>
      <c r="F113" s="1235"/>
      <c r="G113" s="1238"/>
      <c r="H113" s="1254"/>
      <c r="I113" s="1238"/>
      <c r="J113" s="1238"/>
      <c r="K113" s="1238"/>
      <c r="L113" s="1265"/>
      <c r="M113" s="1265"/>
    </row>
    <row r="114" spans="1:13" ht="15.75" customHeight="1">
      <c r="A114" s="1292"/>
      <c r="B114" s="1237"/>
      <c r="C114" s="1110"/>
      <c r="D114" s="1237"/>
      <c r="E114" s="1280" t="s">
        <v>3021</v>
      </c>
      <c r="F114" s="1247">
        <v>75</v>
      </c>
      <c r="G114" s="1236" t="s">
        <v>3022</v>
      </c>
      <c r="H114" s="1239">
        <f ca="1">IFERROR(__xludf.DUMMYFUNCTION("""COMPUTED_VALUE"""),35)</f>
        <v>35</v>
      </c>
      <c r="I114" s="1259">
        <f ca="1">IFERROR(__xludf.DUMMYFUNCTION("""COMPUTED_VALUE"""),0.466666666666666)</f>
        <v>0.46666666666666601</v>
      </c>
      <c r="J114" s="1236" t="s">
        <v>3022</v>
      </c>
      <c r="K114" s="1262"/>
      <c r="L114" s="1265"/>
      <c r="M114" s="1265"/>
    </row>
    <row r="115" spans="1:13" ht="15.75" customHeight="1">
      <c r="A115" s="1292"/>
      <c r="B115" s="1237"/>
      <c r="C115" s="1110"/>
      <c r="D115" s="1237"/>
      <c r="E115" s="1237"/>
      <c r="F115" s="1234"/>
      <c r="G115" s="1237"/>
      <c r="H115" s="1237"/>
      <c r="I115" s="1237"/>
      <c r="J115" s="1237"/>
      <c r="K115" s="1237"/>
      <c r="L115" s="1265"/>
      <c r="M115" s="1265"/>
    </row>
    <row r="116" spans="1:13" ht="15.75" customHeight="1">
      <c r="A116" s="1292"/>
      <c r="B116" s="1237"/>
      <c r="C116" s="1110"/>
      <c r="D116" s="1237"/>
      <c r="E116" s="1238"/>
      <c r="F116" s="1235"/>
      <c r="G116" s="1238"/>
      <c r="H116" s="1238"/>
      <c r="I116" s="1238"/>
      <c r="J116" s="1238"/>
      <c r="K116" s="1238"/>
      <c r="L116" s="1265"/>
      <c r="M116" s="1265"/>
    </row>
    <row r="117" spans="1:13" ht="15.75" customHeight="1">
      <c r="A117" s="1292"/>
      <c r="B117" s="1237"/>
      <c r="C117" s="1110"/>
      <c r="D117" s="1237"/>
      <c r="E117" s="1280" t="s">
        <v>3023</v>
      </c>
      <c r="F117" s="1233">
        <v>2</v>
      </c>
      <c r="G117" s="1236" t="s">
        <v>3024</v>
      </c>
      <c r="H117" s="1239">
        <f ca="1">IFERROR(__xludf.DUMMYFUNCTION("""COMPUTED_VALUE"""),0)</f>
        <v>0</v>
      </c>
      <c r="I117" s="1259">
        <f ca="1">IFERROR(__xludf.DUMMYFUNCTION("""COMPUTED_VALUE"""),0)</f>
        <v>0</v>
      </c>
      <c r="J117" s="1236" t="s">
        <v>3024</v>
      </c>
      <c r="K117" s="1262"/>
      <c r="L117" s="1265"/>
      <c r="M117" s="1265"/>
    </row>
    <row r="118" spans="1:13" ht="15.75" customHeight="1">
      <c r="A118" s="1292"/>
      <c r="B118" s="1237"/>
      <c r="C118" s="1110"/>
      <c r="D118" s="1237"/>
      <c r="E118" s="1237"/>
      <c r="F118" s="1234"/>
      <c r="G118" s="1237"/>
      <c r="H118" s="1237"/>
      <c r="I118" s="1237"/>
      <c r="J118" s="1237"/>
      <c r="K118" s="1237"/>
      <c r="L118" s="1265"/>
      <c r="M118" s="1265"/>
    </row>
    <row r="119" spans="1:13" ht="15.75" customHeight="1">
      <c r="A119" s="1292"/>
      <c r="B119" s="1237"/>
      <c r="C119" s="1110"/>
      <c r="D119" s="1237"/>
      <c r="E119" s="1238"/>
      <c r="F119" s="1235"/>
      <c r="G119" s="1238"/>
      <c r="H119" s="1238"/>
      <c r="I119" s="1238"/>
      <c r="J119" s="1238"/>
      <c r="K119" s="1238"/>
      <c r="L119" s="1265"/>
      <c r="M119" s="1265"/>
    </row>
    <row r="120" spans="1:13" ht="15.75" customHeight="1">
      <c r="A120" s="1292"/>
      <c r="B120" s="1237"/>
      <c r="C120" s="1110"/>
      <c r="D120" s="1237"/>
      <c r="E120" s="1280" t="s">
        <v>3025</v>
      </c>
      <c r="F120" s="1258">
        <v>2800000000</v>
      </c>
      <c r="G120" s="1236" t="s">
        <v>3026</v>
      </c>
      <c r="H120" s="1260">
        <f ca="1">IFERROR(__xludf.DUMMYFUNCTION("""COMPUTED_VALUE"""),674044600)</f>
        <v>674044600</v>
      </c>
      <c r="I120" s="1259">
        <f ca="1">IFERROR(__xludf.DUMMYFUNCTION("""COMPUTED_VALUE"""),0.240730214285714)</f>
        <v>0.24073021428571401</v>
      </c>
      <c r="J120" s="1236" t="s">
        <v>3026</v>
      </c>
      <c r="K120" s="1262"/>
      <c r="L120" s="1265"/>
      <c r="M120" s="1265"/>
    </row>
    <row r="121" spans="1:13" ht="15.75" customHeight="1">
      <c r="A121" s="1292"/>
      <c r="B121" s="1237"/>
      <c r="C121" s="1110"/>
      <c r="D121" s="1237"/>
      <c r="E121" s="1238"/>
      <c r="F121" s="1235"/>
      <c r="G121" s="1238"/>
      <c r="H121" s="1238"/>
      <c r="I121" s="1238"/>
      <c r="J121" s="1238"/>
      <c r="K121" s="1238"/>
      <c r="L121" s="1265"/>
      <c r="M121" s="1265"/>
    </row>
    <row r="122" spans="1:13" ht="15.75" customHeight="1">
      <c r="A122" s="1292"/>
      <c r="B122" s="1237"/>
      <c r="C122" s="1110"/>
      <c r="D122" s="1279" t="s">
        <v>3027</v>
      </c>
      <c r="E122" s="1280" t="s">
        <v>3054</v>
      </c>
      <c r="F122" s="1247">
        <v>5</v>
      </c>
      <c r="G122" s="1236" t="s">
        <v>1848</v>
      </c>
      <c r="H122" s="1239">
        <f ca="1">IFERROR(__xludf.DUMMYFUNCTION("""COMPUTED_VALUE"""),0)</f>
        <v>0</v>
      </c>
      <c r="I122" s="1259">
        <f ca="1">IFERROR(__xludf.DUMMYFUNCTION("""COMPUTED_VALUE"""),0)</f>
        <v>0</v>
      </c>
      <c r="J122" s="1236" t="s">
        <v>1848</v>
      </c>
      <c r="K122" s="1262"/>
      <c r="L122" s="1265"/>
      <c r="M122" s="1265"/>
    </row>
    <row r="123" spans="1:13" ht="15.75" customHeight="1">
      <c r="A123" s="1292"/>
      <c r="B123" s="1237"/>
      <c r="C123" s="1110"/>
      <c r="D123" s="1237"/>
      <c r="E123" s="1238"/>
      <c r="F123" s="1235"/>
      <c r="G123" s="1238"/>
      <c r="H123" s="1238"/>
      <c r="I123" s="1238"/>
      <c r="J123" s="1238"/>
      <c r="K123" s="1238"/>
      <c r="L123" s="1265"/>
      <c r="M123" s="1265"/>
    </row>
    <row r="124" spans="1:13" ht="15.75" customHeight="1">
      <c r="A124" s="1292"/>
      <c r="B124" s="1237"/>
      <c r="C124" s="1110"/>
      <c r="D124" s="1237"/>
      <c r="E124" s="1280" t="s">
        <v>3055</v>
      </c>
      <c r="F124" s="1247">
        <v>15</v>
      </c>
      <c r="G124" s="1236" t="s">
        <v>1848</v>
      </c>
      <c r="H124" s="1248">
        <f ca="1">IFERROR(__xludf.DUMMYFUNCTION("""COMPUTED_VALUE"""),8)</f>
        <v>8</v>
      </c>
      <c r="I124" s="1259">
        <f ca="1">IFERROR(__xludf.DUMMYFUNCTION("""COMPUTED_VALUE"""),0.533333333333333)</f>
        <v>0.53333333333333299</v>
      </c>
      <c r="J124" s="1236" t="s">
        <v>1848</v>
      </c>
      <c r="K124" s="1262"/>
      <c r="L124" s="1265"/>
      <c r="M124" s="1265"/>
    </row>
    <row r="125" spans="1:13" ht="15.75" customHeight="1">
      <c r="A125" s="1292"/>
      <c r="B125" s="1237"/>
      <c r="C125" s="1110"/>
      <c r="D125" s="1237"/>
      <c r="E125" s="1238"/>
      <c r="F125" s="1235"/>
      <c r="G125" s="1238"/>
      <c r="H125" s="1238"/>
      <c r="I125" s="1238"/>
      <c r="J125" s="1238"/>
      <c r="K125" s="1238"/>
      <c r="L125" s="1265"/>
      <c r="M125" s="1265"/>
    </row>
    <row r="126" spans="1:13" ht="15.75" customHeight="1">
      <c r="A126" s="1292"/>
      <c r="B126" s="1237"/>
      <c r="C126" s="1110"/>
      <c r="D126" s="1237"/>
      <c r="E126" s="1280" t="s">
        <v>3030</v>
      </c>
      <c r="F126" s="1247">
        <v>10</v>
      </c>
      <c r="G126" s="1236" t="s">
        <v>3031</v>
      </c>
      <c r="H126" s="1248">
        <f ca="1">IFERROR(__xludf.DUMMYFUNCTION("""COMPUTED_VALUE"""),3)</f>
        <v>3</v>
      </c>
      <c r="I126" s="1259">
        <f ca="1">IFERROR(__xludf.DUMMYFUNCTION("""COMPUTED_VALUE"""),0.3)</f>
        <v>0.3</v>
      </c>
      <c r="J126" s="1236" t="s">
        <v>3031</v>
      </c>
      <c r="K126" s="1262"/>
      <c r="L126" s="1265"/>
      <c r="M126" s="1265"/>
    </row>
    <row r="127" spans="1:13" ht="15.75" customHeight="1">
      <c r="A127" s="1292"/>
      <c r="B127" s="1237"/>
      <c r="C127" s="1110"/>
      <c r="D127" s="1237"/>
      <c r="E127" s="1238"/>
      <c r="F127" s="1235"/>
      <c r="G127" s="1238"/>
      <c r="H127" s="1238"/>
      <c r="I127" s="1238"/>
      <c r="J127" s="1238"/>
      <c r="K127" s="1238"/>
      <c r="L127" s="1265"/>
      <c r="M127" s="1265"/>
    </row>
    <row r="128" spans="1:13" ht="15.75" customHeight="1">
      <c r="A128" s="1292"/>
      <c r="B128" s="1237"/>
      <c r="C128" s="1110"/>
      <c r="D128" s="1237"/>
      <c r="E128" s="1280" t="s">
        <v>3056</v>
      </c>
      <c r="F128" s="1250">
        <v>5</v>
      </c>
      <c r="G128" s="1236" t="s">
        <v>3033</v>
      </c>
      <c r="H128" s="1248">
        <f ca="1">IFERROR(__xludf.DUMMYFUNCTION("""COMPUTED_VALUE"""),0)</f>
        <v>0</v>
      </c>
      <c r="I128" s="1259">
        <f ca="1">IFERROR(__xludf.DUMMYFUNCTION("""COMPUTED_VALUE"""),0)</f>
        <v>0</v>
      </c>
      <c r="J128" s="1236" t="s">
        <v>3033</v>
      </c>
      <c r="K128" s="1262"/>
      <c r="L128" s="1265"/>
      <c r="M128" s="1265"/>
    </row>
    <row r="129" spans="1:13" ht="15.75" customHeight="1">
      <c r="A129" s="1292"/>
      <c r="B129" s="1237"/>
      <c r="C129" s="1110"/>
      <c r="D129" s="1237"/>
      <c r="E129" s="1237"/>
      <c r="F129" s="1237"/>
      <c r="G129" s="1237"/>
      <c r="H129" s="1237"/>
      <c r="I129" s="1237"/>
      <c r="J129" s="1237"/>
      <c r="K129" s="1237"/>
      <c r="L129" s="1265"/>
      <c r="M129" s="1265"/>
    </row>
    <row r="130" spans="1:13" ht="15.75" customHeight="1">
      <c r="A130" s="1292"/>
      <c r="B130" s="1237"/>
      <c r="C130" s="1110"/>
      <c r="D130" s="1237"/>
      <c r="E130" s="1249"/>
      <c r="F130" s="1238"/>
      <c r="G130" s="1237"/>
      <c r="H130" s="1237"/>
      <c r="I130" s="1237"/>
      <c r="J130" s="1237"/>
      <c r="K130" s="1237"/>
      <c r="L130" s="1265"/>
      <c r="M130" s="1265"/>
    </row>
    <row r="131" spans="1:13" ht="15.75" customHeight="1">
      <c r="A131" s="1292"/>
      <c r="B131" s="1237"/>
      <c r="C131" s="1110"/>
      <c r="D131" s="1237"/>
      <c r="E131" s="1281" t="s">
        <v>3057</v>
      </c>
      <c r="F131" s="1247">
        <v>5</v>
      </c>
      <c r="G131" s="1236" t="s">
        <v>3033</v>
      </c>
      <c r="H131" s="1248">
        <f ca="1">IFERROR(__xludf.DUMMYFUNCTION("""COMPUTED_VALUE"""),3)</f>
        <v>3</v>
      </c>
      <c r="I131" s="1259">
        <f ca="1">IFERROR(__xludf.DUMMYFUNCTION("""COMPUTED_VALUE"""),0.6)</f>
        <v>0.6</v>
      </c>
      <c r="J131" s="1236" t="s">
        <v>3033</v>
      </c>
      <c r="K131" s="1262"/>
      <c r="L131" s="1265"/>
      <c r="M131" s="1265"/>
    </row>
    <row r="132" spans="1:13" ht="15.75" customHeight="1">
      <c r="A132" s="1292"/>
      <c r="B132" s="1237"/>
      <c r="C132" s="1110"/>
      <c r="D132" s="1237"/>
      <c r="E132" s="1237"/>
      <c r="F132" s="1234"/>
      <c r="G132" s="1237"/>
      <c r="H132" s="1237"/>
      <c r="I132" s="1237"/>
      <c r="J132" s="1237"/>
      <c r="K132" s="1237"/>
      <c r="L132" s="1265"/>
      <c r="M132" s="1265"/>
    </row>
    <row r="133" spans="1:13" ht="15.75" customHeight="1">
      <c r="A133" s="1292"/>
      <c r="B133" s="1237"/>
      <c r="C133" s="1110"/>
      <c r="D133" s="1249"/>
      <c r="E133" s="1238"/>
      <c r="F133" s="1257"/>
      <c r="G133" s="1249"/>
      <c r="H133" s="1249"/>
      <c r="I133" s="1249"/>
      <c r="J133" s="1249"/>
      <c r="K133" s="1249"/>
      <c r="L133" s="1268"/>
      <c r="M133" s="1268"/>
    </row>
    <row r="134" spans="1:13" ht="15.75" customHeight="1">
      <c r="A134" s="1292"/>
      <c r="B134" s="1237"/>
      <c r="C134" s="1110"/>
      <c r="D134" s="1290" t="s">
        <v>3035</v>
      </c>
      <c r="E134" s="1281" t="s">
        <v>3036</v>
      </c>
      <c r="F134" s="1240"/>
      <c r="G134" s="1241" t="s">
        <v>3037</v>
      </c>
      <c r="H134" s="1242">
        <f ca="1">IFERROR(__xludf.DUMMYFUNCTION("""COMPUTED_VALUE"""),649)</f>
        <v>649</v>
      </c>
      <c r="I134" s="1243"/>
      <c r="J134" s="1244" t="s">
        <v>3037</v>
      </c>
      <c r="K134" s="1244"/>
      <c r="L134" s="1269"/>
      <c r="M134" s="1264"/>
    </row>
    <row r="135" spans="1:13" ht="15.75" customHeight="1">
      <c r="A135" s="1292"/>
      <c r="B135" s="1237"/>
      <c r="C135" s="1110"/>
      <c r="D135" s="1237"/>
      <c r="E135" s="1238"/>
      <c r="F135" s="1238"/>
      <c r="G135" s="1238"/>
      <c r="H135" s="1238"/>
      <c r="I135" s="1238"/>
      <c r="J135" s="1238"/>
      <c r="K135" s="1238"/>
      <c r="L135" s="1265"/>
      <c r="M135" s="1265"/>
    </row>
    <row r="136" spans="1:13" ht="15.75" customHeight="1">
      <c r="A136" s="1292"/>
      <c r="B136" s="1237"/>
      <c r="C136" s="1110"/>
      <c r="D136" s="1237"/>
      <c r="E136" s="1281" t="s">
        <v>3038</v>
      </c>
      <c r="F136" s="1240"/>
      <c r="G136" s="1241" t="s">
        <v>3039</v>
      </c>
      <c r="H136" s="1246">
        <f ca="1">IFERROR(__xludf.DUMMYFUNCTION("""COMPUTED_VALUE"""),2)</f>
        <v>2</v>
      </c>
      <c r="I136" s="1243"/>
      <c r="J136" s="1244" t="s">
        <v>3039</v>
      </c>
      <c r="K136" s="1244"/>
      <c r="L136" s="1265"/>
      <c r="M136" s="1265"/>
    </row>
    <row r="137" spans="1:13" ht="15.75" customHeight="1">
      <c r="A137" s="1299"/>
      <c r="B137" s="1245"/>
      <c r="C137" s="1111"/>
      <c r="D137" s="1245"/>
      <c r="E137" s="1245"/>
      <c r="F137" s="1245"/>
      <c r="G137" s="1245"/>
      <c r="H137" s="1245"/>
      <c r="I137" s="1245"/>
      <c r="J137" s="1245"/>
      <c r="K137" s="1245"/>
      <c r="L137" s="1266"/>
      <c r="M137" s="1266"/>
    </row>
    <row r="138" spans="1:13" ht="15.75" customHeight="1">
      <c r="A138" s="1303">
        <v>6</v>
      </c>
      <c r="B138" s="1304" t="s">
        <v>3060</v>
      </c>
      <c r="C138" s="1109"/>
      <c r="D138" s="1279" t="s">
        <v>3051</v>
      </c>
      <c r="E138" s="1280" t="s">
        <v>3052</v>
      </c>
      <c r="F138" s="1247">
        <v>30</v>
      </c>
      <c r="G138" s="1251" t="s">
        <v>3020</v>
      </c>
      <c r="H138" s="1252">
        <f ca="1">IFERROR(__xludf.DUMMYFUNCTION("""COMPUTED_VALUE"""),3)</f>
        <v>3</v>
      </c>
      <c r="I138" s="1255">
        <f ca="1">IFERROR(__xludf.DUMMYFUNCTION("""COMPUTED_VALUE"""),0.1)</f>
        <v>0.1</v>
      </c>
      <c r="J138" s="1256" t="s">
        <v>3020</v>
      </c>
      <c r="K138" s="1263"/>
      <c r="L138" s="1267">
        <f ca="1">IFERROR(__xludf.DUMMYFUNCTION("""COMPUTED_VALUE"""),0.432108557354497)</f>
        <v>0.43210855735449699</v>
      </c>
      <c r="M138" s="1270">
        <f ca="1">IFERROR(__xludf.DUMMYFUNCTION("""COMPUTED_VALUE"""),0.424701149947089)</f>
        <v>0.42470114994708902</v>
      </c>
    </row>
    <row r="139" spans="1:13" ht="15.75" customHeight="1">
      <c r="A139" s="1292"/>
      <c r="B139" s="1237"/>
      <c r="C139" s="1109"/>
      <c r="D139" s="1237"/>
      <c r="E139" s="1237"/>
      <c r="F139" s="1234"/>
      <c r="G139" s="1237"/>
      <c r="H139" s="1253"/>
      <c r="I139" s="1237"/>
      <c r="J139" s="1237"/>
      <c r="K139" s="1237"/>
      <c r="L139" s="1265"/>
      <c r="M139" s="1265"/>
    </row>
    <row r="140" spans="1:13" ht="15.75" customHeight="1">
      <c r="A140" s="1292"/>
      <c r="B140" s="1237"/>
      <c r="C140" s="1109"/>
      <c r="D140" s="1237"/>
      <c r="E140" s="1238"/>
      <c r="F140" s="1235"/>
      <c r="G140" s="1238"/>
      <c r="H140" s="1254"/>
      <c r="I140" s="1238"/>
      <c r="J140" s="1238"/>
      <c r="K140" s="1238"/>
      <c r="L140" s="1265"/>
      <c r="M140" s="1265"/>
    </row>
    <row r="141" spans="1:13" ht="15.75" customHeight="1">
      <c r="A141" s="1292"/>
      <c r="B141" s="1237"/>
      <c r="C141" s="1110"/>
      <c r="D141" s="1237"/>
      <c r="E141" s="1280" t="s">
        <v>3021</v>
      </c>
      <c r="F141" s="1247">
        <v>75</v>
      </c>
      <c r="G141" s="1236" t="s">
        <v>3022</v>
      </c>
      <c r="H141" s="1239">
        <f ca="1">IFERROR(__xludf.DUMMYFUNCTION("""COMPUTED_VALUE"""),41)</f>
        <v>41</v>
      </c>
      <c r="I141" s="1259">
        <f ca="1">IFERROR(__xludf.DUMMYFUNCTION("""COMPUTED_VALUE"""),0.546666666666666)</f>
        <v>0.54666666666666597</v>
      </c>
      <c r="J141" s="1236" t="s">
        <v>3022</v>
      </c>
      <c r="K141" s="1262"/>
      <c r="L141" s="1265"/>
      <c r="M141" s="1265"/>
    </row>
    <row r="142" spans="1:13" ht="15.75" customHeight="1">
      <c r="A142" s="1292"/>
      <c r="B142" s="1237"/>
      <c r="C142" s="1110"/>
      <c r="D142" s="1237"/>
      <c r="E142" s="1237"/>
      <c r="F142" s="1234"/>
      <c r="G142" s="1237"/>
      <c r="H142" s="1237"/>
      <c r="I142" s="1237"/>
      <c r="J142" s="1237"/>
      <c r="K142" s="1237"/>
      <c r="L142" s="1265"/>
      <c r="M142" s="1265"/>
    </row>
    <row r="143" spans="1:13" ht="15.75" customHeight="1">
      <c r="A143" s="1292"/>
      <c r="B143" s="1237"/>
      <c r="C143" s="1110"/>
      <c r="D143" s="1237"/>
      <c r="E143" s="1238"/>
      <c r="F143" s="1235"/>
      <c r="G143" s="1238"/>
      <c r="H143" s="1238"/>
      <c r="I143" s="1238"/>
      <c r="J143" s="1238"/>
      <c r="K143" s="1238"/>
      <c r="L143" s="1265"/>
      <c r="M143" s="1265"/>
    </row>
    <row r="144" spans="1:13" ht="15.75" customHeight="1">
      <c r="A144" s="1292"/>
      <c r="B144" s="1237"/>
      <c r="C144" s="1110"/>
      <c r="D144" s="1237"/>
      <c r="E144" s="1280" t="s">
        <v>3023</v>
      </c>
      <c r="F144" s="1233">
        <v>2</v>
      </c>
      <c r="G144" s="1236" t="s">
        <v>3024</v>
      </c>
      <c r="H144" s="1239">
        <f ca="1">IFERROR(__xludf.DUMMYFUNCTION("""COMPUTED_VALUE"""),0)</f>
        <v>0</v>
      </c>
      <c r="I144" s="1259">
        <f ca="1">IFERROR(__xludf.DUMMYFUNCTION("""COMPUTED_VALUE"""),0)</f>
        <v>0</v>
      </c>
      <c r="J144" s="1236" t="s">
        <v>3024</v>
      </c>
      <c r="K144" s="1262"/>
      <c r="L144" s="1265"/>
      <c r="M144" s="1265"/>
    </row>
    <row r="145" spans="1:13" ht="15.75" customHeight="1">
      <c r="A145" s="1292"/>
      <c r="B145" s="1237"/>
      <c r="C145" s="1110"/>
      <c r="D145" s="1237"/>
      <c r="E145" s="1237"/>
      <c r="F145" s="1234"/>
      <c r="G145" s="1237"/>
      <c r="H145" s="1237"/>
      <c r="I145" s="1237"/>
      <c r="J145" s="1237"/>
      <c r="K145" s="1237"/>
      <c r="L145" s="1265"/>
      <c r="M145" s="1265"/>
    </row>
    <row r="146" spans="1:13" ht="15.75" customHeight="1">
      <c r="A146" s="1292"/>
      <c r="B146" s="1237"/>
      <c r="C146" s="1110"/>
      <c r="D146" s="1237"/>
      <c r="E146" s="1238"/>
      <c r="F146" s="1235"/>
      <c r="G146" s="1238"/>
      <c r="H146" s="1238"/>
      <c r="I146" s="1238"/>
      <c r="J146" s="1238"/>
      <c r="K146" s="1238"/>
      <c r="L146" s="1265"/>
      <c r="M146" s="1265"/>
    </row>
    <row r="147" spans="1:13" ht="15.75" customHeight="1">
      <c r="A147" s="1292"/>
      <c r="B147" s="1237"/>
      <c r="C147" s="1110"/>
      <c r="D147" s="1237"/>
      <c r="E147" s="1280" t="s">
        <v>3025</v>
      </c>
      <c r="F147" s="1258">
        <v>2800000000</v>
      </c>
      <c r="G147" s="1236" t="s">
        <v>3026</v>
      </c>
      <c r="H147" s="1260">
        <f ca="1">IFERROR(__xludf.DUMMYFUNCTION("""COMPUTED_VALUE"""),771802312)</f>
        <v>771802312</v>
      </c>
      <c r="I147" s="1259">
        <f ca="1">IFERROR(__xludf.DUMMYFUNCTION("""COMPUTED_VALUE"""),0.275643682857142)</f>
        <v>0.27564368285714203</v>
      </c>
      <c r="J147" s="1236" t="s">
        <v>3026</v>
      </c>
      <c r="K147" s="1262"/>
      <c r="L147" s="1265"/>
      <c r="M147" s="1265"/>
    </row>
    <row r="148" spans="1:13" ht="15.75" customHeight="1">
      <c r="A148" s="1292"/>
      <c r="B148" s="1237"/>
      <c r="C148" s="1110"/>
      <c r="D148" s="1237"/>
      <c r="E148" s="1238"/>
      <c r="F148" s="1235"/>
      <c r="G148" s="1238"/>
      <c r="H148" s="1238"/>
      <c r="I148" s="1238"/>
      <c r="J148" s="1238"/>
      <c r="K148" s="1238"/>
      <c r="L148" s="1265"/>
      <c r="M148" s="1265"/>
    </row>
    <row r="149" spans="1:13" ht="15.75" customHeight="1">
      <c r="A149" s="1292"/>
      <c r="B149" s="1237"/>
      <c r="C149" s="1110"/>
      <c r="D149" s="1279" t="s">
        <v>3053</v>
      </c>
      <c r="E149" s="1280" t="s">
        <v>3054</v>
      </c>
      <c r="F149" s="1247">
        <v>5</v>
      </c>
      <c r="G149" s="1236" t="s">
        <v>1848</v>
      </c>
      <c r="H149" s="1239">
        <f ca="1">IFERROR(__xludf.DUMMYFUNCTION("""COMPUTED_VALUE"""),0)</f>
        <v>0</v>
      </c>
      <c r="I149" s="1259">
        <f ca="1">IFERROR(__xludf.DUMMYFUNCTION("""COMPUTED_VALUE"""),0)</f>
        <v>0</v>
      </c>
      <c r="J149" s="1236" t="s">
        <v>1848</v>
      </c>
      <c r="K149" s="1262"/>
      <c r="L149" s="1265"/>
      <c r="M149" s="1265"/>
    </row>
    <row r="150" spans="1:13" ht="15.75" customHeight="1">
      <c r="A150" s="1292"/>
      <c r="B150" s="1237"/>
      <c r="C150" s="1110"/>
      <c r="D150" s="1237"/>
      <c r="E150" s="1238"/>
      <c r="F150" s="1235"/>
      <c r="G150" s="1238"/>
      <c r="H150" s="1238"/>
      <c r="I150" s="1238"/>
      <c r="J150" s="1238"/>
      <c r="K150" s="1238"/>
      <c r="L150" s="1265"/>
      <c r="M150" s="1265"/>
    </row>
    <row r="151" spans="1:13" ht="15.75" customHeight="1">
      <c r="A151" s="1292"/>
      <c r="B151" s="1237"/>
      <c r="C151" s="1110"/>
      <c r="D151" s="1237"/>
      <c r="E151" s="1280" t="s">
        <v>3055</v>
      </c>
      <c r="F151" s="1247">
        <v>15</v>
      </c>
      <c r="G151" s="1236" t="s">
        <v>1848</v>
      </c>
      <c r="H151" s="1248">
        <f ca="1">IFERROR(__xludf.DUMMYFUNCTION("""COMPUTED_VALUE"""),16)</f>
        <v>16</v>
      </c>
      <c r="I151" s="1259">
        <f ca="1">IFERROR(__xludf.DUMMYFUNCTION("""COMPUTED_VALUE"""),1.06666666666666)</f>
        <v>1.06666666666666</v>
      </c>
      <c r="J151" s="1236" t="s">
        <v>1848</v>
      </c>
      <c r="K151" s="1262"/>
      <c r="L151" s="1265"/>
      <c r="M151" s="1265"/>
    </row>
    <row r="152" spans="1:13" ht="15.75" customHeight="1">
      <c r="A152" s="1292"/>
      <c r="B152" s="1237"/>
      <c r="C152" s="1110"/>
      <c r="D152" s="1237"/>
      <c r="E152" s="1238"/>
      <c r="F152" s="1235"/>
      <c r="G152" s="1238"/>
      <c r="H152" s="1238"/>
      <c r="I152" s="1238"/>
      <c r="J152" s="1238"/>
      <c r="K152" s="1238"/>
      <c r="L152" s="1265"/>
      <c r="M152" s="1265"/>
    </row>
    <row r="153" spans="1:13" ht="15.75" customHeight="1">
      <c r="A153" s="1292"/>
      <c r="B153" s="1237"/>
      <c r="C153" s="1110"/>
      <c r="D153" s="1237"/>
      <c r="E153" s="1280" t="s">
        <v>3030</v>
      </c>
      <c r="F153" s="1247">
        <v>10</v>
      </c>
      <c r="G153" s="1236" t="s">
        <v>3031</v>
      </c>
      <c r="H153" s="1248">
        <f ca="1">IFERROR(__xludf.DUMMYFUNCTION("""COMPUTED_VALUE"""),3)</f>
        <v>3</v>
      </c>
      <c r="I153" s="1259">
        <f ca="1">IFERROR(__xludf.DUMMYFUNCTION("""COMPUTED_VALUE"""),0.3)</f>
        <v>0.3</v>
      </c>
      <c r="J153" s="1236" t="s">
        <v>3031</v>
      </c>
      <c r="K153" s="1262"/>
      <c r="L153" s="1265"/>
      <c r="M153" s="1265"/>
    </row>
    <row r="154" spans="1:13" ht="15.75" customHeight="1">
      <c r="A154" s="1292"/>
      <c r="B154" s="1237"/>
      <c r="C154" s="1110"/>
      <c r="D154" s="1237"/>
      <c r="E154" s="1238"/>
      <c r="F154" s="1235"/>
      <c r="G154" s="1238"/>
      <c r="H154" s="1238"/>
      <c r="I154" s="1238"/>
      <c r="J154" s="1238"/>
      <c r="K154" s="1238"/>
      <c r="L154" s="1265"/>
      <c r="M154" s="1265"/>
    </row>
    <row r="155" spans="1:13" ht="15.75" customHeight="1">
      <c r="A155" s="1292"/>
      <c r="B155" s="1237"/>
      <c r="C155" s="1110"/>
      <c r="D155" s="1237"/>
      <c r="E155" s="1280" t="s">
        <v>3056</v>
      </c>
      <c r="F155" s="1250">
        <v>5</v>
      </c>
      <c r="G155" s="1236" t="s">
        <v>3033</v>
      </c>
      <c r="H155" s="1248">
        <f ca="1">IFERROR(__xludf.DUMMYFUNCTION("""COMPUTED_VALUE"""),4)</f>
        <v>4</v>
      </c>
      <c r="I155" s="1259">
        <f ca="1">IFERROR(__xludf.DUMMYFUNCTION("""COMPUTED_VALUE"""),0.8)</f>
        <v>0.8</v>
      </c>
      <c r="J155" s="1236" t="s">
        <v>3033</v>
      </c>
      <c r="K155" s="1262"/>
      <c r="L155" s="1265"/>
      <c r="M155" s="1265"/>
    </row>
    <row r="156" spans="1:13" ht="15.75" customHeight="1">
      <c r="A156" s="1292"/>
      <c r="B156" s="1237"/>
      <c r="C156" s="1110"/>
      <c r="D156" s="1237"/>
      <c r="E156" s="1237"/>
      <c r="F156" s="1237"/>
      <c r="G156" s="1237"/>
      <c r="H156" s="1237"/>
      <c r="I156" s="1237"/>
      <c r="J156" s="1237"/>
      <c r="K156" s="1237"/>
      <c r="L156" s="1265"/>
      <c r="M156" s="1265"/>
    </row>
    <row r="157" spans="1:13" ht="15.75" customHeight="1">
      <c r="A157" s="1292"/>
      <c r="B157" s="1237"/>
      <c r="C157" s="1110"/>
      <c r="D157" s="1237"/>
      <c r="E157" s="1249"/>
      <c r="F157" s="1238"/>
      <c r="G157" s="1237"/>
      <c r="H157" s="1237"/>
      <c r="I157" s="1237"/>
      <c r="J157" s="1237"/>
      <c r="K157" s="1237"/>
      <c r="L157" s="1265"/>
      <c r="M157" s="1265"/>
    </row>
    <row r="158" spans="1:13" ht="15.75" customHeight="1">
      <c r="A158" s="1292"/>
      <c r="B158" s="1237"/>
      <c r="C158" s="1110"/>
      <c r="D158" s="1237"/>
      <c r="E158" s="1281" t="s">
        <v>3057</v>
      </c>
      <c r="F158" s="1247">
        <v>5</v>
      </c>
      <c r="G158" s="1236" t="s">
        <v>3033</v>
      </c>
      <c r="H158" s="1248">
        <f ca="1">IFERROR(__xludf.DUMMYFUNCTION("""COMPUTED_VALUE"""),4)</f>
        <v>4</v>
      </c>
      <c r="I158" s="1259">
        <f ca="1">IFERROR(__xludf.DUMMYFUNCTION("""COMPUTED_VALUE"""),0.8)</f>
        <v>0.8</v>
      </c>
      <c r="J158" s="1236" t="s">
        <v>3033</v>
      </c>
      <c r="K158" s="1262"/>
      <c r="L158" s="1265"/>
      <c r="M158" s="1265"/>
    </row>
    <row r="159" spans="1:13" ht="15.75" customHeight="1">
      <c r="A159" s="1292"/>
      <c r="B159" s="1237"/>
      <c r="C159" s="1110"/>
      <c r="D159" s="1237"/>
      <c r="E159" s="1237"/>
      <c r="F159" s="1234"/>
      <c r="G159" s="1237"/>
      <c r="H159" s="1237"/>
      <c r="I159" s="1237"/>
      <c r="J159" s="1237"/>
      <c r="K159" s="1237"/>
      <c r="L159" s="1265"/>
      <c r="M159" s="1265"/>
    </row>
    <row r="160" spans="1:13" ht="15.75" customHeight="1">
      <c r="A160" s="1292"/>
      <c r="B160" s="1237"/>
      <c r="C160" s="1110"/>
      <c r="D160" s="1249"/>
      <c r="E160" s="1238"/>
      <c r="F160" s="1257"/>
      <c r="G160" s="1249"/>
      <c r="H160" s="1249"/>
      <c r="I160" s="1249"/>
      <c r="J160" s="1249"/>
      <c r="K160" s="1249"/>
      <c r="L160" s="1268"/>
      <c r="M160" s="1268"/>
    </row>
    <row r="161" spans="1:13" ht="15.75" customHeight="1">
      <c r="A161" s="1292"/>
      <c r="B161" s="1237"/>
      <c r="C161" s="1110"/>
      <c r="D161" s="1290" t="s">
        <v>3035</v>
      </c>
      <c r="E161" s="1281" t="s">
        <v>3036</v>
      </c>
      <c r="F161" s="1240"/>
      <c r="G161" s="1241" t="s">
        <v>3037</v>
      </c>
      <c r="H161" s="1242">
        <f ca="1">IFERROR(__xludf.DUMMYFUNCTION("""COMPUTED_VALUE"""),763)</f>
        <v>763</v>
      </c>
      <c r="I161" s="1243"/>
      <c r="J161" s="1244" t="s">
        <v>3037</v>
      </c>
      <c r="K161" s="1244"/>
      <c r="L161" s="1269"/>
      <c r="M161" s="1264"/>
    </row>
    <row r="162" spans="1:13" ht="15.75" customHeight="1">
      <c r="A162" s="1292"/>
      <c r="B162" s="1237"/>
      <c r="C162" s="1110"/>
      <c r="D162" s="1237"/>
      <c r="E162" s="1238"/>
      <c r="F162" s="1238"/>
      <c r="G162" s="1238"/>
      <c r="H162" s="1238"/>
      <c r="I162" s="1238"/>
      <c r="J162" s="1238"/>
      <c r="K162" s="1238"/>
      <c r="L162" s="1265"/>
      <c r="M162" s="1265"/>
    </row>
    <row r="163" spans="1:13" ht="15.75" customHeight="1">
      <c r="A163" s="1292"/>
      <c r="B163" s="1237"/>
      <c r="C163" s="1110"/>
      <c r="D163" s="1237"/>
      <c r="E163" s="1281" t="s">
        <v>3038</v>
      </c>
      <c r="F163" s="1240"/>
      <c r="G163" s="1241" t="s">
        <v>3039</v>
      </c>
      <c r="H163" s="1246">
        <f ca="1">IFERROR(__xludf.DUMMYFUNCTION("""COMPUTED_VALUE"""),2)</f>
        <v>2</v>
      </c>
      <c r="I163" s="1243"/>
      <c r="J163" s="1244" t="s">
        <v>3039</v>
      </c>
      <c r="K163" s="1244"/>
      <c r="L163" s="1265"/>
      <c r="M163" s="1265"/>
    </row>
    <row r="164" spans="1:13" ht="15.75" customHeight="1">
      <c r="A164" s="1299"/>
      <c r="B164" s="1245"/>
      <c r="C164" s="1111"/>
      <c r="D164" s="1245"/>
      <c r="E164" s="1245"/>
      <c r="F164" s="1245"/>
      <c r="G164" s="1245"/>
      <c r="H164" s="1245"/>
      <c r="I164" s="1245"/>
      <c r="J164" s="1245"/>
      <c r="K164" s="1245"/>
      <c r="L164" s="1266"/>
      <c r="M164" s="1266"/>
    </row>
    <row r="165" spans="1:13" ht="15.75" customHeight="1">
      <c r="A165" s="1303">
        <v>7</v>
      </c>
      <c r="B165" s="1304" t="s">
        <v>3061</v>
      </c>
      <c r="C165" s="1109"/>
      <c r="D165" s="1279" t="s">
        <v>3051</v>
      </c>
      <c r="E165" s="1280" t="s">
        <v>3052</v>
      </c>
      <c r="F165" s="1247">
        <v>30</v>
      </c>
      <c r="G165" s="1251" t="s">
        <v>3020</v>
      </c>
      <c r="H165" s="1252">
        <f ca="1">IFERROR(__xludf.DUMMYFUNCTION("""COMPUTED_VALUE"""),4)</f>
        <v>4</v>
      </c>
      <c r="I165" s="1255">
        <f ca="1">IFERROR(__xludf.DUMMYFUNCTION("""COMPUTED_VALUE"""),0.133333333333333)</f>
        <v>0.133333333333333</v>
      </c>
      <c r="J165" s="1256" t="s">
        <v>3020</v>
      </c>
      <c r="K165" s="1263"/>
      <c r="L165" s="1267">
        <f ca="1">IFERROR(__xludf.DUMMYFUNCTION("""COMPUTED_VALUE"""),0.565304128783068)</f>
        <v>0.56530412878306802</v>
      </c>
      <c r="M165" s="1270">
        <f ca="1">IFERROR(__xludf.DUMMYFUNCTION("""COMPUTED_VALUE"""),0.550489313968254)</f>
        <v>0.55048931396825396</v>
      </c>
    </row>
    <row r="166" spans="1:13" ht="15.75" customHeight="1">
      <c r="A166" s="1292"/>
      <c r="B166" s="1237"/>
      <c r="C166" s="1109"/>
      <c r="D166" s="1237"/>
      <c r="E166" s="1237"/>
      <c r="F166" s="1234"/>
      <c r="G166" s="1237"/>
      <c r="H166" s="1253"/>
      <c r="I166" s="1237"/>
      <c r="J166" s="1237"/>
      <c r="K166" s="1237"/>
      <c r="L166" s="1265"/>
      <c r="M166" s="1265"/>
    </row>
    <row r="167" spans="1:13" ht="15.75" customHeight="1">
      <c r="A167" s="1292"/>
      <c r="B167" s="1237"/>
      <c r="C167" s="1109"/>
      <c r="D167" s="1237"/>
      <c r="E167" s="1238"/>
      <c r="F167" s="1235"/>
      <c r="G167" s="1238"/>
      <c r="H167" s="1254"/>
      <c r="I167" s="1238"/>
      <c r="J167" s="1238"/>
      <c r="K167" s="1238"/>
      <c r="L167" s="1265"/>
      <c r="M167" s="1265"/>
    </row>
    <row r="168" spans="1:13" ht="15.75" customHeight="1">
      <c r="A168" s="1292"/>
      <c r="B168" s="1237"/>
      <c r="C168" s="1110"/>
      <c r="D168" s="1237"/>
      <c r="E168" s="1280" t="s">
        <v>3021</v>
      </c>
      <c r="F168" s="1247">
        <v>75</v>
      </c>
      <c r="G168" s="1236" t="s">
        <v>3022</v>
      </c>
      <c r="H168" s="1239">
        <f ca="1">IFERROR(__xludf.DUMMYFUNCTION("""COMPUTED_VALUE"""),47)</f>
        <v>47</v>
      </c>
      <c r="I168" s="1259">
        <f ca="1">IFERROR(__xludf.DUMMYFUNCTION("""COMPUTED_VALUE"""),0.626666666666666)</f>
        <v>0.62666666666666604</v>
      </c>
      <c r="J168" s="1236" t="s">
        <v>3022</v>
      </c>
      <c r="K168" s="1262"/>
      <c r="L168" s="1265"/>
      <c r="M168" s="1265"/>
    </row>
    <row r="169" spans="1:13" ht="15.75" customHeight="1">
      <c r="A169" s="1292"/>
      <c r="B169" s="1237"/>
      <c r="C169" s="1110"/>
      <c r="D169" s="1237"/>
      <c r="E169" s="1237"/>
      <c r="F169" s="1234"/>
      <c r="G169" s="1237"/>
      <c r="H169" s="1237"/>
      <c r="I169" s="1237"/>
      <c r="J169" s="1237"/>
      <c r="K169" s="1237"/>
      <c r="L169" s="1265"/>
      <c r="M169" s="1265"/>
    </row>
    <row r="170" spans="1:13" ht="15.75" customHeight="1">
      <c r="A170" s="1292"/>
      <c r="B170" s="1237"/>
      <c r="C170" s="1110"/>
      <c r="D170" s="1237"/>
      <c r="E170" s="1238"/>
      <c r="F170" s="1235"/>
      <c r="G170" s="1238"/>
      <c r="H170" s="1238"/>
      <c r="I170" s="1238"/>
      <c r="J170" s="1238"/>
      <c r="K170" s="1238"/>
      <c r="L170" s="1265"/>
      <c r="M170" s="1265"/>
    </row>
    <row r="171" spans="1:13" ht="15.75" customHeight="1">
      <c r="A171" s="1292"/>
      <c r="B171" s="1237"/>
      <c r="C171" s="1110"/>
      <c r="D171" s="1237"/>
      <c r="E171" s="1280" t="s">
        <v>3023</v>
      </c>
      <c r="F171" s="1233">
        <v>2</v>
      </c>
      <c r="G171" s="1236" t="s">
        <v>3024</v>
      </c>
      <c r="H171" s="1239">
        <f ca="1">IFERROR(__xludf.DUMMYFUNCTION("""COMPUTED_VALUE"""),0)</f>
        <v>0</v>
      </c>
      <c r="I171" s="1259">
        <f ca="1">IFERROR(__xludf.DUMMYFUNCTION("""COMPUTED_VALUE"""),0)</f>
        <v>0</v>
      </c>
      <c r="J171" s="1236" t="s">
        <v>3024</v>
      </c>
      <c r="K171" s="1262"/>
      <c r="L171" s="1265"/>
      <c r="M171" s="1265"/>
    </row>
    <row r="172" spans="1:13" ht="15.75" customHeight="1">
      <c r="A172" s="1292"/>
      <c r="B172" s="1237"/>
      <c r="C172" s="1110"/>
      <c r="D172" s="1237"/>
      <c r="E172" s="1237"/>
      <c r="F172" s="1234"/>
      <c r="G172" s="1237"/>
      <c r="H172" s="1237"/>
      <c r="I172" s="1237"/>
      <c r="J172" s="1237"/>
      <c r="K172" s="1237"/>
      <c r="L172" s="1265"/>
      <c r="M172" s="1265"/>
    </row>
    <row r="173" spans="1:13" ht="15.75" customHeight="1">
      <c r="A173" s="1292"/>
      <c r="B173" s="1237"/>
      <c r="C173" s="1110"/>
      <c r="D173" s="1237"/>
      <c r="E173" s="1238"/>
      <c r="F173" s="1235"/>
      <c r="G173" s="1238"/>
      <c r="H173" s="1238"/>
      <c r="I173" s="1238"/>
      <c r="J173" s="1238"/>
      <c r="K173" s="1238"/>
      <c r="L173" s="1265"/>
      <c r="M173" s="1265"/>
    </row>
    <row r="174" spans="1:13" ht="15.75" customHeight="1">
      <c r="A174" s="1292"/>
      <c r="B174" s="1237"/>
      <c r="C174" s="1110"/>
      <c r="D174" s="1237"/>
      <c r="E174" s="1280" t="s">
        <v>3025</v>
      </c>
      <c r="F174" s="1258">
        <v>2800000000</v>
      </c>
      <c r="G174" s="1236" t="s">
        <v>3026</v>
      </c>
      <c r="H174" s="1260">
        <f ca="1">IFERROR(__xludf.DUMMYFUNCTION("""COMPUTED_VALUE"""),824330712)</f>
        <v>824330712</v>
      </c>
      <c r="I174" s="1259">
        <f ca="1">IFERROR(__xludf.DUMMYFUNCTION("""COMPUTED_VALUE"""),0.294403825714285)</f>
        <v>0.29440382571428497</v>
      </c>
      <c r="J174" s="1236" t="s">
        <v>3026</v>
      </c>
      <c r="K174" s="1262"/>
      <c r="L174" s="1265"/>
      <c r="M174" s="1265"/>
    </row>
    <row r="175" spans="1:13" ht="21" customHeight="1">
      <c r="A175" s="1292"/>
      <c r="B175" s="1237"/>
      <c r="C175" s="1110"/>
      <c r="D175" s="1237"/>
      <c r="E175" s="1238"/>
      <c r="F175" s="1235"/>
      <c r="G175" s="1238"/>
      <c r="H175" s="1238"/>
      <c r="I175" s="1238"/>
      <c r="J175" s="1238"/>
      <c r="K175" s="1238"/>
      <c r="L175" s="1265"/>
      <c r="M175" s="1265"/>
    </row>
    <row r="176" spans="1:13" ht="33" customHeight="1">
      <c r="A176" s="1292"/>
      <c r="B176" s="1237"/>
      <c r="C176" s="1110"/>
      <c r="D176" s="1279" t="s">
        <v>3053</v>
      </c>
      <c r="E176" s="1280" t="s">
        <v>3062</v>
      </c>
      <c r="F176" s="1247">
        <v>5</v>
      </c>
      <c r="G176" s="1236" t="s">
        <v>1848</v>
      </c>
      <c r="H176" s="1239">
        <f ca="1">IFERROR(__xludf.DUMMYFUNCTION("""COMPUTED_VALUE"""),3)</f>
        <v>3</v>
      </c>
      <c r="I176" s="1259">
        <f ca="1">IFERROR(__xludf.DUMMYFUNCTION("""COMPUTED_VALUE"""),0.6)</f>
        <v>0.6</v>
      </c>
      <c r="J176" s="1236" t="s">
        <v>1848</v>
      </c>
      <c r="K176" s="1262"/>
      <c r="L176" s="1265"/>
      <c r="M176" s="1265"/>
    </row>
    <row r="177" spans="1:13" ht="33" customHeight="1">
      <c r="A177" s="1292"/>
      <c r="B177" s="1237"/>
      <c r="C177" s="1110"/>
      <c r="D177" s="1237"/>
      <c r="E177" s="1238"/>
      <c r="F177" s="1235"/>
      <c r="G177" s="1238"/>
      <c r="H177" s="1238"/>
      <c r="I177" s="1238"/>
      <c r="J177" s="1238"/>
      <c r="K177" s="1238"/>
      <c r="L177" s="1265"/>
      <c r="M177" s="1265"/>
    </row>
    <row r="178" spans="1:13" ht="30.75" customHeight="1">
      <c r="A178" s="1292"/>
      <c r="B178" s="1237"/>
      <c r="C178" s="1110"/>
      <c r="D178" s="1237"/>
      <c r="E178" s="1280" t="s">
        <v>3063</v>
      </c>
      <c r="F178" s="1247">
        <v>15</v>
      </c>
      <c r="G178" s="1236" t="s">
        <v>1848</v>
      </c>
      <c r="H178" s="1248">
        <f ca="1">IFERROR(__xludf.DUMMYFUNCTION("""COMPUTED_VALUE"""),17)</f>
        <v>17</v>
      </c>
      <c r="I178" s="1259">
        <f ca="1">IFERROR(__xludf.DUMMYFUNCTION("""COMPUTED_VALUE"""),1.13333333333333)</f>
        <v>1.13333333333333</v>
      </c>
      <c r="J178" s="1236" t="s">
        <v>1848</v>
      </c>
      <c r="K178" s="1262"/>
      <c r="L178" s="1265"/>
      <c r="M178" s="1265"/>
    </row>
    <row r="179" spans="1:13" ht="19.5" customHeight="1">
      <c r="A179" s="1292"/>
      <c r="B179" s="1237"/>
      <c r="C179" s="1110"/>
      <c r="D179" s="1237"/>
      <c r="E179" s="1238"/>
      <c r="F179" s="1235"/>
      <c r="G179" s="1238"/>
      <c r="H179" s="1238"/>
      <c r="I179" s="1238"/>
      <c r="J179" s="1238"/>
      <c r="K179" s="1238"/>
      <c r="L179" s="1265"/>
      <c r="M179" s="1265"/>
    </row>
    <row r="180" spans="1:13" ht="15.75" customHeight="1">
      <c r="A180" s="1292"/>
      <c r="B180" s="1237"/>
      <c r="C180" s="1110"/>
      <c r="D180" s="1237"/>
      <c r="E180" s="1280" t="s">
        <v>3030</v>
      </c>
      <c r="F180" s="1247">
        <v>10</v>
      </c>
      <c r="G180" s="1236" t="s">
        <v>3031</v>
      </c>
      <c r="H180" s="1248">
        <f ca="1">IFERROR(__xludf.DUMMYFUNCTION("""COMPUTED_VALUE"""),5)</f>
        <v>5</v>
      </c>
      <c r="I180" s="1259">
        <f ca="1">IFERROR(__xludf.DUMMYFUNCTION("""COMPUTED_VALUE"""),0.5)</f>
        <v>0.5</v>
      </c>
      <c r="J180" s="1236" t="s">
        <v>3031</v>
      </c>
      <c r="K180" s="1262"/>
      <c r="L180" s="1265"/>
      <c r="M180" s="1265"/>
    </row>
    <row r="181" spans="1:13" ht="15.75" customHeight="1">
      <c r="A181" s="1292"/>
      <c r="B181" s="1237"/>
      <c r="C181" s="1110"/>
      <c r="D181" s="1237"/>
      <c r="E181" s="1238"/>
      <c r="F181" s="1235"/>
      <c r="G181" s="1238"/>
      <c r="H181" s="1238"/>
      <c r="I181" s="1238"/>
      <c r="J181" s="1238"/>
      <c r="K181" s="1238"/>
      <c r="L181" s="1265"/>
      <c r="M181" s="1265"/>
    </row>
    <row r="182" spans="1:13" ht="15.75" customHeight="1">
      <c r="A182" s="1292"/>
      <c r="B182" s="1237"/>
      <c r="C182" s="1110"/>
      <c r="D182" s="1237"/>
      <c r="E182" s="1280" t="s">
        <v>3056</v>
      </c>
      <c r="F182" s="1250">
        <v>5</v>
      </c>
      <c r="G182" s="1236" t="s">
        <v>3033</v>
      </c>
      <c r="H182" s="1248">
        <f ca="1">IFERROR(__xludf.DUMMYFUNCTION("""COMPUTED_VALUE"""),5)</f>
        <v>5</v>
      </c>
      <c r="I182" s="1259">
        <f ca="1">IFERROR(__xludf.DUMMYFUNCTION("""COMPUTED_VALUE"""),1)</f>
        <v>1</v>
      </c>
      <c r="J182" s="1236" t="s">
        <v>3033</v>
      </c>
      <c r="K182" s="1262"/>
      <c r="L182" s="1265"/>
      <c r="M182" s="1265"/>
    </row>
    <row r="183" spans="1:13" ht="15.75" customHeight="1">
      <c r="A183" s="1292"/>
      <c r="B183" s="1237"/>
      <c r="C183" s="1110"/>
      <c r="D183" s="1237"/>
      <c r="E183" s="1237"/>
      <c r="F183" s="1237"/>
      <c r="G183" s="1237"/>
      <c r="H183" s="1237"/>
      <c r="I183" s="1237"/>
      <c r="J183" s="1237"/>
      <c r="K183" s="1237"/>
      <c r="L183" s="1265"/>
      <c r="M183" s="1265"/>
    </row>
    <row r="184" spans="1:13" ht="15.75" customHeight="1">
      <c r="A184" s="1292"/>
      <c r="B184" s="1237"/>
      <c r="C184" s="1110"/>
      <c r="D184" s="1237"/>
      <c r="E184" s="1249"/>
      <c r="F184" s="1238"/>
      <c r="G184" s="1237"/>
      <c r="H184" s="1237"/>
      <c r="I184" s="1237"/>
      <c r="J184" s="1237"/>
      <c r="K184" s="1237"/>
      <c r="L184" s="1265"/>
      <c r="M184" s="1265"/>
    </row>
    <row r="185" spans="1:13" ht="27" customHeight="1">
      <c r="A185" s="1292"/>
      <c r="B185" s="1237"/>
      <c r="C185" s="1110"/>
      <c r="D185" s="1237"/>
      <c r="E185" s="1281" t="s">
        <v>3064</v>
      </c>
      <c r="F185" s="1247">
        <v>5</v>
      </c>
      <c r="G185" s="1236" t="s">
        <v>3033</v>
      </c>
      <c r="H185" s="1248">
        <f ca="1">IFERROR(__xludf.DUMMYFUNCTION("""COMPUTED_VALUE"""),4)</f>
        <v>4</v>
      </c>
      <c r="I185" s="1259">
        <f ca="1">IFERROR(__xludf.DUMMYFUNCTION("""COMPUTED_VALUE"""),0.8)</f>
        <v>0.8</v>
      </c>
      <c r="J185" s="1236" t="s">
        <v>3033</v>
      </c>
      <c r="K185" s="1262"/>
      <c r="L185" s="1265"/>
      <c r="M185" s="1265"/>
    </row>
    <row r="186" spans="1:13" ht="27" customHeight="1">
      <c r="A186" s="1292"/>
      <c r="B186" s="1237"/>
      <c r="C186" s="1110"/>
      <c r="D186" s="1237"/>
      <c r="E186" s="1237"/>
      <c r="F186" s="1234"/>
      <c r="G186" s="1237"/>
      <c r="H186" s="1237"/>
      <c r="I186" s="1237"/>
      <c r="J186" s="1237"/>
      <c r="K186" s="1237"/>
      <c r="L186" s="1265"/>
      <c r="M186" s="1265"/>
    </row>
    <row r="187" spans="1:13" ht="27" customHeight="1">
      <c r="A187" s="1292"/>
      <c r="B187" s="1237"/>
      <c r="C187" s="1110"/>
      <c r="D187" s="1249"/>
      <c r="E187" s="1238"/>
      <c r="F187" s="1257"/>
      <c r="G187" s="1249"/>
      <c r="H187" s="1249"/>
      <c r="I187" s="1249"/>
      <c r="J187" s="1249"/>
      <c r="K187" s="1249"/>
      <c r="L187" s="1268"/>
      <c r="M187" s="1268"/>
    </row>
    <row r="188" spans="1:13" ht="15.75" customHeight="1">
      <c r="A188" s="1292"/>
      <c r="B188" s="1237"/>
      <c r="C188" s="1110"/>
      <c r="D188" s="1290" t="s">
        <v>3035</v>
      </c>
      <c r="E188" s="1281" t="s">
        <v>3036</v>
      </c>
      <c r="F188" s="1240"/>
      <c r="G188" s="1241" t="s">
        <v>3037</v>
      </c>
      <c r="H188" s="1242">
        <f ca="1">IFERROR(__xludf.DUMMYFUNCTION("""COMPUTED_VALUE"""),921)</f>
        <v>921</v>
      </c>
      <c r="I188" s="1243"/>
      <c r="J188" s="1244" t="s">
        <v>3037</v>
      </c>
      <c r="K188" s="1244"/>
      <c r="L188" s="1269"/>
      <c r="M188" s="1264"/>
    </row>
    <row r="189" spans="1:13" ht="15.75" customHeight="1">
      <c r="A189" s="1292"/>
      <c r="B189" s="1237"/>
      <c r="C189" s="1110"/>
      <c r="D189" s="1237"/>
      <c r="E189" s="1238"/>
      <c r="F189" s="1238"/>
      <c r="G189" s="1238"/>
      <c r="H189" s="1238"/>
      <c r="I189" s="1238"/>
      <c r="J189" s="1238"/>
      <c r="K189" s="1238"/>
      <c r="L189" s="1265"/>
      <c r="M189" s="1265"/>
    </row>
    <row r="190" spans="1:13" ht="15.75" customHeight="1">
      <c r="A190" s="1292"/>
      <c r="B190" s="1237"/>
      <c r="C190" s="1110"/>
      <c r="D190" s="1237"/>
      <c r="E190" s="1281" t="s">
        <v>3038</v>
      </c>
      <c r="F190" s="1240"/>
      <c r="G190" s="1241" t="s">
        <v>3039</v>
      </c>
      <c r="H190" s="1246">
        <f ca="1">IFERROR(__xludf.DUMMYFUNCTION("""COMPUTED_VALUE"""),3)</f>
        <v>3</v>
      </c>
      <c r="I190" s="1243"/>
      <c r="J190" s="1244" t="s">
        <v>3039</v>
      </c>
      <c r="K190" s="1244"/>
      <c r="L190" s="1265"/>
      <c r="M190" s="1265"/>
    </row>
    <row r="191" spans="1:13" ht="15.75" customHeight="1">
      <c r="A191" s="1299"/>
      <c r="B191" s="1245"/>
      <c r="C191" s="1111"/>
      <c r="D191" s="1245"/>
      <c r="E191" s="1245"/>
      <c r="F191" s="1245"/>
      <c r="G191" s="1245"/>
      <c r="H191" s="1245"/>
      <c r="I191" s="1245"/>
      <c r="J191" s="1245"/>
      <c r="K191" s="1245"/>
      <c r="L191" s="1266"/>
      <c r="M191" s="1266"/>
    </row>
    <row r="192" spans="1:13" ht="15.75" customHeight="1">
      <c r="A192" s="1303">
        <v>8</v>
      </c>
      <c r="B192" s="1304" t="s">
        <v>334</v>
      </c>
      <c r="C192" s="1109"/>
      <c r="D192" s="1279" t="s">
        <v>3051</v>
      </c>
      <c r="E192" s="1280" t="s">
        <v>3052</v>
      </c>
      <c r="F192" s="1247">
        <v>30</v>
      </c>
      <c r="G192" s="1251" t="s">
        <v>3020</v>
      </c>
      <c r="H192" s="1252">
        <f ca="1">IFERROR(__xludf.DUMMYFUNCTION("""COMPUTED_VALUE"""),4)</f>
        <v>4</v>
      </c>
      <c r="I192" s="1255">
        <f ca="1">IFERROR(__xludf.DUMMYFUNCTION("""COMPUTED_VALUE"""),0.133333333333333)</f>
        <v>0.133333333333333</v>
      </c>
      <c r="J192" s="1256" t="s">
        <v>3020</v>
      </c>
      <c r="K192" s="1263"/>
      <c r="L192" s="1267">
        <f ca="1">IFERROR(__xludf.DUMMYFUNCTION("""COMPUTED_VALUE"""),0.601657303386243)</f>
        <v>0.60165730338624301</v>
      </c>
      <c r="M192" s="1270">
        <f ca="1">IFERROR(__xludf.DUMMYFUNCTION("""COMPUTED_VALUE"""),0.579435081164021)</f>
        <v>0.57943508116402098</v>
      </c>
    </row>
    <row r="193" spans="1:13" ht="15.75" customHeight="1">
      <c r="A193" s="1292"/>
      <c r="B193" s="1237"/>
      <c r="C193" s="1109"/>
      <c r="D193" s="1237"/>
      <c r="E193" s="1237"/>
      <c r="F193" s="1234"/>
      <c r="G193" s="1237"/>
      <c r="H193" s="1253"/>
      <c r="I193" s="1237"/>
      <c r="J193" s="1237"/>
      <c r="K193" s="1237"/>
      <c r="L193" s="1265"/>
      <c r="M193" s="1265"/>
    </row>
    <row r="194" spans="1:13" ht="15.75" customHeight="1">
      <c r="A194" s="1292"/>
      <c r="B194" s="1237"/>
      <c r="C194" s="1109"/>
      <c r="D194" s="1237"/>
      <c r="E194" s="1238"/>
      <c r="F194" s="1235"/>
      <c r="G194" s="1238"/>
      <c r="H194" s="1254"/>
      <c r="I194" s="1238"/>
      <c r="J194" s="1238"/>
      <c r="K194" s="1238"/>
      <c r="L194" s="1265"/>
      <c r="M194" s="1265"/>
    </row>
    <row r="195" spans="1:13" ht="15.75" customHeight="1">
      <c r="A195" s="1292"/>
      <c r="B195" s="1237"/>
      <c r="C195" s="1110"/>
      <c r="D195" s="1237"/>
      <c r="E195" s="1280" t="s">
        <v>3021</v>
      </c>
      <c r="F195" s="1247">
        <v>75</v>
      </c>
      <c r="G195" s="1236" t="s">
        <v>3022</v>
      </c>
      <c r="H195" s="1239">
        <f ca="1">IFERROR(__xludf.DUMMYFUNCTION("""COMPUTED_VALUE"""),51)</f>
        <v>51</v>
      </c>
      <c r="I195" s="1259">
        <f ca="1">IFERROR(__xludf.DUMMYFUNCTION("""COMPUTED_VALUE"""),0.68)</f>
        <v>0.68</v>
      </c>
      <c r="J195" s="1236" t="s">
        <v>3022</v>
      </c>
      <c r="K195" s="1262"/>
      <c r="L195" s="1265"/>
      <c r="M195" s="1265"/>
    </row>
    <row r="196" spans="1:13" ht="15.75" customHeight="1">
      <c r="A196" s="1292"/>
      <c r="B196" s="1237"/>
      <c r="C196" s="1110"/>
      <c r="D196" s="1237"/>
      <c r="E196" s="1237"/>
      <c r="F196" s="1234"/>
      <c r="G196" s="1237"/>
      <c r="H196" s="1237"/>
      <c r="I196" s="1237"/>
      <c r="J196" s="1237"/>
      <c r="K196" s="1237"/>
      <c r="L196" s="1265"/>
      <c r="M196" s="1265"/>
    </row>
    <row r="197" spans="1:13" ht="15.75" customHeight="1">
      <c r="A197" s="1292"/>
      <c r="B197" s="1237"/>
      <c r="C197" s="1110"/>
      <c r="D197" s="1237"/>
      <c r="E197" s="1238"/>
      <c r="F197" s="1235"/>
      <c r="G197" s="1238"/>
      <c r="H197" s="1238"/>
      <c r="I197" s="1238"/>
      <c r="J197" s="1238"/>
      <c r="K197" s="1238"/>
      <c r="L197" s="1265"/>
      <c r="M197" s="1265"/>
    </row>
    <row r="198" spans="1:13" ht="15.75" customHeight="1">
      <c r="A198" s="1292"/>
      <c r="B198" s="1237"/>
      <c r="C198" s="1110"/>
      <c r="D198" s="1237"/>
      <c r="E198" s="1280" t="s">
        <v>3023</v>
      </c>
      <c r="F198" s="1233">
        <v>2</v>
      </c>
      <c r="G198" s="1236" t="s">
        <v>3024</v>
      </c>
      <c r="H198" s="1239">
        <f ca="1">IFERROR(__xludf.DUMMYFUNCTION("""COMPUTED_VALUE"""),0)</f>
        <v>0</v>
      </c>
      <c r="I198" s="1259">
        <f ca="1">IFERROR(__xludf.DUMMYFUNCTION("""COMPUTED_VALUE"""),0)</f>
        <v>0</v>
      </c>
      <c r="J198" s="1236" t="s">
        <v>3024</v>
      </c>
      <c r="K198" s="1262"/>
      <c r="L198" s="1265"/>
      <c r="M198" s="1265"/>
    </row>
    <row r="199" spans="1:13" ht="15.75" customHeight="1">
      <c r="A199" s="1292"/>
      <c r="B199" s="1237"/>
      <c r="C199" s="1110"/>
      <c r="D199" s="1237"/>
      <c r="E199" s="1237"/>
      <c r="F199" s="1234"/>
      <c r="G199" s="1237"/>
      <c r="H199" s="1237"/>
      <c r="I199" s="1237"/>
      <c r="J199" s="1237"/>
      <c r="K199" s="1237"/>
      <c r="L199" s="1265"/>
      <c r="M199" s="1265"/>
    </row>
    <row r="200" spans="1:13" ht="15.75" customHeight="1">
      <c r="A200" s="1292"/>
      <c r="B200" s="1237"/>
      <c r="C200" s="1110"/>
      <c r="D200" s="1237"/>
      <c r="E200" s="1238"/>
      <c r="F200" s="1235"/>
      <c r="G200" s="1238"/>
      <c r="H200" s="1238"/>
      <c r="I200" s="1238"/>
      <c r="J200" s="1238"/>
      <c r="K200" s="1238"/>
      <c r="L200" s="1265"/>
      <c r="M200" s="1265"/>
    </row>
    <row r="201" spans="1:13" ht="15.75" customHeight="1">
      <c r="A201" s="1292"/>
      <c r="B201" s="1237"/>
      <c r="C201" s="1110"/>
      <c r="D201" s="1237"/>
      <c r="E201" s="1280" t="s">
        <v>3025</v>
      </c>
      <c r="F201" s="1258">
        <v>2800000000</v>
      </c>
      <c r="G201" s="1236" t="s">
        <v>3026</v>
      </c>
      <c r="H201" s="1260">
        <f ca="1">IFERROR(__xludf.DUMMYFUNCTION("""COMPUTED_VALUE"""),844430712)</f>
        <v>844430712</v>
      </c>
      <c r="I201" s="1259">
        <f ca="1">IFERROR(__xludf.DUMMYFUNCTION("""COMPUTED_VALUE"""),0.301582397142857)</f>
        <v>0.30158239714285701</v>
      </c>
      <c r="J201" s="1236" t="s">
        <v>3026</v>
      </c>
      <c r="K201" s="1262"/>
      <c r="L201" s="1265"/>
      <c r="M201" s="1265"/>
    </row>
    <row r="202" spans="1:13" ht="15.75" customHeight="1">
      <c r="A202" s="1292"/>
      <c r="B202" s="1237"/>
      <c r="C202" s="1110"/>
      <c r="D202" s="1237"/>
      <c r="E202" s="1238"/>
      <c r="F202" s="1235"/>
      <c r="G202" s="1238"/>
      <c r="H202" s="1238"/>
      <c r="I202" s="1238"/>
      <c r="J202" s="1238"/>
      <c r="K202" s="1238"/>
      <c r="L202" s="1265"/>
      <c r="M202" s="1265"/>
    </row>
    <row r="203" spans="1:13" ht="30.75" customHeight="1">
      <c r="A203" s="1292"/>
      <c r="B203" s="1237"/>
      <c r="C203" s="1110"/>
      <c r="D203" s="1279" t="s">
        <v>3053</v>
      </c>
      <c r="E203" s="1280" t="s">
        <v>3065</v>
      </c>
      <c r="F203" s="1247">
        <v>5</v>
      </c>
      <c r="G203" s="1236" t="s">
        <v>1848</v>
      </c>
      <c r="H203" s="1239">
        <f ca="1">IFERROR(__xludf.DUMMYFUNCTION("""COMPUTED_VALUE"""),4)</f>
        <v>4</v>
      </c>
      <c r="I203" s="1259">
        <f ca="1">IFERROR(__xludf.DUMMYFUNCTION("""COMPUTED_VALUE"""),0.8)</f>
        <v>0.8</v>
      </c>
      <c r="J203" s="1236" t="s">
        <v>1848</v>
      </c>
      <c r="K203" s="1262"/>
      <c r="L203" s="1265"/>
      <c r="M203" s="1265"/>
    </row>
    <row r="204" spans="1:13" ht="30.75" customHeight="1">
      <c r="A204" s="1292"/>
      <c r="B204" s="1237"/>
      <c r="C204" s="1110"/>
      <c r="D204" s="1237"/>
      <c r="E204" s="1238"/>
      <c r="F204" s="1235"/>
      <c r="G204" s="1238"/>
      <c r="H204" s="1238"/>
      <c r="I204" s="1238"/>
      <c r="J204" s="1238"/>
      <c r="K204" s="1238"/>
      <c r="L204" s="1265"/>
      <c r="M204" s="1265"/>
    </row>
    <row r="205" spans="1:13" ht="30.75" customHeight="1">
      <c r="A205" s="1292"/>
      <c r="B205" s="1237"/>
      <c r="C205" s="1110"/>
      <c r="D205" s="1237"/>
      <c r="E205" s="1280" t="s">
        <v>3066</v>
      </c>
      <c r="F205" s="1247">
        <v>15</v>
      </c>
      <c r="G205" s="1236" t="s">
        <v>1848</v>
      </c>
      <c r="H205" s="1248">
        <f ca="1">IFERROR(__xludf.DUMMYFUNCTION("""COMPUTED_VALUE"""),18)</f>
        <v>18</v>
      </c>
      <c r="I205" s="1259">
        <f ca="1">IFERROR(__xludf.DUMMYFUNCTION("""COMPUTED_VALUE"""),1.2)</f>
        <v>1.2</v>
      </c>
      <c r="J205" s="1236" t="s">
        <v>1848</v>
      </c>
      <c r="K205" s="1262"/>
      <c r="L205" s="1265"/>
      <c r="M205" s="1265"/>
    </row>
    <row r="206" spans="1:13" ht="30.75" customHeight="1">
      <c r="A206" s="1292"/>
      <c r="B206" s="1237"/>
      <c r="C206" s="1110"/>
      <c r="D206" s="1237"/>
      <c r="E206" s="1238"/>
      <c r="F206" s="1235"/>
      <c r="G206" s="1238"/>
      <c r="H206" s="1238"/>
      <c r="I206" s="1238"/>
      <c r="J206" s="1238"/>
      <c r="K206" s="1238"/>
      <c r="L206" s="1265"/>
      <c r="M206" s="1265"/>
    </row>
    <row r="207" spans="1:13" ht="15.75" customHeight="1">
      <c r="A207" s="1292"/>
      <c r="B207" s="1237"/>
      <c r="C207" s="1110"/>
      <c r="D207" s="1237"/>
      <c r="E207" s="1280" t="s">
        <v>3030</v>
      </c>
      <c r="F207" s="1247">
        <v>10</v>
      </c>
      <c r="G207" s="1236" t="s">
        <v>3031</v>
      </c>
      <c r="H207" s="1248">
        <f ca="1">IFERROR(__xludf.DUMMYFUNCTION("""COMPUTED_VALUE"""),5)</f>
        <v>5</v>
      </c>
      <c r="I207" s="1259">
        <f ca="1">IFERROR(__xludf.DUMMYFUNCTION("""COMPUTED_VALUE"""),0.5)</f>
        <v>0.5</v>
      </c>
      <c r="J207" s="1236" t="s">
        <v>3031</v>
      </c>
      <c r="K207" s="1262"/>
      <c r="L207" s="1265"/>
      <c r="M207" s="1265"/>
    </row>
    <row r="208" spans="1:13" ht="15.75" customHeight="1">
      <c r="A208" s="1292"/>
      <c r="B208" s="1237"/>
      <c r="C208" s="1110"/>
      <c r="D208" s="1237"/>
      <c r="E208" s="1238"/>
      <c r="F208" s="1235"/>
      <c r="G208" s="1238"/>
      <c r="H208" s="1238"/>
      <c r="I208" s="1238"/>
      <c r="J208" s="1238"/>
      <c r="K208" s="1238"/>
      <c r="L208" s="1265"/>
      <c r="M208" s="1265"/>
    </row>
    <row r="209" spans="1:13" ht="15.75" customHeight="1">
      <c r="A209" s="1292"/>
      <c r="B209" s="1237"/>
      <c r="C209" s="1110"/>
      <c r="D209" s="1237"/>
      <c r="E209" s="1280" t="s">
        <v>3056</v>
      </c>
      <c r="F209" s="1250">
        <v>5</v>
      </c>
      <c r="G209" s="1236" t="s">
        <v>3033</v>
      </c>
      <c r="H209" s="1248">
        <f ca="1">IFERROR(__xludf.DUMMYFUNCTION("""COMPUTED_VALUE"""),5)</f>
        <v>5</v>
      </c>
      <c r="I209" s="1259">
        <f ca="1">IFERROR(__xludf.DUMMYFUNCTION("""COMPUTED_VALUE"""),1)</f>
        <v>1</v>
      </c>
      <c r="J209" s="1236" t="s">
        <v>3033</v>
      </c>
      <c r="K209" s="1262"/>
      <c r="L209" s="1265"/>
      <c r="M209" s="1265"/>
    </row>
    <row r="210" spans="1:13" ht="15.75" customHeight="1">
      <c r="A210" s="1292"/>
      <c r="B210" s="1237"/>
      <c r="C210" s="1110"/>
      <c r="D210" s="1237"/>
      <c r="E210" s="1237"/>
      <c r="F210" s="1237"/>
      <c r="G210" s="1237"/>
      <c r="H210" s="1237"/>
      <c r="I210" s="1237"/>
      <c r="J210" s="1237"/>
      <c r="K210" s="1237"/>
      <c r="L210" s="1265"/>
      <c r="M210" s="1265"/>
    </row>
    <row r="211" spans="1:13" ht="15.75" customHeight="1">
      <c r="A211" s="1292"/>
      <c r="B211" s="1237"/>
      <c r="C211" s="1110"/>
      <c r="D211" s="1237"/>
      <c r="E211" s="1249"/>
      <c r="F211" s="1238"/>
      <c r="G211" s="1237"/>
      <c r="H211" s="1237"/>
      <c r="I211" s="1237"/>
      <c r="J211" s="1237"/>
      <c r="K211" s="1237"/>
      <c r="L211" s="1265"/>
      <c r="M211" s="1265"/>
    </row>
    <row r="212" spans="1:13" ht="25.5" customHeight="1">
      <c r="A212" s="1292"/>
      <c r="B212" s="1237"/>
      <c r="C212" s="1110"/>
      <c r="D212" s="1237"/>
      <c r="E212" s="1281" t="s">
        <v>3067</v>
      </c>
      <c r="F212" s="1247">
        <v>5</v>
      </c>
      <c r="G212" s="1236" t="s">
        <v>3033</v>
      </c>
      <c r="H212" s="1248">
        <f ca="1">IFERROR(__xludf.DUMMYFUNCTION("""COMPUTED_VALUE"""),4)</f>
        <v>4</v>
      </c>
      <c r="I212" s="1259">
        <f ca="1">IFERROR(__xludf.DUMMYFUNCTION("""COMPUTED_VALUE"""),0.8)</f>
        <v>0.8</v>
      </c>
      <c r="J212" s="1236" t="s">
        <v>3033</v>
      </c>
      <c r="K212" s="1262"/>
      <c r="L212" s="1265"/>
      <c r="M212" s="1265"/>
    </row>
    <row r="213" spans="1:13" ht="25.5" customHeight="1">
      <c r="A213" s="1292"/>
      <c r="B213" s="1237"/>
      <c r="C213" s="1110"/>
      <c r="D213" s="1237"/>
      <c r="E213" s="1237"/>
      <c r="F213" s="1234"/>
      <c r="G213" s="1237"/>
      <c r="H213" s="1237"/>
      <c r="I213" s="1237"/>
      <c r="J213" s="1237"/>
      <c r="K213" s="1237"/>
      <c r="L213" s="1265"/>
      <c r="M213" s="1265"/>
    </row>
    <row r="214" spans="1:13" ht="25.5" customHeight="1">
      <c r="A214" s="1292"/>
      <c r="B214" s="1237"/>
      <c r="C214" s="1110"/>
      <c r="D214" s="1249"/>
      <c r="E214" s="1238"/>
      <c r="F214" s="1257"/>
      <c r="G214" s="1249"/>
      <c r="H214" s="1249"/>
      <c r="I214" s="1249"/>
      <c r="J214" s="1249"/>
      <c r="K214" s="1249"/>
      <c r="L214" s="1268"/>
      <c r="M214" s="1268"/>
    </row>
    <row r="215" spans="1:13" ht="15.75" customHeight="1">
      <c r="A215" s="1292"/>
      <c r="B215" s="1237"/>
      <c r="C215" s="1110"/>
      <c r="D215" s="1290" t="s">
        <v>3035</v>
      </c>
      <c r="E215" s="1281" t="s">
        <v>3036</v>
      </c>
      <c r="F215" s="1240"/>
      <c r="G215" s="1241" t="s">
        <v>3037</v>
      </c>
      <c r="H215" s="1242">
        <f ca="1">IFERROR(__xludf.DUMMYFUNCTION("""COMPUTED_VALUE"""),1004)</f>
        <v>1004</v>
      </c>
      <c r="I215" s="1243"/>
      <c r="J215" s="1244" t="s">
        <v>3037</v>
      </c>
      <c r="K215" s="1244"/>
      <c r="L215" s="1269"/>
      <c r="M215" s="1264"/>
    </row>
    <row r="216" spans="1:13" ht="15.75" customHeight="1">
      <c r="A216" s="1292"/>
      <c r="B216" s="1237"/>
      <c r="C216" s="1110"/>
      <c r="D216" s="1237"/>
      <c r="E216" s="1238"/>
      <c r="F216" s="1238"/>
      <c r="G216" s="1238"/>
      <c r="H216" s="1238"/>
      <c r="I216" s="1238"/>
      <c r="J216" s="1238"/>
      <c r="K216" s="1238"/>
      <c r="L216" s="1265"/>
      <c r="M216" s="1265"/>
    </row>
    <row r="217" spans="1:13" ht="15.75" customHeight="1">
      <c r="A217" s="1292"/>
      <c r="B217" s="1237"/>
      <c r="C217" s="1110"/>
      <c r="D217" s="1237"/>
      <c r="E217" s="1281" t="s">
        <v>3038</v>
      </c>
      <c r="F217" s="1240"/>
      <c r="G217" s="1241" t="s">
        <v>3039</v>
      </c>
      <c r="H217" s="1246">
        <f ca="1">IFERROR(__xludf.DUMMYFUNCTION("""COMPUTED_VALUE"""),4)</f>
        <v>4</v>
      </c>
      <c r="I217" s="1243"/>
      <c r="J217" s="1244" t="s">
        <v>3039</v>
      </c>
      <c r="K217" s="1244"/>
      <c r="L217" s="1265"/>
      <c r="M217" s="1265"/>
    </row>
    <row r="218" spans="1:13" ht="15.75" customHeight="1">
      <c r="A218" s="1299"/>
      <c r="B218" s="1245"/>
      <c r="C218" s="1111"/>
      <c r="D218" s="1245"/>
      <c r="E218" s="1245"/>
      <c r="F218" s="1245"/>
      <c r="G218" s="1245"/>
      <c r="H218" s="1245"/>
      <c r="I218" s="1245"/>
      <c r="J218" s="1245"/>
      <c r="K218" s="1245"/>
      <c r="L218" s="1266"/>
      <c r="M218" s="1266"/>
    </row>
    <row r="219" spans="1:13" ht="15.75" customHeight="1">
      <c r="A219" s="1303">
        <v>9</v>
      </c>
      <c r="B219" s="1304" t="s">
        <v>3068</v>
      </c>
      <c r="C219" s="1109"/>
      <c r="D219" s="1279" t="s">
        <v>3051</v>
      </c>
      <c r="E219" s="1280" t="s">
        <v>3052</v>
      </c>
      <c r="F219" s="1247">
        <v>30</v>
      </c>
      <c r="G219" s="1251" t="s">
        <v>3020</v>
      </c>
      <c r="H219" s="1252">
        <f ca="1">IFERROR(__xludf.DUMMYFUNCTION("""COMPUTED_VALUE"""),17)</f>
        <v>17</v>
      </c>
      <c r="I219" s="1255">
        <f ca="1">IFERROR(__xludf.DUMMYFUNCTION("""COMPUTED_VALUE"""),0.566666666666666)</f>
        <v>0.56666666666666599</v>
      </c>
      <c r="J219" s="1256" t="s">
        <v>3020</v>
      </c>
      <c r="K219" s="1263"/>
      <c r="L219" s="1267">
        <f ca="1">IFERROR(__xludf.DUMMYFUNCTION("""COMPUTED_VALUE"""),0.69625941515873)</f>
        <v>0.69625941515873002</v>
      </c>
      <c r="M219" s="1270">
        <f ca="1">IFERROR(__xludf.DUMMYFUNCTION("""COMPUTED_VALUE"""),0.659222378121693)</f>
        <v>0.65922237812169304</v>
      </c>
    </row>
    <row r="220" spans="1:13" ht="15.75" customHeight="1">
      <c r="A220" s="1292"/>
      <c r="B220" s="1237"/>
      <c r="C220" s="1109"/>
      <c r="D220" s="1237"/>
      <c r="E220" s="1237"/>
      <c r="F220" s="1234"/>
      <c r="G220" s="1237"/>
      <c r="H220" s="1253"/>
      <c r="I220" s="1237"/>
      <c r="J220" s="1237"/>
      <c r="K220" s="1237"/>
      <c r="L220" s="1265"/>
      <c r="M220" s="1265"/>
    </row>
    <row r="221" spans="1:13" ht="15.75" customHeight="1">
      <c r="A221" s="1292"/>
      <c r="B221" s="1237"/>
      <c r="C221" s="1109"/>
      <c r="D221" s="1237"/>
      <c r="E221" s="1238"/>
      <c r="F221" s="1235"/>
      <c r="G221" s="1238"/>
      <c r="H221" s="1254"/>
      <c r="I221" s="1238"/>
      <c r="J221" s="1238"/>
      <c r="K221" s="1238"/>
      <c r="L221" s="1265"/>
      <c r="M221" s="1265"/>
    </row>
    <row r="222" spans="1:13" ht="15.75" customHeight="1">
      <c r="A222" s="1292"/>
      <c r="B222" s="1237"/>
      <c r="C222" s="1110"/>
      <c r="D222" s="1237"/>
      <c r="E222" s="1280" t="s">
        <v>3021</v>
      </c>
      <c r="F222" s="1247">
        <v>75</v>
      </c>
      <c r="G222" s="1236" t="s">
        <v>3022</v>
      </c>
      <c r="H222" s="1239">
        <f ca="1">IFERROR(__xludf.DUMMYFUNCTION("""COMPUTED_VALUE"""),54)</f>
        <v>54</v>
      </c>
      <c r="I222" s="1259">
        <f ca="1">IFERROR(__xludf.DUMMYFUNCTION("""COMPUTED_VALUE"""),0.72)</f>
        <v>0.72</v>
      </c>
      <c r="J222" s="1236" t="s">
        <v>3022</v>
      </c>
      <c r="K222" s="1262"/>
      <c r="L222" s="1265"/>
      <c r="M222" s="1265"/>
    </row>
    <row r="223" spans="1:13" ht="15.75" customHeight="1">
      <c r="A223" s="1292"/>
      <c r="B223" s="1237"/>
      <c r="C223" s="1110"/>
      <c r="D223" s="1237"/>
      <c r="E223" s="1237"/>
      <c r="F223" s="1234"/>
      <c r="G223" s="1237"/>
      <c r="H223" s="1237"/>
      <c r="I223" s="1237"/>
      <c r="J223" s="1237"/>
      <c r="K223" s="1237"/>
      <c r="L223" s="1265"/>
      <c r="M223" s="1265"/>
    </row>
    <row r="224" spans="1:13" ht="15.75" customHeight="1">
      <c r="A224" s="1292"/>
      <c r="B224" s="1237"/>
      <c r="C224" s="1110"/>
      <c r="D224" s="1237"/>
      <c r="E224" s="1238"/>
      <c r="F224" s="1235"/>
      <c r="G224" s="1238"/>
      <c r="H224" s="1238"/>
      <c r="I224" s="1238"/>
      <c r="J224" s="1238"/>
      <c r="K224" s="1238"/>
      <c r="L224" s="1265"/>
      <c r="M224" s="1265"/>
    </row>
    <row r="225" spans="1:13" ht="15.75" customHeight="1">
      <c r="A225" s="1292"/>
      <c r="B225" s="1237"/>
      <c r="C225" s="1110"/>
      <c r="D225" s="1237"/>
      <c r="E225" s="1280" t="s">
        <v>3023</v>
      </c>
      <c r="F225" s="1233">
        <v>2</v>
      </c>
      <c r="G225" s="1236" t="s">
        <v>3024</v>
      </c>
      <c r="H225" s="1239">
        <f ca="1">IFERROR(__xludf.DUMMYFUNCTION("""COMPUTED_VALUE"""),0)</f>
        <v>0</v>
      </c>
      <c r="I225" s="1259">
        <f ca="1">IFERROR(__xludf.DUMMYFUNCTION("""COMPUTED_VALUE"""),0)</f>
        <v>0</v>
      </c>
      <c r="J225" s="1236" t="s">
        <v>3024</v>
      </c>
      <c r="K225" s="1262"/>
      <c r="L225" s="1265"/>
      <c r="M225" s="1265"/>
    </row>
    <row r="226" spans="1:13" ht="15.75" customHeight="1">
      <c r="A226" s="1292"/>
      <c r="B226" s="1237"/>
      <c r="C226" s="1110"/>
      <c r="D226" s="1237"/>
      <c r="E226" s="1237"/>
      <c r="F226" s="1234"/>
      <c r="G226" s="1237"/>
      <c r="H226" s="1237"/>
      <c r="I226" s="1237"/>
      <c r="J226" s="1237"/>
      <c r="K226" s="1237"/>
      <c r="L226" s="1265"/>
      <c r="M226" s="1265"/>
    </row>
    <row r="227" spans="1:13" ht="15.75" customHeight="1">
      <c r="A227" s="1292"/>
      <c r="B227" s="1237"/>
      <c r="C227" s="1110"/>
      <c r="D227" s="1237"/>
      <c r="E227" s="1238"/>
      <c r="F227" s="1235"/>
      <c r="G227" s="1238"/>
      <c r="H227" s="1238"/>
      <c r="I227" s="1238"/>
      <c r="J227" s="1238"/>
      <c r="K227" s="1238"/>
      <c r="L227" s="1265"/>
      <c r="M227" s="1265"/>
    </row>
    <row r="228" spans="1:13" ht="15.75" customHeight="1">
      <c r="A228" s="1292"/>
      <c r="B228" s="1237"/>
      <c r="C228" s="1110"/>
      <c r="D228" s="1237"/>
      <c r="E228" s="1280" t="s">
        <v>3025</v>
      </c>
      <c r="F228" s="1258">
        <v>2800000000</v>
      </c>
      <c r="G228" s="1236" t="s">
        <v>3026</v>
      </c>
      <c r="H228" s="1260">
        <f ca="1">IFERROR(__xludf.DUMMYFUNCTION("""COMPUTED_VALUE"""),969737262)</f>
        <v>969737262</v>
      </c>
      <c r="I228" s="1259">
        <f ca="1">IFERROR(__xludf.DUMMYFUNCTION("""COMPUTED_VALUE"""),0.346334736428571)</f>
        <v>0.34633473642857099</v>
      </c>
      <c r="J228" s="1236" t="s">
        <v>3026</v>
      </c>
      <c r="K228" s="1262"/>
      <c r="L228" s="1265"/>
      <c r="M228" s="1265"/>
    </row>
    <row r="229" spans="1:13" ht="15.75" customHeight="1">
      <c r="A229" s="1292"/>
      <c r="B229" s="1237"/>
      <c r="C229" s="1110"/>
      <c r="D229" s="1237"/>
      <c r="E229" s="1238"/>
      <c r="F229" s="1235"/>
      <c r="G229" s="1238"/>
      <c r="H229" s="1238"/>
      <c r="I229" s="1238"/>
      <c r="J229" s="1238"/>
      <c r="K229" s="1238"/>
      <c r="L229" s="1265"/>
      <c r="M229" s="1265"/>
    </row>
    <row r="230" spans="1:13" ht="28.5" customHeight="1">
      <c r="A230" s="1292"/>
      <c r="B230" s="1237"/>
      <c r="C230" s="1110"/>
      <c r="D230" s="1279" t="s">
        <v>3053</v>
      </c>
      <c r="E230" s="1280" t="s">
        <v>3069</v>
      </c>
      <c r="F230" s="1247">
        <v>5</v>
      </c>
      <c r="G230" s="1236" t="s">
        <v>1848</v>
      </c>
      <c r="H230" s="1239">
        <f ca="1">IFERROR(__xludf.DUMMYFUNCTION("""COMPUTED_VALUE"""),4)</f>
        <v>4</v>
      </c>
      <c r="I230" s="1259">
        <f ca="1">IFERROR(__xludf.DUMMYFUNCTION("""COMPUTED_VALUE"""),0.8)</f>
        <v>0.8</v>
      </c>
      <c r="J230" s="1236" t="s">
        <v>1848</v>
      </c>
      <c r="K230" s="1262"/>
      <c r="L230" s="1265"/>
      <c r="M230" s="1265"/>
    </row>
    <row r="231" spans="1:13" ht="28.5" customHeight="1">
      <c r="A231" s="1292"/>
      <c r="B231" s="1237"/>
      <c r="C231" s="1110"/>
      <c r="D231" s="1237"/>
      <c r="E231" s="1238"/>
      <c r="F231" s="1235"/>
      <c r="G231" s="1238"/>
      <c r="H231" s="1238"/>
      <c r="I231" s="1238"/>
      <c r="J231" s="1238"/>
      <c r="K231" s="1238"/>
      <c r="L231" s="1265"/>
      <c r="M231" s="1265"/>
    </row>
    <row r="232" spans="1:13" ht="28.5" customHeight="1">
      <c r="A232" s="1292"/>
      <c r="B232" s="1237"/>
      <c r="C232" s="1110"/>
      <c r="D232" s="1237"/>
      <c r="E232" s="1280" t="s">
        <v>3070</v>
      </c>
      <c r="F232" s="1247">
        <v>15</v>
      </c>
      <c r="G232" s="1236" t="s">
        <v>1848</v>
      </c>
      <c r="H232" s="1248">
        <f ca="1">IFERROR(__xludf.DUMMYFUNCTION("""COMPUTED_VALUE"""),20)</f>
        <v>20</v>
      </c>
      <c r="I232" s="1259">
        <f ca="1">IFERROR(__xludf.DUMMYFUNCTION("""COMPUTED_VALUE"""),1.33333333333333)</f>
        <v>1.3333333333333299</v>
      </c>
      <c r="J232" s="1236" t="s">
        <v>1848</v>
      </c>
      <c r="K232" s="1262"/>
      <c r="L232" s="1265"/>
      <c r="M232" s="1265"/>
    </row>
    <row r="233" spans="1:13" ht="28.5" customHeight="1">
      <c r="A233" s="1292"/>
      <c r="B233" s="1237"/>
      <c r="C233" s="1110"/>
      <c r="D233" s="1237"/>
      <c r="E233" s="1238"/>
      <c r="F233" s="1235"/>
      <c r="G233" s="1238"/>
      <c r="H233" s="1238"/>
      <c r="I233" s="1238"/>
      <c r="J233" s="1238"/>
      <c r="K233" s="1238"/>
      <c r="L233" s="1265"/>
      <c r="M233" s="1265"/>
    </row>
    <row r="234" spans="1:13" ht="15.75" customHeight="1">
      <c r="A234" s="1292"/>
      <c r="B234" s="1237"/>
      <c r="C234" s="1110"/>
      <c r="D234" s="1237"/>
      <c r="E234" s="1280" t="s">
        <v>3071</v>
      </c>
      <c r="F234" s="1247">
        <v>10</v>
      </c>
      <c r="G234" s="1236" t="s">
        <v>3031</v>
      </c>
      <c r="H234" s="1248">
        <f ca="1">IFERROR(__xludf.DUMMYFUNCTION("""COMPUTED_VALUE"""),5)</f>
        <v>5</v>
      </c>
      <c r="I234" s="1259">
        <f ca="1">IFERROR(__xludf.DUMMYFUNCTION("""COMPUTED_VALUE"""),0.5)</f>
        <v>0.5</v>
      </c>
      <c r="J234" s="1236" t="s">
        <v>3031</v>
      </c>
      <c r="K234" s="1262"/>
      <c r="L234" s="1265"/>
      <c r="M234" s="1265"/>
    </row>
    <row r="235" spans="1:13" ht="15.75" customHeight="1">
      <c r="A235" s="1292"/>
      <c r="B235" s="1237"/>
      <c r="C235" s="1110"/>
      <c r="D235" s="1237"/>
      <c r="E235" s="1238"/>
      <c r="F235" s="1235"/>
      <c r="G235" s="1238"/>
      <c r="H235" s="1238"/>
      <c r="I235" s="1238"/>
      <c r="J235" s="1238"/>
      <c r="K235" s="1238"/>
      <c r="L235" s="1265"/>
      <c r="M235" s="1265"/>
    </row>
    <row r="236" spans="1:13" ht="15.75" customHeight="1">
      <c r="A236" s="1292"/>
      <c r="B236" s="1237"/>
      <c r="C236" s="1110"/>
      <c r="D236" s="1237"/>
      <c r="E236" s="1280" t="s">
        <v>3072</v>
      </c>
      <c r="F236" s="1250">
        <v>5</v>
      </c>
      <c r="G236" s="1236" t="s">
        <v>3033</v>
      </c>
      <c r="H236" s="1248">
        <f ca="1">IFERROR(__xludf.DUMMYFUNCTION("""COMPUTED_VALUE"""),5)</f>
        <v>5</v>
      </c>
      <c r="I236" s="1259">
        <f ca="1">IFERROR(__xludf.DUMMYFUNCTION("""COMPUTED_VALUE"""),1)</f>
        <v>1</v>
      </c>
      <c r="J236" s="1236" t="s">
        <v>3033</v>
      </c>
      <c r="K236" s="1262"/>
      <c r="L236" s="1265"/>
      <c r="M236" s="1265"/>
    </row>
    <row r="237" spans="1:13" ht="15.75" customHeight="1">
      <c r="A237" s="1292"/>
      <c r="B237" s="1237"/>
      <c r="C237" s="1110"/>
      <c r="D237" s="1237"/>
      <c r="E237" s="1237"/>
      <c r="F237" s="1237"/>
      <c r="G237" s="1237"/>
      <c r="H237" s="1237"/>
      <c r="I237" s="1237"/>
      <c r="J237" s="1237"/>
      <c r="K237" s="1237"/>
      <c r="L237" s="1265"/>
      <c r="M237" s="1265"/>
    </row>
    <row r="238" spans="1:13" ht="15.75" customHeight="1">
      <c r="A238" s="1292"/>
      <c r="B238" s="1237"/>
      <c r="C238" s="1110"/>
      <c r="D238" s="1237"/>
      <c r="E238" s="1249"/>
      <c r="F238" s="1238"/>
      <c r="G238" s="1237"/>
      <c r="H238" s="1237"/>
      <c r="I238" s="1237"/>
      <c r="J238" s="1237"/>
      <c r="K238" s="1237"/>
      <c r="L238" s="1265"/>
      <c r="M238" s="1265"/>
    </row>
    <row r="239" spans="1:13" ht="24" customHeight="1">
      <c r="A239" s="1292"/>
      <c r="B239" s="1237"/>
      <c r="C239" s="1110"/>
      <c r="D239" s="1237"/>
      <c r="E239" s="1281" t="s">
        <v>3073</v>
      </c>
      <c r="F239" s="1247">
        <v>5</v>
      </c>
      <c r="G239" s="1236" t="s">
        <v>3033</v>
      </c>
      <c r="H239" s="1248">
        <f ca="1">IFERROR(__xludf.DUMMYFUNCTION("""COMPUTED_VALUE"""),5)</f>
        <v>5</v>
      </c>
      <c r="I239" s="1259">
        <f ca="1">IFERROR(__xludf.DUMMYFUNCTION("""COMPUTED_VALUE"""),1)</f>
        <v>1</v>
      </c>
      <c r="J239" s="1236" t="s">
        <v>3033</v>
      </c>
      <c r="K239" s="1262"/>
      <c r="L239" s="1265"/>
      <c r="M239" s="1265"/>
    </row>
    <row r="240" spans="1:13" ht="24" customHeight="1">
      <c r="A240" s="1292"/>
      <c r="B240" s="1237"/>
      <c r="C240" s="1110"/>
      <c r="D240" s="1237"/>
      <c r="E240" s="1237"/>
      <c r="F240" s="1234"/>
      <c r="G240" s="1237"/>
      <c r="H240" s="1237"/>
      <c r="I240" s="1237"/>
      <c r="J240" s="1237"/>
      <c r="K240" s="1237"/>
      <c r="L240" s="1265"/>
      <c r="M240" s="1265"/>
    </row>
    <row r="241" spans="1:13" ht="24" customHeight="1">
      <c r="A241" s="1292"/>
      <c r="B241" s="1237"/>
      <c r="C241" s="1110"/>
      <c r="D241" s="1249"/>
      <c r="E241" s="1238"/>
      <c r="F241" s="1257"/>
      <c r="G241" s="1249"/>
      <c r="H241" s="1249"/>
      <c r="I241" s="1249"/>
      <c r="J241" s="1249"/>
      <c r="K241" s="1249"/>
      <c r="L241" s="1268"/>
      <c r="M241" s="1268"/>
    </row>
    <row r="242" spans="1:13" ht="15.75" customHeight="1">
      <c r="A242" s="1292"/>
      <c r="B242" s="1237"/>
      <c r="C242" s="1110"/>
      <c r="D242" s="1290" t="s">
        <v>3035</v>
      </c>
      <c r="E242" s="1281" t="s">
        <v>3036</v>
      </c>
      <c r="F242" s="1240"/>
      <c r="G242" s="1241" t="s">
        <v>3037</v>
      </c>
      <c r="H242" s="1242">
        <f ca="1">IFERROR(__xludf.DUMMYFUNCTION("""COMPUTED_VALUE"""),1139)</f>
        <v>1139</v>
      </c>
      <c r="I242" s="1243"/>
      <c r="J242" s="1244" t="s">
        <v>3037</v>
      </c>
      <c r="K242" s="1244"/>
      <c r="L242" s="1269"/>
      <c r="M242" s="1264"/>
    </row>
    <row r="243" spans="1:13" ht="15.75" customHeight="1">
      <c r="A243" s="1292"/>
      <c r="B243" s="1237"/>
      <c r="C243" s="1110"/>
      <c r="D243" s="1237"/>
      <c r="E243" s="1238"/>
      <c r="F243" s="1238"/>
      <c r="G243" s="1238"/>
      <c r="H243" s="1238"/>
      <c r="I243" s="1238"/>
      <c r="J243" s="1238"/>
      <c r="K243" s="1238"/>
      <c r="L243" s="1265"/>
      <c r="M243" s="1265"/>
    </row>
    <row r="244" spans="1:13" ht="15.75" customHeight="1">
      <c r="A244" s="1292"/>
      <c r="B244" s="1237"/>
      <c r="C244" s="1110"/>
      <c r="D244" s="1237"/>
      <c r="E244" s="1281" t="s">
        <v>3038</v>
      </c>
      <c r="F244" s="1240"/>
      <c r="G244" s="1241" t="s">
        <v>3039</v>
      </c>
      <c r="H244" s="1246">
        <f ca="1">IFERROR(__xludf.DUMMYFUNCTION("""COMPUTED_VALUE"""),8)</f>
        <v>8</v>
      </c>
      <c r="I244" s="1243"/>
      <c r="J244" s="1244" t="s">
        <v>3039</v>
      </c>
      <c r="K244" s="1244"/>
      <c r="L244" s="1265"/>
      <c r="M244" s="1265"/>
    </row>
    <row r="245" spans="1:13" ht="15.75" customHeight="1">
      <c r="A245" s="1299"/>
      <c r="B245" s="1245"/>
      <c r="C245" s="1111"/>
      <c r="D245" s="1245"/>
      <c r="E245" s="1245"/>
      <c r="F245" s="1245"/>
      <c r="G245" s="1245"/>
      <c r="H245" s="1245"/>
      <c r="I245" s="1245"/>
      <c r="J245" s="1245"/>
      <c r="K245" s="1245"/>
      <c r="L245" s="1266"/>
      <c r="M245" s="1266"/>
    </row>
    <row r="246" spans="1:13" ht="15.75" customHeight="1">
      <c r="A246" s="1303">
        <v>10</v>
      </c>
      <c r="B246" s="1302">
        <v>45962</v>
      </c>
      <c r="C246" s="1109"/>
      <c r="D246" s="1279" t="s">
        <v>3051</v>
      </c>
      <c r="E246" s="1280" t="s">
        <v>3052</v>
      </c>
      <c r="F246" s="1247">
        <v>30</v>
      </c>
      <c r="G246" s="1251" t="s">
        <v>3020</v>
      </c>
      <c r="H246" s="1252">
        <f ca="1">IFERROR(__xludf.DUMMYFUNCTION("""COMPUTED_VALUE"""),18)</f>
        <v>18</v>
      </c>
      <c r="I246" s="1255">
        <f ca="1">IFERROR(__xludf.DUMMYFUNCTION("""COMPUTED_VALUE"""),0.6)</f>
        <v>0.6</v>
      </c>
      <c r="J246" s="1256" t="s">
        <v>3020</v>
      </c>
      <c r="K246" s="1263"/>
      <c r="L246" s="1267">
        <f ca="1">IFERROR(__xludf.DUMMYFUNCTION("""COMPUTED_VALUE"""),0.801113912513227)</f>
        <v>0.80111391251322694</v>
      </c>
      <c r="M246" s="1270">
        <f ca="1">IFERROR(__xludf.DUMMYFUNCTION("""COMPUTED_VALUE"""),0.704817616216931)</f>
        <v>0.70481761621693095</v>
      </c>
    </row>
    <row r="247" spans="1:13" ht="15.75" customHeight="1">
      <c r="A247" s="1292"/>
      <c r="B247" s="1237"/>
      <c r="C247" s="1109"/>
      <c r="D247" s="1237"/>
      <c r="E247" s="1237"/>
      <c r="F247" s="1234"/>
      <c r="G247" s="1237"/>
      <c r="H247" s="1253"/>
      <c r="I247" s="1237"/>
      <c r="J247" s="1237"/>
      <c r="K247" s="1237"/>
      <c r="L247" s="1265"/>
      <c r="M247" s="1265"/>
    </row>
    <row r="248" spans="1:13" ht="15.75" customHeight="1">
      <c r="A248" s="1292"/>
      <c r="B248" s="1237"/>
      <c r="C248" s="1109"/>
      <c r="D248" s="1237"/>
      <c r="E248" s="1238"/>
      <c r="F248" s="1235"/>
      <c r="G248" s="1238"/>
      <c r="H248" s="1254"/>
      <c r="I248" s="1238"/>
      <c r="J248" s="1238"/>
      <c r="K248" s="1238"/>
      <c r="L248" s="1265"/>
      <c r="M248" s="1265"/>
    </row>
    <row r="249" spans="1:13" ht="15.75" customHeight="1">
      <c r="A249" s="1292"/>
      <c r="B249" s="1237"/>
      <c r="C249" s="1110"/>
      <c r="D249" s="1237"/>
      <c r="E249" s="1280" t="s">
        <v>3021</v>
      </c>
      <c r="F249" s="1247">
        <v>75</v>
      </c>
      <c r="G249" s="1236" t="s">
        <v>3022</v>
      </c>
      <c r="H249" s="1239">
        <f ca="1">IFERROR(__xludf.DUMMYFUNCTION("""COMPUTED_VALUE"""),62)</f>
        <v>62</v>
      </c>
      <c r="I249" s="1259">
        <f ca="1">IFERROR(__xludf.DUMMYFUNCTION("""COMPUTED_VALUE"""),0.826666666666666)</f>
        <v>0.82666666666666599</v>
      </c>
      <c r="J249" s="1236" t="s">
        <v>3022</v>
      </c>
      <c r="K249" s="1262"/>
      <c r="L249" s="1265"/>
      <c r="M249" s="1265"/>
    </row>
    <row r="250" spans="1:13" ht="15.75" customHeight="1">
      <c r="A250" s="1292"/>
      <c r="B250" s="1237"/>
      <c r="C250" s="1110"/>
      <c r="D250" s="1237"/>
      <c r="E250" s="1237"/>
      <c r="F250" s="1234"/>
      <c r="G250" s="1237"/>
      <c r="H250" s="1237"/>
      <c r="I250" s="1237"/>
      <c r="J250" s="1237"/>
      <c r="K250" s="1237"/>
      <c r="L250" s="1265"/>
      <c r="M250" s="1265"/>
    </row>
    <row r="251" spans="1:13" ht="15.75" customHeight="1">
      <c r="A251" s="1292"/>
      <c r="B251" s="1237"/>
      <c r="C251" s="1110"/>
      <c r="D251" s="1237"/>
      <c r="E251" s="1238"/>
      <c r="F251" s="1235"/>
      <c r="G251" s="1238"/>
      <c r="H251" s="1238"/>
      <c r="I251" s="1238"/>
      <c r="J251" s="1238"/>
      <c r="K251" s="1238"/>
      <c r="L251" s="1265"/>
      <c r="M251" s="1265"/>
    </row>
    <row r="252" spans="1:13" ht="15.75" customHeight="1">
      <c r="A252" s="1292"/>
      <c r="B252" s="1237"/>
      <c r="C252" s="1110"/>
      <c r="D252" s="1237"/>
      <c r="E252" s="1280" t="s">
        <v>3023</v>
      </c>
      <c r="F252" s="1233">
        <v>2</v>
      </c>
      <c r="G252" s="1236" t="s">
        <v>3024</v>
      </c>
      <c r="H252" s="1239">
        <f ca="1">IFERROR(__xludf.DUMMYFUNCTION("""COMPUTED_VALUE"""),0)</f>
        <v>0</v>
      </c>
      <c r="I252" s="1259">
        <f ca="1">IFERROR(__xludf.DUMMYFUNCTION("""COMPUTED_VALUE"""),0)</f>
        <v>0</v>
      </c>
      <c r="J252" s="1236" t="s">
        <v>3024</v>
      </c>
      <c r="K252" s="1262"/>
      <c r="L252" s="1265"/>
      <c r="M252" s="1265"/>
    </row>
    <row r="253" spans="1:13" ht="15.75" customHeight="1">
      <c r="A253" s="1292"/>
      <c r="B253" s="1237"/>
      <c r="C253" s="1110"/>
      <c r="D253" s="1237"/>
      <c r="E253" s="1237"/>
      <c r="F253" s="1234"/>
      <c r="G253" s="1237"/>
      <c r="H253" s="1237"/>
      <c r="I253" s="1237"/>
      <c r="J253" s="1237"/>
      <c r="K253" s="1237"/>
      <c r="L253" s="1265"/>
      <c r="M253" s="1265"/>
    </row>
    <row r="254" spans="1:13" ht="15.75" customHeight="1">
      <c r="A254" s="1292"/>
      <c r="B254" s="1237"/>
      <c r="C254" s="1110"/>
      <c r="D254" s="1237"/>
      <c r="E254" s="1238"/>
      <c r="F254" s="1235"/>
      <c r="G254" s="1238"/>
      <c r="H254" s="1238"/>
      <c r="I254" s="1238"/>
      <c r="J254" s="1238"/>
      <c r="K254" s="1238"/>
      <c r="L254" s="1265"/>
      <c r="M254" s="1265"/>
    </row>
    <row r="255" spans="1:13" ht="15.75" customHeight="1">
      <c r="A255" s="1292"/>
      <c r="B255" s="1237"/>
      <c r="C255" s="1110"/>
      <c r="D255" s="1237"/>
      <c r="E255" s="1280" t="s">
        <v>3025</v>
      </c>
      <c r="F255" s="1258">
        <v>2800000000</v>
      </c>
      <c r="G255" s="1236" t="s">
        <v>3026</v>
      </c>
      <c r="H255" s="1260">
        <f ca="1">IFERROR(__xludf.DUMMYFUNCTION("""COMPUTED_VALUE"""),1166737262)</f>
        <v>1166737262</v>
      </c>
      <c r="I255" s="1259">
        <f ca="1">IFERROR(__xludf.DUMMYFUNCTION("""COMPUTED_VALUE"""),0.416691879285714)</f>
        <v>0.416691879285714</v>
      </c>
      <c r="J255" s="1236" t="s">
        <v>3026</v>
      </c>
      <c r="K255" s="1262"/>
      <c r="L255" s="1265"/>
      <c r="M255" s="1265"/>
    </row>
    <row r="256" spans="1:13" ht="15.75" customHeight="1">
      <c r="A256" s="1292"/>
      <c r="B256" s="1237"/>
      <c r="C256" s="1110"/>
      <c r="D256" s="1237"/>
      <c r="E256" s="1238"/>
      <c r="F256" s="1235"/>
      <c r="G256" s="1238"/>
      <c r="H256" s="1238"/>
      <c r="I256" s="1238"/>
      <c r="J256" s="1238"/>
      <c r="K256" s="1238"/>
      <c r="L256" s="1265"/>
      <c r="M256" s="1265"/>
    </row>
    <row r="257" spans="1:13" ht="24.75" customHeight="1">
      <c r="A257" s="1292"/>
      <c r="B257" s="1237"/>
      <c r="C257" s="1110"/>
      <c r="D257" s="1279" t="s">
        <v>3053</v>
      </c>
      <c r="E257" s="1280" t="s">
        <v>3074</v>
      </c>
      <c r="F257" s="1247">
        <v>5</v>
      </c>
      <c r="G257" s="1236" t="s">
        <v>1848</v>
      </c>
      <c r="H257" s="1239">
        <f ca="1">IFERROR(__xludf.DUMMYFUNCTION("""COMPUTED_VALUE"""),7)</f>
        <v>7</v>
      </c>
      <c r="I257" s="1259">
        <f ca="1">IFERROR(__xludf.DUMMYFUNCTION("""COMPUTED_VALUE"""),1.4)</f>
        <v>1.4</v>
      </c>
      <c r="J257" s="1236" t="s">
        <v>1848</v>
      </c>
      <c r="K257" s="1262"/>
      <c r="L257" s="1265"/>
      <c r="M257" s="1265"/>
    </row>
    <row r="258" spans="1:13" ht="24.75" customHeight="1">
      <c r="A258" s="1292"/>
      <c r="B258" s="1237"/>
      <c r="C258" s="1110"/>
      <c r="D258" s="1237"/>
      <c r="E258" s="1238"/>
      <c r="F258" s="1235"/>
      <c r="G258" s="1238"/>
      <c r="H258" s="1238"/>
      <c r="I258" s="1238"/>
      <c r="J258" s="1238"/>
      <c r="K258" s="1238"/>
      <c r="L258" s="1265"/>
      <c r="M258" s="1265"/>
    </row>
    <row r="259" spans="1:13" ht="24.75" customHeight="1">
      <c r="A259" s="1292"/>
      <c r="B259" s="1237"/>
      <c r="C259" s="1110"/>
      <c r="D259" s="1237"/>
      <c r="E259" s="1280" t="s">
        <v>3075</v>
      </c>
      <c r="F259" s="1247">
        <v>15</v>
      </c>
      <c r="G259" s="1236" t="s">
        <v>1848</v>
      </c>
      <c r="H259" s="1248">
        <f ca="1">IFERROR(__xludf.DUMMYFUNCTION("""COMPUTED_VALUE"""),22)</f>
        <v>22</v>
      </c>
      <c r="I259" s="1259">
        <f ca="1">IFERROR(__xludf.DUMMYFUNCTION("""COMPUTED_VALUE"""),1.46666666666666)</f>
        <v>1.4666666666666599</v>
      </c>
      <c r="J259" s="1236" t="s">
        <v>1848</v>
      </c>
      <c r="K259" s="1262"/>
      <c r="L259" s="1265"/>
      <c r="M259" s="1265"/>
    </row>
    <row r="260" spans="1:13" ht="24.75" customHeight="1">
      <c r="A260" s="1292"/>
      <c r="B260" s="1237"/>
      <c r="C260" s="1110"/>
      <c r="D260" s="1237"/>
      <c r="E260" s="1238"/>
      <c r="F260" s="1235"/>
      <c r="G260" s="1238"/>
      <c r="H260" s="1238"/>
      <c r="I260" s="1238"/>
      <c r="J260" s="1238"/>
      <c r="K260" s="1238"/>
      <c r="L260" s="1265"/>
      <c r="M260" s="1265"/>
    </row>
    <row r="261" spans="1:13" ht="25.5" customHeight="1">
      <c r="A261" s="1292"/>
      <c r="B261" s="1237"/>
      <c r="C261" s="1110"/>
      <c r="D261" s="1237"/>
      <c r="E261" s="1280" t="s">
        <v>3076</v>
      </c>
      <c r="F261" s="1247">
        <v>10</v>
      </c>
      <c r="G261" s="1236" t="s">
        <v>3031</v>
      </c>
      <c r="H261" s="1248">
        <f ca="1">IFERROR(__xludf.DUMMYFUNCTION("""COMPUTED_VALUE"""),5)</f>
        <v>5</v>
      </c>
      <c r="I261" s="1259">
        <f ca="1">IFERROR(__xludf.DUMMYFUNCTION("""COMPUTED_VALUE"""),0.5)</f>
        <v>0.5</v>
      </c>
      <c r="J261" s="1236" t="s">
        <v>3031</v>
      </c>
      <c r="K261" s="1262"/>
      <c r="L261" s="1265"/>
      <c r="M261" s="1265"/>
    </row>
    <row r="262" spans="1:13" ht="25.5" customHeight="1">
      <c r="A262" s="1292"/>
      <c r="B262" s="1237"/>
      <c r="C262" s="1110"/>
      <c r="D262" s="1237"/>
      <c r="E262" s="1238"/>
      <c r="F262" s="1235"/>
      <c r="G262" s="1238"/>
      <c r="H262" s="1238"/>
      <c r="I262" s="1238"/>
      <c r="J262" s="1238"/>
      <c r="K262" s="1238"/>
      <c r="L262" s="1265"/>
      <c r="M262" s="1265"/>
    </row>
    <row r="263" spans="1:13" ht="15.75" customHeight="1">
      <c r="A263" s="1292"/>
      <c r="B263" s="1237"/>
      <c r="C263" s="1110"/>
      <c r="D263" s="1237"/>
      <c r="E263" s="1280" t="s">
        <v>3077</v>
      </c>
      <c r="F263" s="1250">
        <v>5</v>
      </c>
      <c r="G263" s="1236" t="s">
        <v>3033</v>
      </c>
      <c r="H263" s="1248">
        <f ca="1">IFERROR(__xludf.DUMMYFUNCTION("""COMPUTED_VALUE"""),5)</f>
        <v>5</v>
      </c>
      <c r="I263" s="1259">
        <f ca="1">IFERROR(__xludf.DUMMYFUNCTION("""COMPUTED_VALUE"""),1)</f>
        <v>1</v>
      </c>
      <c r="J263" s="1236" t="s">
        <v>3033</v>
      </c>
      <c r="K263" s="1262"/>
      <c r="L263" s="1265"/>
      <c r="M263" s="1265"/>
    </row>
    <row r="264" spans="1:13" ht="15.75" customHeight="1">
      <c r="A264" s="1292"/>
      <c r="B264" s="1237"/>
      <c r="C264" s="1110"/>
      <c r="D264" s="1237"/>
      <c r="E264" s="1237"/>
      <c r="F264" s="1237"/>
      <c r="G264" s="1237"/>
      <c r="H264" s="1237"/>
      <c r="I264" s="1237"/>
      <c r="J264" s="1237"/>
      <c r="K264" s="1237"/>
      <c r="L264" s="1265"/>
      <c r="M264" s="1265"/>
    </row>
    <row r="265" spans="1:13" ht="15.75" customHeight="1">
      <c r="A265" s="1292"/>
      <c r="B265" s="1237"/>
      <c r="C265" s="1110"/>
      <c r="D265" s="1237"/>
      <c r="E265" s="1249"/>
      <c r="F265" s="1238"/>
      <c r="G265" s="1237"/>
      <c r="H265" s="1237"/>
      <c r="I265" s="1237"/>
      <c r="J265" s="1237"/>
      <c r="K265" s="1237"/>
      <c r="L265" s="1265"/>
      <c r="M265" s="1265"/>
    </row>
    <row r="266" spans="1:13" ht="24.75" customHeight="1">
      <c r="A266" s="1292"/>
      <c r="B266" s="1237"/>
      <c r="C266" s="1110"/>
      <c r="D266" s="1237"/>
      <c r="E266" s="1281" t="s">
        <v>3078</v>
      </c>
      <c r="F266" s="1247">
        <v>5</v>
      </c>
      <c r="G266" s="1236" t="s">
        <v>3033</v>
      </c>
      <c r="H266" s="1248">
        <f ca="1">IFERROR(__xludf.DUMMYFUNCTION("""COMPUTED_VALUE"""),5)</f>
        <v>5</v>
      </c>
      <c r="I266" s="1259">
        <f ca="1">IFERROR(__xludf.DUMMYFUNCTION("""COMPUTED_VALUE"""),1)</f>
        <v>1</v>
      </c>
      <c r="J266" s="1236" t="s">
        <v>3033</v>
      </c>
      <c r="K266" s="1262"/>
      <c r="L266" s="1265"/>
      <c r="M266" s="1265"/>
    </row>
    <row r="267" spans="1:13" ht="24.75" customHeight="1">
      <c r="A267" s="1292"/>
      <c r="B267" s="1237"/>
      <c r="C267" s="1110"/>
      <c r="D267" s="1237"/>
      <c r="E267" s="1237"/>
      <c r="F267" s="1234"/>
      <c r="G267" s="1237"/>
      <c r="H267" s="1237"/>
      <c r="I267" s="1237"/>
      <c r="J267" s="1237"/>
      <c r="K267" s="1237"/>
      <c r="L267" s="1265"/>
      <c r="M267" s="1265"/>
    </row>
    <row r="268" spans="1:13" ht="24.75" customHeight="1">
      <c r="A268" s="1292"/>
      <c r="B268" s="1237"/>
      <c r="C268" s="1110"/>
      <c r="D268" s="1249"/>
      <c r="E268" s="1238"/>
      <c r="F268" s="1257"/>
      <c r="G268" s="1249"/>
      <c r="H268" s="1249"/>
      <c r="I268" s="1249"/>
      <c r="J268" s="1249"/>
      <c r="K268" s="1249"/>
      <c r="L268" s="1268"/>
      <c r="M268" s="1268"/>
    </row>
    <row r="269" spans="1:13" ht="15.75" customHeight="1">
      <c r="A269" s="1292"/>
      <c r="B269" s="1237"/>
      <c r="C269" s="1110"/>
      <c r="D269" s="1290" t="s">
        <v>3035</v>
      </c>
      <c r="E269" s="1281" t="s">
        <v>3036</v>
      </c>
      <c r="F269" s="1240"/>
      <c r="G269" s="1241" t="s">
        <v>3037</v>
      </c>
      <c r="H269" s="1242">
        <f ca="1">IFERROR(__xludf.DUMMYFUNCTION("""COMPUTED_VALUE"""),1234)</f>
        <v>1234</v>
      </c>
      <c r="I269" s="1243"/>
      <c r="J269" s="1244" t="s">
        <v>3037</v>
      </c>
      <c r="K269" s="1244"/>
      <c r="L269" s="1269"/>
      <c r="M269" s="1264"/>
    </row>
    <row r="270" spans="1:13" ht="15.75" customHeight="1">
      <c r="A270" s="1292"/>
      <c r="B270" s="1237"/>
      <c r="C270" s="1110"/>
      <c r="D270" s="1237"/>
      <c r="E270" s="1238"/>
      <c r="F270" s="1238"/>
      <c r="G270" s="1238"/>
      <c r="H270" s="1238"/>
      <c r="I270" s="1238"/>
      <c r="J270" s="1238"/>
      <c r="K270" s="1238"/>
      <c r="L270" s="1265"/>
      <c r="M270" s="1265"/>
    </row>
    <row r="271" spans="1:13" ht="15.75" customHeight="1">
      <c r="A271" s="1292"/>
      <c r="B271" s="1237"/>
      <c r="C271" s="1110"/>
      <c r="D271" s="1237"/>
      <c r="E271" s="1281" t="s">
        <v>3038</v>
      </c>
      <c r="F271" s="1240"/>
      <c r="G271" s="1241" t="s">
        <v>3039</v>
      </c>
      <c r="H271" s="1246">
        <f ca="1">IFERROR(__xludf.DUMMYFUNCTION("""COMPUTED_VALUE"""),8)</f>
        <v>8</v>
      </c>
      <c r="I271" s="1243"/>
      <c r="J271" s="1244" t="s">
        <v>3039</v>
      </c>
      <c r="K271" s="1244"/>
      <c r="L271" s="1265"/>
      <c r="M271" s="1265"/>
    </row>
    <row r="272" spans="1:13" ht="15.75" customHeight="1">
      <c r="A272" s="1305"/>
      <c r="B272" s="1261"/>
      <c r="C272" s="1115"/>
      <c r="D272" s="1261"/>
      <c r="E272" s="1261"/>
      <c r="F272" s="1261"/>
      <c r="G272" s="1261"/>
      <c r="H272" s="1261"/>
      <c r="I272" s="1261"/>
      <c r="J272" s="1261"/>
      <c r="K272" s="1261"/>
      <c r="L272" s="1271"/>
      <c r="M272" s="1266"/>
    </row>
    <row r="273" spans="1:13" ht="15.75" customHeight="1">
      <c r="A273" s="1303">
        <v>11</v>
      </c>
      <c r="B273" s="1304" t="s">
        <v>182</v>
      </c>
      <c r="C273" s="1109"/>
      <c r="D273" s="1279" t="s">
        <v>3051</v>
      </c>
      <c r="E273" s="1280" t="s">
        <v>3052</v>
      </c>
      <c r="F273" s="1247">
        <v>30</v>
      </c>
      <c r="G273" s="1251" t="s">
        <v>3020</v>
      </c>
      <c r="H273" s="1252">
        <f ca="1">IFERROR(__xludf.DUMMYFUNCTION("""COMPUTED_VALUE"""),37)</f>
        <v>37</v>
      </c>
      <c r="I273" s="1255">
        <f ca="1">IFERROR(__xludf.DUMMYFUNCTION("""COMPUTED_VALUE"""),1.23333333333333)</f>
        <v>1.2333333333333301</v>
      </c>
      <c r="J273" s="1256" t="s">
        <v>3020</v>
      </c>
      <c r="K273" s="1263"/>
      <c r="L273" s="1267">
        <f ca="1">IFERROR(__xludf.DUMMYFUNCTION("""COMPUTED_VALUE"""),1.15144520199735)</f>
        <v>1.15144520199735</v>
      </c>
      <c r="M273" s="1270">
        <f ca="1">IFERROR(__xludf.DUMMYFUNCTION("""COMPUTED_VALUE"""),0.929222979775132)</f>
        <v>0.92922297977513202</v>
      </c>
    </row>
    <row r="274" spans="1:13" ht="15.75" customHeight="1">
      <c r="A274" s="1292"/>
      <c r="B274" s="1237"/>
      <c r="C274" s="1109"/>
      <c r="D274" s="1237"/>
      <c r="E274" s="1237"/>
      <c r="F274" s="1234"/>
      <c r="G274" s="1237"/>
      <c r="H274" s="1253"/>
      <c r="I274" s="1237"/>
      <c r="J274" s="1237"/>
      <c r="K274" s="1237"/>
      <c r="L274" s="1265"/>
      <c r="M274" s="1265"/>
    </row>
    <row r="275" spans="1:13" ht="15.75" customHeight="1">
      <c r="A275" s="1292"/>
      <c r="B275" s="1237"/>
      <c r="C275" s="1109"/>
      <c r="D275" s="1237"/>
      <c r="E275" s="1238"/>
      <c r="F275" s="1235"/>
      <c r="G275" s="1238"/>
      <c r="H275" s="1254"/>
      <c r="I275" s="1238"/>
      <c r="J275" s="1238"/>
      <c r="K275" s="1238"/>
      <c r="L275" s="1265"/>
      <c r="M275" s="1265"/>
    </row>
    <row r="276" spans="1:13" ht="15.75" customHeight="1">
      <c r="A276" s="1292"/>
      <c r="B276" s="1237"/>
      <c r="C276" s="1110"/>
      <c r="D276" s="1237"/>
      <c r="E276" s="1280" t="s">
        <v>3021</v>
      </c>
      <c r="F276" s="1247">
        <v>75</v>
      </c>
      <c r="G276" s="1236" t="s">
        <v>3022</v>
      </c>
      <c r="H276" s="1239">
        <f ca="1">IFERROR(__xludf.DUMMYFUNCTION("""COMPUTED_VALUE"""),67)</f>
        <v>67</v>
      </c>
      <c r="I276" s="1259">
        <f ca="1">IFERROR(__xludf.DUMMYFUNCTION("""COMPUTED_VALUE"""),0.893333333333333)</f>
        <v>0.89333333333333298</v>
      </c>
      <c r="J276" s="1236" t="s">
        <v>3022</v>
      </c>
      <c r="K276" s="1262"/>
      <c r="L276" s="1265"/>
      <c r="M276" s="1265"/>
    </row>
    <row r="277" spans="1:13" ht="15.75" customHeight="1">
      <c r="A277" s="1292"/>
      <c r="B277" s="1237"/>
      <c r="C277" s="1110"/>
      <c r="D277" s="1237"/>
      <c r="E277" s="1237"/>
      <c r="F277" s="1234"/>
      <c r="G277" s="1237"/>
      <c r="H277" s="1237"/>
      <c r="I277" s="1237"/>
      <c r="J277" s="1237"/>
      <c r="K277" s="1237"/>
      <c r="L277" s="1265"/>
      <c r="M277" s="1265"/>
    </row>
    <row r="278" spans="1:13" ht="15.75" customHeight="1">
      <c r="A278" s="1292"/>
      <c r="B278" s="1237"/>
      <c r="C278" s="1110"/>
      <c r="D278" s="1237"/>
      <c r="E278" s="1238"/>
      <c r="F278" s="1235"/>
      <c r="G278" s="1238"/>
      <c r="H278" s="1238"/>
      <c r="I278" s="1238"/>
      <c r="J278" s="1238"/>
      <c r="K278" s="1238"/>
      <c r="L278" s="1265"/>
      <c r="M278" s="1265"/>
    </row>
    <row r="279" spans="1:13" ht="15.75" customHeight="1">
      <c r="A279" s="1292"/>
      <c r="B279" s="1237"/>
      <c r="C279" s="1110"/>
      <c r="D279" s="1237"/>
      <c r="E279" s="1280" t="s">
        <v>3023</v>
      </c>
      <c r="F279" s="1233">
        <v>2</v>
      </c>
      <c r="G279" s="1236" t="s">
        <v>3024</v>
      </c>
      <c r="H279" s="1239">
        <f ca="1">IFERROR(__xludf.DUMMYFUNCTION("""COMPUTED_VALUE"""),3)</f>
        <v>3</v>
      </c>
      <c r="I279" s="1259">
        <f ca="1">IFERROR(__xludf.DUMMYFUNCTION("""COMPUTED_VALUE"""),1.5)</f>
        <v>1.5</v>
      </c>
      <c r="J279" s="1236" t="s">
        <v>3024</v>
      </c>
      <c r="K279" s="1262"/>
      <c r="L279" s="1265"/>
      <c r="M279" s="1265"/>
    </row>
    <row r="280" spans="1:13" ht="15.75" customHeight="1">
      <c r="A280" s="1292"/>
      <c r="B280" s="1237"/>
      <c r="C280" s="1110"/>
      <c r="D280" s="1237"/>
      <c r="E280" s="1237"/>
      <c r="F280" s="1234"/>
      <c r="G280" s="1237"/>
      <c r="H280" s="1237"/>
      <c r="I280" s="1237"/>
      <c r="J280" s="1237"/>
      <c r="K280" s="1237"/>
      <c r="L280" s="1265"/>
      <c r="M280" s="1265"/>
    </row>
    <row r="281" spans="1:13" ht="15.75" customHeight="1">
      <c r="A281" s="1292"/>
      <c r="B281" s="1237"/>
      <c r="C281" s="1110"/>
      <c r="D281" s="1237"/>
      <c r="E281" s="1238"/>
      <c r="F281" s="1235"/>
      <c r="G281" s="1238"/>
      <c r="H281" s="1238"/>
      <c r="I281" s="1238"/>
      <c r="J281" s="1238"/>
      <c r="K281" s="1238"/>
      <c r="L281" s="1265"/>
      <c r="M281" s="1265"/>
    </row>
    <row r="282" spans="1:13" ht="15.75" customHeight="1">
      <c r="A282" s="1292"/>
      <c r="B282" s="1237"/>
      <c r="C282" s="1110"/>
      <c r="D282" s="1237"/>
      <c r="E282" s="1280" t="s">
        <v>3025</v>
      </c>
      <c r="F282" s="1258">
        <v>2800000000</v>
      </c>
      <c r="G282" s="1236" t="s">
        <v>3026</v>
      </c>
      <c r="H282" s="1260">
        <f ca="1">IFERROR(__xludf.DUMMYFUNCTION("""COMPUTED_VALUE"""),2715085757)</f>
        <v>2715085757</v>
      </c>
      <c r="I282" s="1259">
        <f ca="1">IFERROR(__xludf.DUMMYFUNCTION("""COMPUTED_VALUE"""),0.969673484642857)</f>
        <v>0.96967348464285696</v>
      </c>
      <c r="J282" s="1236" t="s">
        <v>3026</v>
      </c>
      <c r="K282" s="1262"/>
      <c r="L282" s="1265"/>
      <c r="M282" s="1265"/>
    </row>
    <row r="283" spans="1:13" ht="15.75" customHeight="1">
      <c r="A283" s="1292"/>
      <c r="B283" s="1237"/>
      <c r="C283" s="1110"/>
      <c r="D283" s="1237"/>
      <c r="E283" s="1238"/>
      <c r="F283" s="1235"/>
      <c r="G283" s="1238"/>
      <c r="H283" s="1238"/>
      <c r="I283" s="1238"/>
      <c r="J283" s="1238"/>
      <c r="K283" s="1238"/>
      <c r="L283" s="1265"/>
      <c r="M283" s="1265"/>
    </row>
    <row r="284" spans="1:13" ht="24" customHeight="1">
      <c r="A284" s="1292"/>
      <c r="B284" s="1237"/>
      <c r="C284" s="1110"/>
      <c r="D284" s="1279" t="s">
        <v>3053</v>
      </c>
      <c r="E284" s="1280" t="s">
        <v>3079</v>
      </c>
      <c r="F284" s="1247">
        <v>5</v>
      </c>
      <c r="G284" s="1236" t="s">
        <v>1848</v>
      </c>
      <c r="H284" s="1239">
        <f ca="1">IFERROR(__xludf.DUMMYFUNCTION("""COMPUTED_VALUE"""),7)</f>
        <v>7</v>
      </c>
      <c r="I284" s="1259">
        <f ca="1">IFERROR(__xludf.DUMMYFUNCTION("""COMPUTED_VALUE"""),1.4)</f>
        <v>1.4</v>
      </c>
      <c r="J284" s="1236" t="s">
        <v>1848</v>
      </c>
      <c r="K284" s="1262"/>
      <c r="L284" s="1265"/>
      <c r="M284" s="1265"/>
    </row>
    <row r="285" spans="1:13" ht="24" customHeight="1">
      <c r="A285" s="1292"/>
      <c r="B285" s="1237"/>
      <c r="C285" s="1110"/>
      <c r="D285" s="1237"/>
      <c r="E285" s="1238"/>
      <c r="F285" s="1235"/>
      <c r="G285" s="1238"/>
      <c r="H285" s="1238"/>
      <c r="I285" s="1238"/>
      <c r="J285" s="1238"/>
      <c r="K285" s="1238"/>
      <c r="L285" s="1265"/>
      <c r="M285" s="1265"/>
    </row>
    <row r="286" spans="1:13" ht="23.25" customHeight="1">
      <c r="A286" s="1292"/>
      <c r="B286" s="1237"/>
      <c r="C286" s="1110"/>
      <c r="D286" s="1237"/>
      <c r="E286" s="1280" t="s">
        <v>3080</v>
      </c>
      <c r="F286" s="1247">
        <v>15</v>
      </c>
      <c r="G286" s="1236" t="s">
        <v>1848</v>
      </c>
      <c r="H286" s="1248">
        <f ca="1">IFERROR(__xludf.DUMMYFUNCTION("""COMPUTED_VALUE"""),25)</f>
        <v>25</v>
      </c>
      <c r="I286" s="1259">
        <f ca="1">IFERROR(__xludf.DUMMYFUNCTION("""COMPUTED_VALUE"""),1.66666666666666)</f>
        <v>1.6666666666666601</v>
      </c>
      <c r="J286" s="1236" t="s">
        <v>1848</v>
      </c>
      <c r="K286" s="1262"/>
      <c r="L286" s="1265"/>
      <c r="M286" s="1265"/>
    </row>
    <row r="287" spans="1:13" ht="23.25" customHeight="1">
      <c r="A287" s="1292"/>
      <c r="B287" s="1237"/>
      <c r="C287" s="1110"/>
      <c r="D287" s="1237"/>
      <c r="E287" s="1238"/>
      <c r="F287" s="1235"/>
      <c r="G287" s="1238"/>
      <c r="H287" s="1238"/>
      <c r="I287" s="1238"/>
      <c r="J287" s="1238"/>
      <c r="K287" s="1238"/>
      <c r="L287" s="1265"/>
      <c r="M287" s="1265"/>
    </row>
    <row r="288" spans="1:13" ht="30" customHeight="1">
      <c r="A288" s="1292"/>
      <c r="B288" s="1237"/>
      <c r="C288" s="1110"/>
      <c r="D288" s="1237"/>
      <c r="E288" s="1280" t="s">
        <v>3030</v>
      </c>
      <c r="F288" s="1247">
        <v>10</v>
      </c>
      <c r="G288" s="1236" t="s">
        <v>3031</v>
      </c>
      <c r="H288" s="1248">
        <f ca="1">IFERROR(__xludf.DUMMYFUNCTION("""COMPUTED_VALUE"""),5)</f>
        <v>5</v>
      </c>
      <c r="I288" s="1259">
        <f ca="1">IFERROR(__xludf.DUMMYFUNCTION("""COMPUTED_VALUE"""),0.5)</f>
        <v>0.5</v>
      </c>
      <c r="J288" s="1236" t="s">
        <v>3031</v>
      </c>
      <c r="K288" s="1262"/>
      <c r="L288" s="1265"/>
      <c r="M288" s="1265"/>
    </row>
    <row r="289" spans="1:13" ht="30" customHeight="1">
      <c r="A289" s="1292"/>
      <c r="B289" s="1237"/>
      <c r="C289" s="1110"/>
      <c r="D289" s="1237"/>
      <c r="E289" s="1238"/>
      <c r="F289" s="1235"/>
      <c r="G289" s="1238"/>
      <c r="H289" s="1238"/>
      <c r="I289" s="1238"/>
      <c r="J289" s="1238"/>
      <c r="K289" s="1238"/>
      <c r="L289" s="1265"/>
      <c r="M289" s="1265"/>
    </row>
    <row r="290" spans="1:13" ht="15.75" customHeight="1">
      <c r="A290" s="1292"/>
      <c r="B290" s="1237"/>
      <c r="C290" s="1110"/>
      <c r="D290" s="1237"/>
      <c r="E290" s="1280" t="s">
        <v>3081</v>
      </c>
      <c r="F290" s="1250">
        <v>5</v>
      </c>
      <c r="G290" s="1236" t="s">
        <v>3033</v>
      </c>
      <c r="H290" s="1248">
        <f ca="1">IFERROR(__xludf.DUMMYFUNCTION("""COMPUTED_VALUE"""),5)</f>
        <v>5</v>
      </c>
      <c r="I290" s="1259">
        <f ca="1">IFERROR(__xludf.DUMMYFUNCTION("""COMPUTED_VALUE"""),1)</f>
        <v>1</v>
      </c>
      <c r="J290" s="1236" t="s">
        <v>3033</v>
      </c>
      <c r="K290" s="1262"/>
      <c r="L290" s="1265"/>
      <c r="M290" s="1265"/>
    </row>
    <row r="291" spans="1:13" ht="15.75" customHeight="1">
      <c r="A291" s="1292"/>
      <c r="B291" s="1237"/>
      <c r="C291" s="1110"/>
      <c r="D291" s="1237"/>
      <c r="E291" s="1237"/>
      <c r="F291" s="1237"/>
      <c r="G291" s="1237"/>
      <c r="H291" s="1237"/>
      <c r="I291" s="1237"/>
      <c r="J291" s="1237"/>
      <c r="K291" s="1237"/>
      <c r="L291" s="1265"/>
      <c r="M291" s="1265"/>
    </row>
    <row r="292" spans="1:13" ht="15.75" customHeight="1">
      <c r="A292" s="1292"/>
      <c r="B292" s="1237"/>
      <c r="C292" s="1110"/>
      <c r="D292" s="1237"/>
      <c r="E292" s="1249"/>
      <c r="F292" s="1238"/>
      <c r="G292" s="1237"/>
      <c r="H292" s="1237"/>
      <c r="I292" s="1237"/>
      <c r="J292" s="1237"/>
      <c r="K292" s="1237"/>
      <c r="L292" s="1265"/>
      <c r="M292" s="1265"/>
    </row>
    <row r="293" spans="1:13" ht="25.5" customHeight="1">
      <c r="A293" s="1292"/>
      <c r="B293" s="1237"/>
      <c r="C293" s="1110"/>
      <c r="D293" s="1237"/>
      <c r="E293" s="1281" t="s">
        <v>3082</v>
      </c>
      <c r="F293" s="1247">
        <v>5</v>
      </c>
      <c r="G293" s="1236" t="s">
        <v>3033</v>
      </c>
      <c r="H293" s="1248">
        <f ca="1">IFERROR(__xludf.DUMMYFUNCTION("""COMPUTED_VALUE"""),6)</f>
        <v>6</v>
      </c>
      <c r="I293" s="1259">
        <f ca="1">IFERROR(__xludf.DUMMYFUNCTION("""COMPUTED_VALUE"""),1.2)</f>
        <v>1.2</v>
      </c>
      <c r="J293" s="1236" t="s">
        <v>3033</v>
      </c>
      <c r="K293" s="1262"/>
      <c r="L293" s="1265"/>
      <c r="M293" s="1265"/>
    </row>
    <row r="294" spans="1:13" ht="25.5" customHeight="1">
      <c r="A294" s="1292"/>
      <c r="B294" s="1237"/>
      <c r="C294" s="1110"/>
      <c r="D294" s="1237"/>
      <c r="E294" s="1237"/>
      <c r="F294" s="1234"/>
      <c r="G294" s="1237"/>
      <c r="H294" s="1237"/>
      <c r="I294" s="1237"/>
      <c r="J294" s="1237"/>
      <c r="K294" s="1237"/>
      <c r="L294" s="1265"/>
      <c r="M294" s="1265"/>
    </row>
    <row r="295" spans="1:13" ht="25.5" customHeight="1">
      <c r="A295" s="1292"/>
      <c r="B295" s="1237"/>
      <c r="C295" s="1110"/>
      <c r="D295" s="1249"/>
      <c r="E295" s="1238"/>
      <c r="F295" s="1257"/>
      <c r="G295" s="1249"/>
      <c r="H295" s="1249"/>
      <c r="I295" s="1249"/>
      <c r="J295" s="1249"/>
      <c r="K295" s="1249"/>
      <c r="L295" s="1268"/>
      <c r="M295" s="1268"/>
    </row>
    <row r="296" spans="1:13" ht="15.75" customHeight="1">
      <c r="A296" s="1292"/>
      <c r="B296" s="1237"/>
      <c r="C296" s="1110"/>
      <c r="D296" s="1290" t="s">
        <v>3035</v>
      </c>
      <c r="E296" s="1281" t="s">
        <v>3036</v>
      </c>
      <c r="F296" s="1240"/>
      <c r="G296" s="1241" t="s">
        <v>3037</v>
      </c>
      <c r="H296" s="1242">
        <f ca="1">IFERROR(__xludf.DUMMYFUNCTION("""COMPUTED_VALUE"""),1234)</f>
        <v>1234</v>
      </c>
      <c r="I296" s="1243"/>
      <c r="J296" s="1244" t="s">
        <v>3037</v>
      </c>
      <c r="K296" s="1244"/>
      <c r="L296" s="1269"/>
      <c r="M296" s="1264"/>
    </row>
    <row r="297" spans="1:13" ht="15.75" customHeight="1">
      <c r="A297" s="1292"/>
      <c r="B297" s="1237"/>
      <c r="C297" s="1110"/>
      <c r="D297" s="1237"/>
      <c r="E297" s="1238"/>
      <c r="F297" s="1238"/>
      <c r="G297" s="1238"/>
      <c r="H297" s="1238"/>
      <c r="I297" s="1238"/>
      <c r="J297" s="1238"/>
      <c r="K297" s="1238"/>
      <c r="L297" s="1265"/>
      <c r="M297" s="1265"/>
    </row>
    <row r="298" spans="1:13" ht="15.75" customHeight="1">
      <c r="A298" s="1292"/>
      <c r="B298" s="1237"/>
      <c r="C298" s="1110"/>
      <c r="D298" s="1237"/>
      <c r="E298" s="1281" t="s">
        <v>3038</v>
      </c>
      <c r="F298" s="1240"/>
      <c r="G298" s="1241" t="s">
        <v>3039</v>
      </c>
      <c r="H298" s="1246">
        <f ca="1">IFERROR(__xludf.DUMMYFUNCTION("""COMPUTED_VALUE"""),9)</f>
        <v>9</v>
      </c>
      <c r="I298" s="1243"/>
      <c r="J298" s="1244" t="s">
        <v>3039</v>
      </c>
      <c r="K298" s="1244"/>
      <c r="L298" s="1265"/>
      <c r="M298" s="1265"/>
    </row>
    <row r="299" spans="1:13" ht="15.75" customHeight="1">
      <c r="A299" s="1299"/>
      <c r="B299" s="1245"/>
      <c r="C299" s="1111"/>
      <c r="D299" s="1245"/>
      <c r="E299" s="1245"/>
      <c r="F299" s="1245"/>
      <c r="G299" s="1245"/>
      <c r="H299" s="1245"/>
      <c r="I299" s="1245"/>
      <c r="J299" s="1245"/>
      <c r="K299" s="1245"/>
      <c r="L299" s="1266"/>
      <c r="M299" s="1266"/>
    </row>
    <row r="300" spans="1:13" ht="15.75" customHeight="1">
      <c r="H300" s="853"/>
      <c r="I300" s="853"/>
      <c r="L300" s="853"/>
      <c r="M300" s="853"/>
    </row>
    <row r="301" spans="1:13" ht="15.75" customHeight="1">
      <c r="H301" s="853"/>
      <c r="I301" s="853"/>
      <c r="L301" s="853"/>
      <c r="M301" s="853"/>
    </row>
    <row r="302" spans="1:13" ht="15.75" customHeight="1">
      <c r="H302" s="853"/>
      <c r="I302" s="853"/>
      <c r="L302" s="853"/>
      <c r="M302" s="853"/>
    </row>
    <row r="303" spans="1:13" ht="15.75" customHeight="1">
      <c r="H303" s="853"/>
      <c r="I303" s="853"/>
      <c r="L303" s="853"/>
      <c r="M303" s="853"/>
    </row>
    <row r="304" spans="1:13" ht="15.75" customHeight="1">
      <c r="H304" s="853"/>
      <c r="I304" s="853"/>
      <c r="L304" s="853"/>
      <c r="M304" s="853"/>
    </row>
    <row r="305" spans="8:13" ht="15.75" customHeight="1">
      <c r="H305" s="853"/>
      <c r="I305" s="853"/>
      <c r="L305" s="853"/>
      <c r="M305" s="853"/>
    </row>
    <row r="306" spans="8:13" ht="15.75" customHeight="1">
      <c r="H306" s="853"/>
      <c r="I306" s="853"/>
      <c r="L306" s="853"/>
      <c r="M306" s="853"/>
    </row>
    <row r="307" spans="8:13" ht="15.75" customHeight="1">
      <c r="H307" s="853"/>
      <c r="I307" s="853"/>
      <c r="L307" s="853"/>
      <c r="M307" s="853"/>
    </row>
    <row r="308" spans="8:13" ht="15.75" customHeight="1">
      <c r="H308" s="853"/>
      <c r="I308" s="853"/>
      <c r="L308" s="853"/>
      <c r="M308" s="853"/>
    </row>
    <row r="309" spans="8:13" ht="15.75" customHeight="1">
      <c r="H309" s="853"/>
      <c r="I309" s="853"/>
      <c r="L309" s="853"/>
      <c r="M309" s="853"/>
    </row>
    <row r="310" spans="8:13" ht="15.75" customHeight="1">
      <c r="H310" s="853"/>
      <c r="I310" s="853"/>
      <c r="L310" s="853"/>
      <c r="M310" s="853"/>
    </row>
    <row r="311" spans="8:13" ht="15.75" customHeight="1">
      <c r="H311" s="853"/>
      <c r="I311" s="853"/>
      <c r="L311" s="853"/>
      <c r="M311" s="853"/>
    </row>
    <row r="312" spans="8:13" ht="15.75" customHeight="1">
      <c r="H312" s="853"/>
      <c r="I312" s="853"/>
      <c r="L312" s="853"/>
      <c r="M312" s="853"/>
    </row>
    <row r="313" spans="8:13" ht="15.75" customHeight="1">
      <c r="H313" s="853"/>
      <c r="I313" s="853"/>
      <c r="L313" s="853"/>
      <c r="M313" s="853"/>
    </row>
    <row r="314" spans="8:13" ht="15.75" customHeight="1">
      <c r="H314" s="853"/>
      <c r="I314" s="853"/>
      <c r="L314" s="853"/>
      <c r="M314" s="853"/>
    </row>
    <row r="315" spans="8:13" ht="15.75" customHeight="1">
      <c r="H315" s="853"/>
      <c r="I315" s="853"/>
      <c r="L315" s="853"/>
      <c r="M315" s="853"/>
    </row>
    <row r="316" spans="8:13" ht="15.75" customHeight="1">
      <c r="H316" s="853"/>
      <c r="I316" s="853"/>
      <c r="L316" s="853"/>
      <c r="M316" s="853"/>
    </row>
    <row r="317" spans="8:13" ht="15.75" customHeight="1">
      <c r="H317" s="853"/>
      <c r="I317" s="853"/>
      <c r="L317" s="853"/>
      <c r="M317" s="853"/>
    </row>
    <row r="318" spans="8:13" ht="15.75" customHeight="1">
      <c r="H318" s="853"/>
      <c r="I318" s="853"/>
      <c r="L318" s="853"/>
      <c r="M318" s="853"/>
    </row>
    <row r="319" spans="8:13" ht="15.75" customHeight="1">
      <c r="H319" s="853"/>
      <c r="I319" s="853"/>
      <c r="L319" s="853"/>
      <c r="M319" s="853"/>
    </row>
    <row r="320" spans="8:13" ht="15.75" customHeight="1">
      <c r="H320" s="853"/>
      <c r="I320" s="853"/>
      <c r="L320" s="853"/>
      <c r="M320" s="853"/>
    </row>
    <row r="321" spans="8:13" ht="15.75" customHeight="1">
      <c r="H321" s="853"/>
      <c r="I321" s="853"/>
      <c r="L321" s="853"/>
      <c r="M321" s="853"/>
    </row>
    <row r="322" spans="8:13" ht="15.75" customHeight="1">
      <c r="H322" s="853"/>
      <c r="I322" s="853"/>
      <c r="L322" s="853"/>
      <c r="M322" s="853"/>
    </row>
    <row r="323" spans="8:13" ht="15.75" customHeight="1">
      <c r="H323" s="853"/>
      <c r="I323" s="853"/>
      <c r="L323" s="853"/>
      <c r="M323" s="853"/>
    </row>
    <row r="324" spans="8:13" ht="15.75" customHeight="1">
      <c r="H324" s="853"/>
      <c r="I324" s="853"/>
      <c r="L324" s="853"/>
      <c r="M324" s="853"/>
    </row>
    <row r="325" spans="8:13" ht="15.75" customHeight="1">
      <c r="H325" s="853"/>
      <c r="I325" s="853"/>
      <c r="L325" s="853"/>
      <c r="M325" s="853"/>
    </row>
    <row r="326" spans="8:13" ht="15.75" customHeight="1">
      <c r="H326" s="853"/>
      <c r="I326" s="853"/>
      <c r="L326" s="853"/>
      <c r="M326" s="853"/>
    </row>
    <row r="327" spans="8:13" ht="15.75" customHeight="1">
      <c r="H327" s="853"/>
      <c r="I327" s="853"/>
      <c r="L327" s="853"/>
      <c r="M327" s="853"/>
    </row>
    <row r="328" spans="8:13" ht="15.75" customHeight="1">
      <c r="H328" s="853"/>
      <c r="I328" s="853"/>
      <c r="L328" s="853"/>
      <c r="M328" s="853"/>
    </row>
    <row r="329" spans="8:13" ht="15.75" customHeight="1">
      <c r="H329" s="853"/>
      <c r="I329" s="853"/>
      <c r="L329" s="853"/>
      <c r="M329" s="853"/>
    </row>
    <row r="330" spans="8:13" ht="15.75" customHeight="1">
      <c r="H330" s="853"/>
      <c r="I330" s="853"/>
      <c r="L330" s="853"/>
      <c r="M330" s="853"/>
    </row>
    <row r="331" spans="8:13" ht="15.75" customHeight="1">
      <c r="H331" s="853"/>
      <c r="I331" s="853"/>
      <c r="L331" s="853"/>
      <c r="M331" s="853"/>
    </row>
    <row r="332" spans="8:13" ht="15.75" customHeight="1">
      <c r="H332" s="853"/>
      <c r="I332" s="853"/>
      <c r="L332" s="853"/>
      <c r="M332" s="853"/>
    </row>
    <row r="333" spans="8:13" ht="15.75" customHeight="1">
      <c r="H333" s="853"/>
      <c r="I333" s="853"/>
      <c r="L333" s="853"/>
      <c r="M333" s="853"/>
    </row>
    <row r="334" spans="8:13" ht="15.75" customHeight="1">
      <c r="H334" s="853"/>
      <c r="I334" s="853"/>
      <c r="L334" s="853"/>
      <c r="M334" s="853"/>
    </row>
    <row r="335" spans="8:13" ht="15.75" customHeight="1">
      <c r="H335" s="853"/>
      <c r="I335" s="853"/>
      <c r="L335" s="853"/>
      <c r="M335" s="853"/>
    </row>
    <row r="336" spans="8:13" ht="15.75" customHeight="1">
      <c r="H336" s="853"/>
      <c r="I336" s="853"/>
      <c r="L336" s="853"/>
      <c r="M336" s="853"/>
    </row>
    <row r="337" spans="8:13" ht="15.75" customHeight="1">
      <c r="H337" s="853"/>
      <c r="I337" s="853"/>
      <c r="L337" s="853"/>
      <c r="M337" s="853"/>
    </row>
    <row r="338" spans="8:13" ht="15.75" customHeight="1">
      <c r="H338" s="853"/>
      <c r="I338" s="853"/>
      <c r="L338" s="853"/>
      <c r="M338" s="853"/>
    </row>
    <row r="339" spans="8:13" ht="15.75" customHeight="1">
      <c r="H339" s="853"/>
      <c r="I339" s="853"/>
      <c r="L339" s="853"/>
      <c r="M339" s="853"/>
    </row>
    <row r="340" spans="8:13" ht="15.75" customHeight="1">
      <c r="H340" s="853"/>
      <c r="I340" s="853"/>
      <c r="L340" s="853"/>
      <c r="M340" s="853"/>
    </row>
    <row r="341" spans="8:13" ht="15.75" customHeight="1">
      <c r="H341" s="853"/>
      <c r="I341" s="853"/>
      <c r="L341" s="853"/>
      <c r="M341" s="853"/>
    </row>
    <row r="342" spans="8:13" ht="15.75" customHeight="1">
      <c r="H342" s="853"/>
      <c r="I342" s="853"/>
      <c r="L342" s="853"/>
      <c r="M342" s="853"/>
    </row>
    <row r="343" spans="8:13" ht="15.75" customHeight="1">
      <c r="H343" s="853"/>
      <c r="I343" s="853"/>
      <c r="L343" s="853"/>
      <c r="M343" s="853"/>
    </row>
    <row r="344" spans="8:13" ht="15.75" customHeight="1">
      <c r="H344" s="853"/>
      <c r="I344" s="853"/>
      <c r="L344" s="853"/>
      <c r="M344" s="853"/>
    </row>
    <row r="345" spans="8:13" ht="15.75" customHeight="1">
      <c r="H345" s="853"/>
      <c r="I345" s="853"/>
      <c r="L345" s="853"/>
      <c r="M345" s="853"/>
    </row>
    <row r="346" spans="8:13" ht="15.75" customHeight="1">
      <c r="H346" s="853"/>
      <c r="I346" s="853"/>
      <c r="L346" s="853"/>
      <c r="M346" s="853"/>
    </row>
    <row r="347" spans="8:13" ht="15.75" customHeight="1">
      <c r="H347" s="853"/>
      <c r="I347" s="853"/>
      <c r="L347" s="853"/>
      <c r="M347" s="853"/>
    </row>
    <row r="348" spans="8:13" ht="15.75" customHeight="1">
      <c r="H348" s="853"/>
      <c r="I348" s="853"/>
      <c r="L348" s="853"/>
      <c r="M348" s="853"/>
    </row>
    <row r="349" spans="8:13" ht="15.75" customHeight="1">
      <c r="H349" s="853"/>
      <c r="I349" s="853"/>
      <c r="L349" s="853"/>
      <c r="M349" s="853"/>
    </row>
    <row r="350" spans="8:13" ht="15.75" customHeight="1">
      <c r="H350" s="853"/>
      <c r="I350" s="853"/>
      <c r="L350" s="853"/>
      <c r="M350" s="853"/>
    </row>
    <row r="351" spans="8:13" ht="15.75" customHeight="1">
      <c r="H351" s="853"/>
      <c r="I351" s="853"/>
      <c r="L351" s="853"/>
      <c r="M351" s="853"/>
    </row>
    <row r="352" spans="8:13" ht="15.75" customHeight="1">
      <c r="H352" s="853"/>
      <c r="I352" s="853"/>
      <c r="L352" s="853"/>
      <c r="M352" s="853"/>
    </row>
    <row r="353" spans="8:13" ht="15.75" customHeight="1">
      <c r="H353" s="853"/>
      <c r="I353" s="853"/>
      <c r="L353" s="853"/>
      <c r="M353" s="853"/>
    </row>
    <row r="354" spans="8:13" ht="15.75" customHeight="1">
      <c r="H354" s="853"/>
      <c r="I354" s="853"/>
      <c r="L354" s="853"/>
      <c r="M354" s="853"/>
    </row>
    <row r="355" spans="8:13" ht="15.75" customHeight="1">
      <c r="H355" s="853"/>
      <c r="I355" s="853"/>
      <c r="L355" s="853"/>
      <c r="M355" s="853"/>
    </row>
    <row r="356" spans="8:13" ht="15.75" customHeight="1">
      <c r="H356" s="853"/>
      <c r="I356" s="853"/>
      <c r="L356" s="853"/>
      <c r="M356" s="853"/>
    </row>
    <row r="357" spans="8:13" ht="15.75" customHeight="1">
      <c r="H357" s="853"/>
      <c r="I357" s="853"/>
      <c r="L357" s="853"/>
      <c r="M357" s="853"/>
    </row>
    <row r="358" spans="8:13" ht="15.75" customHeight="1">
      <c r="H358" s="853"/>
      <c r="I358" s="853"/>
      <c r="L358" s="853"/>
      <c r="M358" s="853"/>
    </row>
    <row r="359" spans="8:13" ht="15.75" customHeight="1">
      <c r="H359" s="853"/>
      <c r="I359" s="853"/>
      <c r="L359" s="853"/>
      <c r="M359" s="853"/>
    </row>
    <row r="360" spans="8:13" ht="15.75" customHeight="1">
      <c r="H360" s="853"/>
      <c r="I360" s="853"/>
      <c r="L360" s="853"/>
      <c r="M360" s="853"/>
    </row>
    <row r="361" spans="8:13" ht="15.75" customHeight="1">
      <c r="H361" s="853"/>
      <c r="I361" s="853"/>
      <c r="L361" s="853"/>
      <c r="M361" s="853"/>
    </row>
    <row r="362" spans="8:13" ht="15.75" customHeight="1">
      <c r="H362" s="853"/>
      <c r="I362" s="853"/>
      <c r="L362" s="853"/>
      <c r="M362" s="853"/>
    </row>
    <row r="363" spans="8:13" ht="15.75" customHeight="1">
      <c r="H363" s="853"/>
      <c r="I363" s="853"/>
      <c r="L363" s="853"/>
      <c r="M363" s="853"/>
    </row>
    <row r="364" spans="8:13" ht="15.75" customHeight="1">
      <c r="H364" s="853"/>
      <c r="I364" s="853"/>
      <c r="L364" s="853"/>
      <c r="M364" s="853"/>
    </row>
    <row r="365" spans="8:13" ht="15.75" customHeight="1">
      <c r="H365" s="853"/>
      <c r="I365" s="853"/>
      <c r="L365" s="853"/>
      <c r="M365" s="853"/>
    </row>
    <row r="366" spans="8:13" ht="15.75" customHeight="1">
      <c r="H366" s="853"/>
      <c r="I366" s="853"/>
      <c r="L366" s="853"/>
      <c r="M366" s="853"/>
    </row>
    <row r="367" spans="8:13" ht="15.75" customHeight="1">
      <c r="H367" s="853"/>
      <c r="I367" s="853"/>
      <c r="L367" s="853"/>
      <c r="M367" s="853"/>
    </row>
    <row r="368" spans="8:13" ht="15.75" customHeight="1">
      <c r="H368" s="853"/>
      <c r="I368" s="853"/>
      <c r="L368" s="853"/>
      <c r="M368" s="853"/>
    </row>
    <row r="369" spans="8:13" ht="15.75" customHeight="1">
      <c r="H369" s="853"/>
      <c r="I369" s="853"/>
      <c r="L369" s="853"/>
      <c r="M369" s="853"/>
    </row>
    <row r="370" spans="8:13" ht="15.75" customHeight="1">
      <c r="H370" s="853"/>
      <c r="I370" s="853"/>
      <c r="L370" s="853"/>
      <c r="M370" s="853"/>
    </row>
    <row r="371" spans="8:13" ht="15.75" customHeight="1">
      <c r="H371" s="853"/>
      <c r="I371" s="853"/>
      <c r="L371" s="853"/>
      <c r="M371" s="853"/>
    </row>
    <row r="372" spans="8:13" ht="15.75" customHeight="1">
      <c r="H372" s="853"/>
      <c r="I372" s="853"/>
      <c r="L372" s="853"/>
      <c r="M372" s="853"/>
    </row>
    <row r="373" spans="8:13" ht="15.75" customHeight="1">
      <c r="H373" s="853"/>
      <c r="I373" s="853"/>
      <c r="L373" s="853"/>
      <c r="M373" s="853"/>
    </row>
    <row r="374" spans="8:13" ht="15.75" customHeight="1">
      <c r="H374" s="853"/>
      <c r="I374" s="853"/>
      <c r="L374" s="853"/>
      <c r="M374" s="853"/>
    </row>
    <row r="375" spans="8:13" ht="15.75" customHeight="1">
      <c r="H375" s="853"/>
      <c r="I375" s="853"/>
      <c r="L375" s="853"/>
      <c r="M375" s="853"/>
    </row>
    <row r="376" spans="8:13" ht="15.75" customHeight="1">
      <c r="H376" s="853"/>
      <c r="I376" s="853"/>
      <c r="L376" s="853"/>
      <c r="M376" s="853"/>
    </row>
    <row r="377" spans="8:13" ht="15.75" customHeight="1">
      <c r="H377" s="853"/>
      <c r="I377" s="853"/>
      <c r="L377" s="853"/>
      <c r="M377" s="853"/>
    </row>
    <row r="378" spans="8:13" ht="15.75" customHeight="1">
      <c r="H378" s="853"/>
      <c r="I378" s="853"/>
      <c r="L378" s="853"/>
      <c r="M378" s="853"/>
    </row>
    <row r="379" spans="8:13" ht="15.75" customHeight="1">
      <c r="H379" s="853"/>
      <c r="I379" s="853"/>
      <c r="L379" s="853"/>
      <c r="M379" s="853"/>
    </row>
    <row r="380" spans="8:13" ht="15.75" customHeight="1">
      <c r="H380" s="853"/>
      <c r="I380" s="853"/>
      <c r="L380" s="853"/>
      <c r="M380" s="853"/>
    </row>
    <row r="381" spans="8:13" ht="15.75" customHeight="1">
      <c r="H381" s="853"/>
      <c r="I381" s="853"/>
      <c r="L381" s="853"/>
      <c r="M381" s="853"/>
    </row>
    <row r="382" spans="8:13" ht="15.75" customHeight="1">
      <c r="H382" s="853"/>
      <c r="I382" s="853"/>
      <c r="L382" s="853"/>
      <c r="M382" s="853"/>
    </row>
    <row r="383" spans="8:13" ht="15.75" customHeight="1">
      <c r="H383" s="853"/>
      <c r="I383" s="853"/>
      <c r="L383" s="853"/>
      <c r="M383" s="853"/>
    </row>
    <row r="384" spans="8:13" ht="15.75" customHeight="1">
      <c r="H384" s="853"/>
      <c r="I384" s="853"/>
      <c r="L384" s="853"/>
      <c r="M384" s="853"/>
    </row>
    <row r="385" spans="8:13" ht="15.75" customHeight="1">
      <c r="H385" s="853"/>
      <c r="I385" s="853"/>
      <c r="L385" s="853"/>
      <c r="M385" s="853"/>
    </row>
    <row r="386" spans="8:13" ht="15.75" customHeight="1">
      <c r="H386" s="853"/>
      <c r="I386" s="853"/>
      <c r="L386" s="853"/>
      <c r="M386" s="853"/>
    </row>
    <row r="387" spans="8:13" ht="15.75" customHeight="1">
      <c r="H387" s="853"/>
      <c r="I387" s="853"/>
      <c r="L387" s="853"/>
      <c r="M387" s="853"/>
    </row>
    <row r="388" spans="8:13" ht="15.75" customHeight="1">
      <c r="H388" s="853"/>
      <c r="I388" s="853"/>
      <c r="L388" s="853"/>
      <c r="M388" s="853"/>
    </row>
    <row r="389" spans="8:13" ht="15.75" customHeight="1">
      <c r="H389" s="853"/>
      <c r="I389" s="853"/>
      <c r="L389" s="853"/>
      <c r="M389" s="853"/>
    </row>
    <row r="390" spans="8:13" ht="15.75" customHeight="1">
      <c r="H390" s="853"/>
      <c r="I390" s="853"/>
      <c r="L390" s="853"/>
      <c r="M390" s="853"/>
    </row>
    <row r="391" spans="8:13" ht="15.75" customHeight="1">
      <c r="H391" s="853"/>
      <c r="I391" s="853"/>
      <c r="L391" s="853"/>
      <c r="M391" s="853"/>
    </row>
    <row r="392" spans="8:13" ht="15.75" customHeight="1">
      <c r="H392" s="853"/>
      <c r="I392" s="853"/>
      <c r="L392" s="853"/>
      <c r="M392" s="853"/>
    </row>
    <row r="393" spans="8:13" ht="15.75" customHeight="1">
      <c r="H393" s="853"/>
      <c r="I393" s="853"/>
      <c r="L393" s="853"/>
      <c r="M393" s="853"/>
    </row>
    <row r="394" spans="8:13" ht="15.75" customHeight="1">
      <c r="H394" s="853"/>
      <c r="I394" s="853"/>
      <c r="L394" s="853"/>
      <c r="M394" s="853"/>
    </row>
    <row r="395" spans="8:13" ht="15.75" customHeight="1">
      <c r="H395" s="853"/>
      <c r="I395" s="853"/>
      <c r="L395" s="853"/>
      <c r="M395" s="853"/>
    </row>
    <row r="396" spans="8:13" ht="15.75" customHeight="1">
      <c r="H396" s="853"/>
      <c r="I396" s="853"/>
      <c r="L396" s="853"/>
      <c r="M396" s="853"/>
    </row>
    <row r="397" spans="8:13" ht="15.75" customHeight="1">
      <c r="H397" s="853"/>
      <c r="I397" s="853"/>
      <c r="L397" s="853"/>
      <c r="M397" s="853"/>
    </row>
    <row r="398" spans="8:13" ht="15.75" customHeight="1">
      <c r="H398" s="853"/>
      <c r="I398" s="853"/>
      <c r="L398" s="853"/>
      <c r="M398" s="853"/>
    </row>
    <row r="399" spans="8:13" ht="15.75" customHeight="1">
      <c r="H399" s="853"/>
      <c r="I399" s="853"/>
      <c r="L399" s="853"/>
      <c r="M399" s="853"/>
    </row>
    <row r="400" spans="8:13" ht="15.75" customHeight="1">
      <c r="H400" s="853"/>
      <c r="I400" s="853"/>
      <c r="L400" s="853"/>
      <c r="M400" s="853"/>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autoFilter ref="C2:C299" xr:uid="{00000000-0009-0000-0000-000009000000}"/>
  <mergeCells count="946">
    <mergeCell ref="F215:F216"/>
    <mergeCell ref="G215:G216"/>
    <mergeCell ref="H215:H216"/>
    <mergeCell ref="I215:I216"/>
    <mergeCell ref="J215:J216"/>
    <mergeCell ref="G217:G218"/>
    <mergeCell ref="H217:H218"/>
    <mergeCell ref="F217:F218"/>
    <mergeCell ref="F219:F221"/>
    <mergeCell ref="G219:G221"/>
    <mergeCell ref="H219:H221"/>
    <mergeCell ref="I219:I221"/>
    <mergeCell ref="J219:J221"/>
    <mergeCell ref="J217:J218"/>
    <mergeCell ref="G222:G224"/>
    <mergeCell ref="H222:H224"/>
    <mergeCell ref="F225:F227"/>
    <mergeCell ref="G225:G227"/>
    <mergeCell ref="H225:H227"/>
    <mergeCell ref="I188:I189"/>
    <mergeCell ref="J188:J189"/>
    <mergeCell ref="G190:G191"/>
    <mergeCell ref="H190:H191"/>
    <mergeCell ref="F190:F191"/>
    <mergeCell ref="F192:F194"/>
    <mergeCell ref="G192:G194"/>
    <mergeCell ref="H192:H194"/>
    <mergeCell ref="I192:I194"/>
    <mergeCell ref="J192:J194"/>
    <mergeCell ref="F222:F224"/>
    <mergeCell ref="F188:F189"/>
    <mergeCell ref="G188:G189"/>
    <mergeCell ref="H188:H189"/>
    <mergeCell ref="F195:F197"/>
    <mergeCell ref="G195:G197"/>
    <mergeCell ref="H195:H197"/>
    <mergeCell ref="F198:F200"/>
    <mergeCell ref="G198:G200"/>
    <mergeCell ref="F128:F130"/>
    <mergeCell ref="G128:G130"/>
    <mergeCell ref="H128:H130"/>
    <mergeCell ref="F131:F133"/>
    <mergeCell ref="G131:G133"/>
    <mergeCell ref="H203:H204"/>
    <mergeCell ref="F205:F206"/>
    <mergeCell ref="G205:G206"/>
    <mergeCell ref="H205:H206"/>
    <mergeCell ref="G185:G187"/>
    <mergeCell ref="H185:H187"/>
    <mergeCell ref="F180:F181"/>
    <mergeCell ref="G180:G181"/>
    <mergeCell ref="H180:H181"/>
    <mergeCell ref="F182:F184"/>
    <mergeCell ref="G182:G184"/>
    <mergeCell ref="H182:H184"/>
    <mergeCell ref="F185:F187"/>
    <mergeCell ref="H198:H200"/>
    <mergeCell ref="G201:G202"/>
    <mergeCell ref="H201:H202"/>
    <mergeCell ref="F201:F202"/>
    <mergeCell ref="F203:F204"/>
    <mergeCell ref="G203:G204"/>
    <mergeCell ref="F107:F108"/>
    <mergeCell ref="G107:G108"/>
    <mergeCell ref="F109:F110"/>
    <mergeCell ref="G109:G110"/>
    <mergeCell ref="F111:F113"/>
    <mergeCell ref="G228:G229"/>
    <mergeCell ref="H228:H229"/>
    <mergeCell ref="G126:G127"/>
    <mergeCell ref="H126:H127"/>
    <mergeCell ref="F122:F123"/>
    <mergeCell ref="G122:G123"/>
    <mergeCell ref="H122:H123"/>
    <mergeCell ref="F124:F125"/>
    <mergeCell ref="G124:G125"/>
    <mergeCell ref="H124:H125"/>
    <mergeCell ref="F126:F127"/>
    <mergeCell ref="G134:G135"/>
    <mergeCell ref="H134:H135"/>
    <mergeCell ref="G163:G164"/>
    <mergeCell ref="H163:H164"/>
    <mergeCell ref="F163:F164"/>
    <mergeCell ref="F165:F167"/>
    <mergeCell ref="G165:G167"/>
    <mergeCell ref="H165:H167"/>
    <mergeCell ref="H109:H110"/>
    <mergeCell ref="H111:H113"/>
    <mergeCell ref="I111:I113"/>
    <mergeCell ref="J111:J113"/>
    <mergeCell ref="H104:H106"/>
    <mergeCell ref="I104:I106"/>
    <mergeCell ref="H107:H108"/>
    <mergeCell ref="I107:I108"/>
    <mergeCell ref="J107:J108"/>
    <mergeCell ref="I109:I110"/>
    <mergeCell ref="J109:J110"/>
    <mergeCell ref="G111:G113"/>
    <mergeCell ref="G120:G121"/>
    <mergeCell ref="H120:H121"/>
    <mergeCell ref="F114:F116"/>
    <mergeCell ref="G114:G116"/>
    <mergeCell ref="H114:H116"/>
    <mergeCell ref="F117:F119"/>
    <mergeCell ref="G117:G119"/>
    <mergeCell ref="H117:H119"/>
    <mergeCell ref="F120:F121"/>
    <mergeCell ref="I161:I162"/>
    <mergeCell ref="J161:J162"/>
    <mergeCell ref="F141:F143"/>
    <mergeCell ref="G141:G143"/>
    <mergeCell ref="H141:H143"/>
    <mergeCell ref="F144:F146"/>
    <mergeCell ref="G144:G146"/>
    <mergeCell ref="H144:H146"/>
    <mergeCell ref="G151:G152"/>
    <mergeCell ref="H151:H152"/>
    <mergeCell ref="F147:F148"/>
    <mergeCell ref="G147:G148"/>
    <mergeCell ref="H147:H148"/>
    <mergeCell ref="F149:F150"/>
    <mergeCell ref="G149:G150"/>
    <mergeCell ref="H149:H150"/>
    <mergeCell ref="F151:F152"/>
    <mergeCell ref="F153:F154"/>
    <mergeCell ref="G153:G154"/>
    <mergeCell ref="H153:H154"/>
    <mergeCell ref="F155:F157"/>
    <mergeCell ref="G155:G157"/>
    <mergeCell ref="H155:H157"/>
    <mergeCell ref="F158:F160"/>
    <mergeCell ref="I165:I167"/>
    <mergeCell ref="J165:J167"/>
    <mergeCell ref="F168:F170"/>
    <mergeCell ref="G168:G170"/>
    <mergeCell ref="H168:H170"/>
    <mergeCell ref="F171:F173"/>
    <mergeCell ref="G171:G173"/>
    <mergeCell ref="H171:H173"/>
    <mergeCell ref="G174:G175"/>
    <mergeCell ref="H174:H175"/>
    <mergeCell ref="F174:F175"/>
    <mergeCell ref="H131:H133"/>
    <mergeCell ref="F134:F135"/>
    <mergeCell ref="F136:F137"/>
    <mergeCell ref="G136:G137"/>
    <mergeCell ref="H136:H137"/>
    <mergeCell ref="G138:G140"/>
    <mergeCell ref="H138:H140"/>
    <mergeCell ref="I138:I140"/>
    <mergeCell ref="J138:J140"/>
    <mergeCell ref="F138:F140"/>
    <mergeCell ref="I134:I135"/>
    <mergeCell ref="J134:J135"/>
    <mergeCell ref="F176:F177"/>
    <mergeCell ref="G176:G177"/>
    <mergeCell ref="H176:H177"/>
    <mergeCell ref="G158:G160"/>
    <mergeCell ref="H158:H160"/>
    <mergeCell ref="F161:F162"/>
    <mergeCell ref="G161:G162"/>
    <mergeCell ref="H161:H162"/>
    <mergeCell ref="F178:F179"/>
    <mergeCell ref="G178:G179"/>
    <mergeCell ref="H178:H179"/>
    <mergeCell ref="G212:G214"/>
    <mergeCell ref="H212:H214"/>
    <mergeCell ref="F207:F208"/>
    <mergeCell ref="G207:G208"/>
    <mergeCell ref="H207:H208"/>
    <mergeCell ref="F209:F211"/>
    <mergeCell ref="G209:G211"/>
    <mergeCell ref="H209:H211"/>
    <mergeCell ref="F212:F214"/>
    <mergeCell ref="G259:G260"/>
    <mergeCell ref="H259:H260"/>
    <mergeCell ref="F255:F256"/>
    <mergeCell ref="G255:G256"/>
    <mergeCell ref="H255:H256"/>
    <mergeCell ref="F257:F258"/>
    <mergeCell ref="G257:G258"/>
    <mergeCell ref="H257:H258"/>
    <mergeCell ref="F259:F260"/>
    <mergeCell ref="K3:K5"/>
    <mergeCell ref="L3:L25"/>
    <mergeCell ref="M3:M25"/>
    <mergeCell ref="J6:J8"/>
    <mergeCell ref="K6:K8"/>
    <mergeCell ref="L26:L29"/>
    <mergeCell ref="M26:M29"/>
    <mergeCell ref="K9:K11"/>
    <mergeCell ref="I43:I44"/>
    <mergeCell ref="J43:J44"/>
    <mergeCell ref="K43:K44"/>
    <mergeCell ref="K12:K13"/>
    <mergeCell ref="I14:I15"/>
    <mergeCell ref="J14:J15"/>
    <mergeCell ref="K14:K15"/>
    <mergeCell ref="I16:I17"/>
    <mergeCell ref="J16:J17"/>
    <mergeCell ref="K16:K17"/>
    <mergeCell ref="I18:I19"/>
    <mergeCell ref="J18:J19"/>
    <mergeCell ref="K18:K19"/>
    <mergeCell ref="I20:I22"/>
    <mergeCell ref="J20:J22"/>
    <mergeCell ref="I36:I38"/>
    <mergeCell ref="K20:K22"/>
    <mergeCell ref="I23:I25"/>
    <mergeCell ref="J23:J25"/>
    <mergeCell ref="K23:K25"/>
    <mergeCell ref="I26:I27"/>
    <mergeCell ref="J26:J27"/>
    <mergeCell ref="K26:K27"/>
    <mergeCell ref="I53:I54"/>
    <mergeCell ref="J53:J54"/>
    <mergeCell ref="K53:K54"/>
    <mergeCell ref="J36:J38"/>
    <mergeCell ref="K36:K38"/>
    <mergeCell ref="J39:J40"/>
    <mergeCell ref="K39:K40"/>
    <mergeCell ref="I39:I40"/>
    <mergeCell ref="I41:I42"/>
    <mergeCell ref="J41:J42"/>
    <mergeCell ref="K41:K42"/>
    <mergeCell ref="J33:J35"/>
    <mergeCell ref="K33:K35"/>
    <mergeCell ref="I28:I29"/>
    <mergeCell ref="J28:J29"/>
    <mergeCell ref="K28:K29"/>
    <mergeCell ref="I30:I32"/>
    <mergeCell ref="H77:H79"/>
    <mergeCell ref="F80:F81"/>
    <mergeCell ref="G80:G81"/>
    <mergeCell ref="H80:H81"/>
    <mergeCell ref="F82:F83"/>
    <mergeCell ref="L30:L52"/>
    <mergeCell ref="M30:M52"/>
    <mergeCell ref="L53:L56"/>
    <mergeCell ref="M53:M56"/>
    <mergeCell ref="I55:I56"/>
    <mergeCell ref="J55:J56"/>
    <mergeCell ref="K55:K56"/>
    <mergeCell ref="F36:F38"/>
    <mergeCell ref="G36:G38"/>
    <mergeCell ref="H36:H38"/>
    <mergeCell ref="G39:G40"/>
    <mergeCell ref="H39:H40"/>
    <mergeCell ref="F39:F40"/>
    <mergeCell ref="F41:F42"/>
    <mergeCell ref="G41:G42"/>
    <mergeCell ref="H41:H42"/>
    <mergeCell ref="F43:F44"/>
    <mergeCell ref="G43:G44"/>
    <mergeCell ref="H43:H44"/>
    <mergeCell ref="F45:F46"/>
    <mergeCell ref="G45:G46"/>
    <mergeCell ref="H45:H46"/>
    <mergeCell ref="G60:G62"/>
    <mergeCell ref="H60:H62"/>
    <mergeCell ref="F55:F56"/>
    <mergeCell ref="G55:G56"/>
    <mergeCell ref="H55:H56"/>
    <mergeCell ref="F57:F59"/>
    <mergeCell ref="G57:G59"/>
    <mergeCell ref="H57:H59"/>
    <mergeCell ref="F60:F62"/>
    <mergeCell ref="G53:G54"/>
    <mergeCell ref="H53:H54"/>
    <mergeCell ref="F47:F49"/>
    <mergeCell ref="G47:G49"/>
    <mergeCell ref="H47:H49"/>
    <mergeCell ref="F50:F52"/>
    <mergeCell ref="G50:G52"/>
    <mergeCell ref="H50:H52"/>
    <mergeCell ref="F53:F54"/>
    <mergeCell ref="E104:E106"/>
    <mergeCell ref="E107:E108"/>
    <mergeCell ref="E109:E110"/>
    <mergeCell ref="E111:E113"/>
    <mergeCell ref="E114:E116"/>
    <mergeCell ref="E117:E119"/>
    <mergeCell ref="D107:D110"/>
    <mergeCell ref="D111:D121"/>
    <mergeCell ref="D30:D40"/>
    <mergeCell ref="D41:D52"/>
    <mergeCell ref="D57:D67"/>
    <mergeCell ref="D68:D79"/>
    <mergeCell ref="D80:D83"/>
    <mergeCell ref="D84:D94"/>
    <mergeCell ref="D95:D106"/>
    <mergeCell ref="E99:E100"/>
    <mergeCell ref="E101:E103"/>
    <mergeCell ref="E82:E83"/>
    <mergeCell ref="E84:E86"/>
    <mergeCell ref="E87:E89"/>
    <mergeCell ref="E90:E92"/>
    <mergeCell ref="E93:E94"/>
    <mergeCell ref="E95:E96"/>
    <mergeCell ref="E97:E98"/>
    <mergeCell ref="D149:D160"/>
    <mergeCell ref="D230:D241"/>
    <mergeCell ref="D242:D245"/>
    <mergeCell ref="D246:D256"/>
    <mergeCell ref="D257:D268"/>
    <mergeCell ref="D269:D272"/>
    <mergeCell ref="D273:D283"/>
    <mergeCell ref="D284:D295"/>
    <mergeCell ref="D296:D299"/>
    <mergeCell ref="D215:D218"/>
    <mergeCell ref="D219:D229"/>
    <mergeCell ref="A138:A164"/>
    <mergeCell ref="A165:A191"/>
    <mergeCell ref="A192:A218"/>
    <mergeCell ref="A219:A245"/>
    <mergeCell ref="A246:A272"/>
    <mergeCell ref="A273:A299"/>
    <mergeCell ref="B165:B191"/>
    <mergeCell ref="B192:B218"/>
    <mergeCell ref="B219:B245"/>
    <mergeCell ref="B246:B272"/>
    <mergeCell ref="B273:B299"/>
    <mergeCell ref="A57:A83"/>
    <mergeCell ref="B57:B83"/>
    <mergeCell ref="A84:A110"/>
    <mergeCell ref="B84:B110"/>
    <mergeCell ref="A111:A137"/>
    <mergeCell ref="B111:B137"/>
    <mergeCell ref="B138:B164"/>
    <mergeCell ref="E41:E42"/>
    <mergeCell ref="E43:E44"/>
    <mergeCell ref="E45:E46"/>
    <mergeCell ref="E47:E49"/>
    <mergeCell ref="E57:E59"/>
    <mergeCell ref="E60:E62"/>
    <mergeCell ref="E63:E65"/>
    <mergeCell ref="E66:E67"/>
    <mergeCell ref="E68:E69"/>
    <mergeCell ref="E70:E71"/>
    <mergeCell ref="E72:E73"/>
    <mergeCell ref="E74:E76"/>
    <mergeCell ref="E77:E79"/>
    <mergeCell ref="E80:E81"/>
    <mergeCell ref="E158:E160"/>
    <mergeCell ref="E161:E162"/>
    <mergeCell ref="D138:D148"/>
    <mergeCell ref="D26:D29"/>
    <mergeCell ref="E26:E27"/>
    <mergeCell ref="E28:E29"/>
    <mergeCell ref="A30:A56"/>
    <mergeCell ref="B30:B56"/>
    <mergeCell ref="E30:E32"/>
    <mergeCell ref="E39:E40"/>
    <mergeCell ref="E50:E52"/>
    <mergeCell ref="D53:D56"/>
    <mergeCell ref="E53:E54"/>
    <mergeCell ref="E55:E56"/>
    <mergeCell ref="A3:A29"/>
    <mergeCell ref="B3:B29"/>
    <mergeCell ref="D3:D13"/>
    <mergeCell ref="E33:E35"/>
    <mergeCell ref="E36:E38"/>
    <mergeCell ref="E12:E13"/>
    <mergeCell ref="E149:E150"/>
    <mergeCell ref="E151:E152"/>
    <mergeCell ref="E153:E154"/>
    <mergeCell ref="E155:E157"/>
    <mergeCell ref="D161:D164"/>
    <mergeCell ref="E163:E164"/>
    <mergeCell ref="E219:E221"/>
    <mergeCell ref="E222:E224"/>
    <mergeCell ref="E203:E204"/>
    <mergeCell ref="E205:E206"/>
    <mergeCell ref="E207:E208"/>
    <mergeCell ref="E209:E211"/>
    <mergeCell ref="E212:E214"/>
    <mergeCell ref="E215:E216"/>
    <mergeCell ref="E217:E218"/>
    <mergeCell ref="D188:D191"/>
    <mergeCell ref="E188:E189"/>
    <mergeCell ref="E190:E191"/>
    <mergeCell ref="E192:E194"/>
    <mergeCell ref="E195:E197"/>
    <mergeCell ref="E198:E200"/>
    <mergeCell ref="E201:E202"/>
    <mergeCell ref="D192:D202"/>
    <mergeCell ref="D203:D214"/>
    <mergeCell ref="E225:E227"/>
    <mergeCell ref="E228:E229"/>
    <mergeCell ref="E239:E241"/>
    <mergeCell ref="E242:E243"/>
    <mergeCell ref="E244:E245"/>
    <mergeCell ref="E246:E248"/>
    <mergeCell ref="E249:E251"/>
    <mergeCell ref="E252:E254"/>
    <mergeCell ref="E255:E256"/>
    <mergeCell ref="E230:E231"/>
    <mergeCell ref="E232:E233"/>
    <mergeCell ref="E234:E235"/>
    <mergeCell ref="E236:E238"/>
    <mergeCell ref="E257:E258"/>
    <mergeCell ref="E259:E260"/>
    <mergeCell ref="E261:E262"/>
    <mergeCell ref="E263:E265"/>
    <mergeCell ref="E266:E268"/>
    <mergeCell ref="E269:E270"/>
    <mergeCell ref="E271:E272"/>
    <mergeCell ref="E273:E275"/>
    <mergeCell ref="E293:E295"/>
    <mergeCell ref="E296:E297"/>
    <mergeCell ref="E298:E299"/>
    <mergeCell ref="E276:E278"/>
    <mergeCell ref="E279:E281"/>
    <mergeCell ref="E282:E283"/>
    <mergeCell ref="E284:E285"/>
    <mergeCell ref="E286:E287"/>
    <mergeCell ref="E288:E289"/>
    <mergeCell ref="E290:E292"/>
    <mergeCell ref="E141:E143"/>
    <mergeCell ref="E144:E146"/>
    <mergeCell ref="E120:E121"/>
    <mergeCell ref="E122:E123"/>
    <mergeCell ref="D134:D137"/>
    <mergeCell ref="E134:E135"/>
    <mergeCell ref="E136:E137"/>
    <mergeCell ref="E138:E140"/>
    <mergeCell ref="E147:E148"/>
    <mergeCell ref="D122:D133"/>
    <mergeCell ref="E124:E125"/>
    <mergeCell ref="E126:E127"/>
    <mergeCell ref="E128:E130"/>
    <mergeCell ref="E131:E133"/>
    <mergeCell ref="E178:E179"/>
    <mergeCell ref="E180:E181"/>
    <mergeCell ref="E182:E184"/>
    <mergeCell ref="E185:E187"/>
    <mergeCell ref="D165:D175"/>
    <mergeCell ref="E165:E167"/>
    <mergeCell ref="E168:E170"/>
    <mergeCell ref="E171:E173"/>
    <mergeCell ref="E174:E175"/>
    <mergeCell ref="D176:D187"/>
    <mergeCell ref="E176:E177"/>
    <mergeCell ref="F12:F13"/>
    <mergeCell ref="I12:I13"/>
    <mergeCell ref="J12:J13"/>
    <mergeCell ref="G9:G11"/>
    <mergeCell ref="H9:H11"/>
    <mergeCell ref="G12:G13"/>
    <mergeCell ref="H12:H13"/>
    <mergeCell ref="E3:E5"/>
    <mergeCell ref="F3:F5"/>
    <mergeCell ref="G3:G5"/>
    <mergeCell ref="H3:H5"/>
    <mergeCell ref="E6:E8"/>
    <mergeCell ref="F6:F8"/>
    <mergeCell ref="G6:G8"/>
    <mergeCell ref="H6:H8"/>
    <mergeCell ref="E9:E11"/>
    <mergeCell ref="F9:F11"/>
    <mergeCell ref="I6:I8"/>
    <mergeCell ref="I9:I11"/>
    <mergeCell ref="J9:J11"/>
    <mergeCell ref="I3:I5"/>
    <mergeCell ref="J3:J5"/>
    <mergeCell ref="F26:F27"/>
    <mergeCell ref="G26:G27"/>
    <mergeCell ref="F33:F35"/>
    <mergeCell ref="G33:G35"/>
    <mergeCell ref="H33:H35"/>
    <mergeCell ref="H26:H27"/>
    <mergeCell ref="F28:F29"/>
    <mergeCell ref="G28:G29"/>
    <mergeCell ref="H28:H29"/>
    <mergeCell ref="F30:F32"/>
    <mergeCell ref="G30:G32"/>
    <mergeCell ref="H30:H32"/>
    <mergeCell ref="J30:J32"/>
    <mergeCell ref="K30:K32"/>
    <mergeCell ref="I33:I35"/>
    <mergeCell ref="D14:D25"/>
    <mergeCell ref="E16:E17"/>
    <mergeCell ref="E18:E19"/>
    <mergeCell ref="E20:E22"/>
    <mergeCell ref="E23:E25"/>
    <mergeCell ref="H20:H22"/>
    <mergeCell ref="F23:F25"/>
    <mergeCell ref="G23:G25"/>
    <mergeCell ref="H23:H25"/>
    <mergeCell ref="H14:H15"/>
    <mergeCell ref="F20:F22"/>
    <mergeCell ref="G20:G22"/>
    <mergeCell ref="E14:E15"/>
    <mergeCell ref="F14:F15"/>
    <mergeCell ref="G14:G15"/>
    <mergeCell ref="F16:F17"/>
    <mergeCell ref="G16:G17"/>
    <mergeCell ref="H16:H17"/>
    <mergeCell ref="F18:F19"/>
    <mergeCell ref="G18:G19"/>
    <mergeCell ref="H18:H19"/>
    <mergeCell ref="K107:K108"/>
    <mergeCell ref="K109:K110"/>
    <mergeCell ref="K111:K113"/>
    <mergeCell ref="L107:L110"/>
    <mergeCell ref="M107:M110"/>
    <mergeCell ref="G68:G69"/>
    <mergeCell ref="H68:H69"/>
    <mergeCell ref="F63:F65"/>
    <mergeCell ref="G63:G65"/>
    <mergeCell ref="H63:H65"/>
    <mergeCell ref="F66:F67"/>
    <mergeCell ref="G66:G67"/>
    <mergeCell ref="H66:H67"/>
    <mergeCell ref="F68:F69"/>
    <mergeCell ref="F84:F86"/>
    <mergeCell ref="G84:G86"/>
    <mergeCell ref="H84:H86"/>
    <mergeCell ref="F99:F100"/>
    <mergeCell ref="G99:G100"/>
    <mergeCell ref="H99:H100"/>
    <mergeCell ref="G82:G83"/>
    <mergeCell ref="H82:H83"/>
    <mergeCell ref="F77:F79"/>
    <mergeCell ref="G77:G79"/>
    <mergeCell ref="I84:I86"/>
    <mergeCell ref="J84:J86"/>
    <mergeCell ref="F87:F89"/>
    <mergeCell ref="G87:G89"/>
    <mergeCell ref="H87:H89"/>
    <mergeCell ref="K97:K98"/>
    <mergeCell ref="K99:K100"/>
    <mergeCell ref="K101:K103"/>
    <mergeCell ref="K104:K106"/>
    <mergeCell ref="F101:F103"/>
    <mergeCell ref="G101:G103"/>
    <mergeCell ref="H101:H103"/>
    <mergeCell ref="I101:I103"/>
    <mergeCell ref="J101:J103"/>
    <mergeCell ref="G104:G106"/>
    <mergeCell ref="J104:J106"/>
    <mergeCell ref="F104:F106"/>
    <mergeCell ref="F90:F92"/>
    <mergeCell ref="F93:F94"/>
    <mergeCell ref="G93:G94"/>
    <mergeCell ref="F95:F96"/>
    <mergeCell ref="G95:G96"/>
    <mergeCell ref="F97:F98"/>
    <mergeCell ref="G97:G98"/>
    <mergeCell ref="F70:F71"/>
    <mergeCell ref="G70:G71"/>
    <mergeCell ref="H70:H71"/>
    <mergeCell ref="F72:F73"/>
    <mergeCell ref="G72:G73"/>
    <mergeCell ref="H72:H73"/>
    <mergeCell ref="F74:F76"/>
    <mergeCell ref="G74:G76"/>
    <mergeCell ref="H74:H76"/>
    <mergeCell ref="I87:I89"/>
    <mergeCell ref="J87:J89"/>
    <mergeCell ref="G90:G92"/>
    <mergeCell ref="J90:J92"/>
    <mergeCell ref="H95:H96"/>
    <mergeCell ref="H97:H98"/>
    <mergeCell ref="I97:I98"/>
    <mergeCell ref="J97:J98"/>
    <mergeCell ref="H90:H92"/>
    <mergeCell ref="I90:I92"/>
    <mergeCell ref="H93:H94"/>
    <mergeCell ref="I93:I94"/>
    <mergeCell ref="J93:J94"/>
    <mergeCell ref="I95:I96"/>
    <mergeCell ref="J95:J96"/>
    <mergeCell ref="L111:L133"/>
    <mergeCell ref="M111:M133"/>
    <mergeCell ref="K117:K119"/>
    <mergeCell ref="K131:K133"/>
    <mergeCell ref="I131:I133"/>
    <mergeCell ref="J131:J133"/>
    <mergeCell ref="M80:M83"/>
    <mergeCell ref="J114:J116"/>
    <mergeCell ref="K114:K116"/>
    <mergeCell ref="I117:I119"/>
    <mergeCell ref="J117:J119"/>
    <mergeCell ref="I114:I116"/>
    <mergeCell ref="I120:I121"/>
    <mergeCell ref="J120:J121"/>
    <mergeCell ref="K120:K121"/>
    <mergeCell ref="I99:I100"/>
    <mergeCell ref="J99:J100"/>
    <mergeCell ref="K84:K86"/>
    <mergeCell ref="L84:L106"/>
    <mergeCell ref="M84:M106"/>
    <mergeCell ref="K87:K89"/>
    <mergeCell ref="K90:K92"/>
    <mergeCell ref="K93:K94"/>
    <mergeCell ref="K95:K96"/>
    <mergeCell ref="K134:K135"/>
    <mergeCell ref="L134:L137"/>
    <mergeCell ref="M134:M137"/>
    <mergeCell ref="I136:I137"/>
    <mergeCell ref="J136:J137"/>
    <mergeCell ref="I57:I59"/>
    <mergeCell ref="J57:J59"/>
    <mergeCell ref="K57:K59"/>
    <mergeCell ref="L57:L79"/>
    <mergeCell ref="M57:M79"/>
    <mergeCell ref="J60:J62"/>
    <mergeCell ref="K60:K62"/>
    <mergeCell ref="I122:I123"/>
    <mergeCell ref="J122:J123"/>
    <mergeCell ref="K122:K123"/>
    <mergeCell ref="I124:I125"/>
    <mergeCell ref="J124:J125"/>
    <mergeCell ref="K124:K125"/>
    <mergeCell ref="I126:I127"/>
    <mergeCell ref="J126:J127"/>
    <mergeCell ref="K126:K127"/>
    <mergeCell ref="I128:I130"/>
    <mergeCell ref="J128:J130"/>
    <mergeCell ref="K128:K130"/>
    <mergeCell ref="I141:I143"/>
    <mergeCell ref="J141:J143"/>
    <mergeCell ref="I144:I146"/>
    <mergeCell ref="J144:J146"/>
    <mergeCell ref="I147:I148"/>
    <mergeCell ref="J147:J148"/>
    <mergeCell ref="J149:J150"/>
    <mergeCell ref="J195:J197"/>
    <mergeCell ref="J198:J200"/>
    <mergeCell ref="I149:I150"/>
    <mergeCell ref="I151:I152"/>
    <mergeCell ref="I153:I154"/>
    <mergeCell ref="I155:I157"/>
    <mergeCell ref="I158:I160"/>
    <mergeCell ref="I163:I164"/>
    <mergeCell ref="I168:I170"/>
    <mergeCell ref="I171:I173"/>
    <mergeCell ref="I174:I175"/>
    <mergeCell ref="I176:I177"/>
    <mergeCell ref="I178:I179"/>
    <mergeCell ref="I180:I181"/>
    <mergeCell ref="I182:I184"/>
    <mergeCell ref="I185:I187"/>
    <mergeCell ref="I190:I191"/>
    <mergeCell ref="I60:I62"/>
    <mergeCell ref="I63:I65"/>
    <mergeCell ref="J63:J65"/>
    <mergeCell ref="K63:K65"/>
    <mergeCell ref="I66:I67"/>
    <mergeCell ref="J66:J67"/>
    <mergeCell ref="K66:K67"/>
    <mergeCell ref="I68:I69"/>
    <mergeCell ref="J68:J69"/>
    <mergeCell ref="K68:K69"/>
    <mergeCell ref="J50:J52"/>
    <mergeCell ref="K50:K52"/>
    <mergeCell ref="I45:I46"/>
    <mergeCell ref="J45:J46"/>
    <mergeCell ref="K45:K46"/>
    <mergeCell ref="I47:I49"/>
    <mergeCell ref="J47:J49"/>
    <mergeCell ref="K47:K49"/>
    <mergeCell ref="I50:I52"/>
    <mergeCell ref="I70:I71"/>
    <mergeCell ref="J70:J71"/>
    <mergeCell ref="K70:K71"/>
    <mergeCell ref="I72:I73"/>
    <mergeCell ref="J72:J73"/>
    <mergeCell ref="K72:K73"/>
    <mergeCell ref="I74:I76"/>
    <mergeCell ref="J74:J76"/>
    <mergeCell ref="L80:L83"/>
    <mergeCell ref="I82:I83"/>
    <mergeCell ref="J82:J83"/>
    <mergeCell ref="K82:K83"/>
    <mergeCell ref="K74:K76"/>
    <mergeCell ref="I77:I79"/>
    <mergeCell ref="J77:J79"/>
    <mergeCell ref="K77:K79"/>
    <mergeCell ref="I80:I81"/>
    <mergeCell ref="J80:J81"/>
    <mergeCell ref="K80:K81"/>
    <mergeCell ref="I195:I197"/>
    <mergeCell ref="I198:I200"/>
    <mergeCell ref="I201:I202"/>
    <mergeCell ref="I203:I204"/>
    <mergeCell ref="I205:I206"/>
    <mergeCell ref="I207:I208"/>
    <mergeCell ref="I209:I211"/>
    <mergeCell ref="I212:I214"/>
    <mergeCell ref="I217:I218"/>
    <mergeCell ref="I222:I224"/>
    <mergeCell ref="I225:I227"/>
    <mergeCell ref="I228:I229"/>
    <mergeCell ref="I232:I233"/>
    <mergeCell ref="I234:I235"/>
    <mergeCell ref="I236:I238"/>
    <mergeCell ref="I239:I241"/>
    <mergeCell ref="I244:I245"/>
    <mergeCell ref="I249:I251"/>
    <mergeCell ref="I252:I254"/>
    <mergeCell ref="I255:I256"/>
    <mergeCell ref="I279:I281"/>
    <mergeCell ref="I282:I283"/>
    <mergeCell ref="I284:I285"/>
    <mergeCell ref="I286:I287"/>
    <mergeCell ref="I288:I289"/>
    <mergeCell ref="I290:I292"/>
    <mergeCell ref="I293:I295"/>
    <mergeCell ref="I298:I299"/>
    <mergeCell ref="I257:I258"/>
    <mergeCell ref="I259:I260"/>
    <mergeCell ref="I261:I262"/>
    <mergeCell ref="I263:I265"/>
    <mergeCell ref="I266:I268"/>
    <mergeCell ref="I271:I272"/>
    <mergeCell ref="I276:I278"/>
    <mergeCell ref="J151:J152"/>
    <mergeCell ref="J153:J154"/>
    <mergeCell ref="J155:J157"/>
    <mergeCell ref="J158:J160"/>
    <mergeCell ref="J163:J164"/>
    <mergeCell ref="J168:J170"/>
    <mergeCell ref="J171:J173"/>
    <mergeCell ref="J174:J175"/>
    <mergeCell ref="J176:J177"/>
    <mergeCell ref="J178:J179"/>
    <mergeCell ref="J180:J181"/>
    <mergeCell ref="J182:J184"/>
    <mergeCell ref="J185:J187"/>
    <mergeCell ref="J190:J191"/>
    <mergeCell ref="J286:J287"/>
    <mergeCell ref="J288:J289"/>
    <mergeCell ref="L192:L214"/>
    <mergeCell ref="M138:M160"/>
    <mergeCell ref="L215:L218"/>
    <mergeCell ref="L219:L241"/>
    <mergeCell ref="L242:L245"/>
    <mergeCell ref="L246:L268"/>
    <mergeCell ref="L269:L272"/>
    <mergeCell ref="L273:L295"/>
    <mergeCell ref="L296:L299"/>
    <mergeCell ref="M215:M218"/>
    <mergeCell ref="M219:M241"/>
    <mergeCell ref="M242:M245"/>
    <mergeCell ref="M246:M268"/>
    <mergeCell ref="M269:M272"/>
    <mergeCell ref="M273:M295"/>
    <mergeCell ref="M296:M299"/>
    <mergeCell ref="M161:M164"/>
    <mergeCell ref="K158:K160"/>
    <mergeCell ref="K163:K164"/>
    <mergeCell ref="L138:L160"/>
    <mergeCell ref="L161:L164"/>
    <mergeCell ref="K195:K197"/>
    <mergeCell ref="L165:L187"/>
    <mergeCell ref="M165:M187"/>
    <mergeCell ref="L188:L191"/>
    <mergeCell ref="M188:M191"/>
    <mergeCell ref="M192:M214"/>
    <mergeCell ref="K149:K150"/>
    <mergeCell ref="K151:K152"/>
    <mergeCell ref="K153:K154"/>
    <mergeCell ref="K155:K157"/>
    <mergeCell ref="K161:K162"/>
    <mergeCell ref="K165:K167"/>
    <mergeCell ref="K168:K170"/>
    <mergeCell ref="K171:K173"/>
    <mergeCell ref="K174:K175"/>
    <mergeCell ref="K176:K177"/>
    <mergeCell ref="K178:K179"/>
    <mergeCell ref="K180:K181"/>
    <mergeCell ref="K182:K184"/>
    <mergeCell ref="K198:K200"/>
    <mergeCell ref="K201:K202"/>
    <mergeCell ref="K203:K204"/>
    <mergeCell ref="K205:K206"/>
    <mergeCell ref="K207:K208"/>
    <mergeCell ref="K209:K211"/>
    <mergeCell ref="K136:K137"/>
    <mergeCell ref="K138:K140"/>
    <mergeCell ref="J212:J214"/>
    <mergeCell ref="K141:K143"/>
    <mergeCell ref="K144:K146"/>
    <mergeCell ref="K147:K148"/>
    <mergeCell ref="K185:K187"/>
    <mergeCell ref="K188:K189"/>
    <mergeCell ref="K190:K191"/>
    <mergeCell ref="K192:K194"/>
    <mergeCell ref="J201:J202"/>
    <mergeCell ref="J203:J204"/>
    <mergeCell ref="J205:J206"/>
    <mergeCell ref="J207:J208"/>
    <mergeCell ref="J209:J211"/>
    <mergeCell ref="K217:K218"/>
    <mergeCell ref="J222:J224"/>
    <mergeCell ref="K222:K224"/>
    <mergeCell ref="J225:J227"/>
    <mergeCell ref="K225:K227"/>
    <mergeCell ref="J228:J229"/>
    <mergeCell ref="K228:K229"/>
    <mergeCell ref="K212:K214"/>
    <mergeCell ref="K215:K216"/>
    <mergeCell ref="K219:K221"/>
    <mergeCell ref="K230:K231"/>
    <mergeCell ref="J232:J233"/>
    <mergeCell ref="K232:K233"/>
    <mergeCell ref="J234:J235"/>
    <mergeCell ref="K234:K235"/>
    <mergeCell ref="J236:J238"/>
    <mergeCell ref="K236:K238"/>
    <mergeCell ref="J239:J241"/>
    <mergeCell ref="K239:K241"/>
    <mergeCell ref="K242:K243"/>
    <mergeCell ref="K244:K245"/>
    <mergeCell ref="K246:K248"/>
    <mergeCell ref="J244:J245"/>
    <mergeCell ref="J249:J251"/>
    <mergeCell ref="J252:J254"/>
    <mergeCell ref="J255:J256"/>
    <mergeCell ref="J257:J258"/>
    <mergeCell ref="J259:J260"/>
    <mergeCell ref="J261:J262"/>
    <mergeCell ref="K249:K251"/>
    <mergeCell ref="K252:K254"/>
    <mergeCell ref="K255:K256"/>
    <mergeCell ref="K257:K258"/>
    <mergeCell ref="K259:K260"/>
    <mergeCell ref="K261:K262"/>
    <mergeCell ref="K263:K265"/>
    <mergeCell ref="K284:K285"/>
    <mergeCell ref="J263:J265"/>
    <mergeCell ref="J266:J268"/>
    <mergeCell ref="J271:J272"/>
    <mergeCell ref="J276:J278"/>
    <mergeCell ref="J279:J281"/>
    <mergeCell ref="J282:J283"/>
    <mergeCell ref="J284:J285"/>
    <mergeCell ref="K286:K287"/>
    <mergeCell ref="K288:K289"/>
    <mergeCell ref="K290:K292"/>
    <mergeCell ref="K293:K295"/>
    <mergeCell ref="K296:K297"/>
    <mergeCell ref="J298:J299"/>
    <mergeCell ref="K298:K299"/>
    <mergeCell ref="K266:K268"/>
    <mergeCell ref="K269:K270"/>
    <mergeCell ref="K271:K272"/>
    <mergeCell ref="K273:K275"/>
    <mergeCell ref="K276:K278"/>
    <mergeCell ref="K279:K281"/>
    <mergeCell ref="K282:K283"/>
    <mergeCell ref="J290:J292"/>
    <mergeCell ref="J293:J295"/>
    <mergeCell ref="G266:G268"/>
    <mergeCell ref="H266:H268"/>
    <mergeCell ref="F261:F262"/>
    <mergeCell ref="G261:G262"/>
    <mergeCell ref="H261:H262"/>
    <mergeCell ref="F263:F265"/>
    <mergeCell ref="G263:G265"/>
    <mergeCell ref="H263:H265"/>
    <mergeCell ref="F266:F268"/>
    <mergeCell ref="F269:F270"/>
    <mergeCell ref="G269:G270"/>
    <mergeCell ref="H269:H270"/>
    <mergeCell ref="I269:I270"/>
    <mergeCell ref="J269:J270"/>
    <mergeCell ref="G271:G272"/>
    <mergeCell ref="H271:H272"/>
    <mergeCell ref="F271:F272"/>
    <mergeCell ref="F273:F275"/>
    <mergeCell ref="G273:G275"/>
    <mergeCell ref="H273:H275"/>
    <mergeCell ref="I273:I275"/>
    <mergeCell ref="J273:J275"/>
    <mergeCell ref="H290:H292"/>
    <mergeCell ref="F293:F295"/>
    <mergeCell ref="F276:F278"/>
    <mergeCell ref="G276:G278"/>
    <mergeCell ref="H276:H278"/>
    <mergeCell ref="F279:F281"/>
    <mergeCell ref="G279:G281"/>
    <mergeCell ref="H279:H281"/>
    <mergeCell ref="G282:G283"/>
    <mergeCell ref="H282:H283"/>
    <mergeCell ref="F282:F283"/>
    <mergeCell ref="F228:F229"/>
    <mergeCell ref="F230:F231"/>
    <mergeCell ref="G230:G231"/>
    <mergeCell ref="H230:H231"/>
    <mergeCell ref="I230:I231"/>
    <mergeCell ref="J230:J231"/>
    <mergeCell ref="F232:F233"/>
    <mergeCell ref="G232:G233"/>
    <mergeCell ref="H232:H233"/>
    <mergeCell ref="F234:F235"/>
    <mergeCell ref="G234:G235"/>
    <mergeCell ref="H234:H235"/>
    <mergeCell ref="G236:G238"/>
    <mergeCell ref="H236:H238"/>
    <mergeCell ref="I242:I243"/>
    <mergeCell ref="J242:J243"/>
    <mergeCell ref="F236:F238"/>
    <mergeCell ref="F239:F241"/>
    <mergeCell ref="G239:G241"/>
    <mergeCell ref="H239:H241"/>
    <mergeCell ref="F242:F243"/>
    <mergeCell ref="G242:G243"/>
    <mergeCell ref="H242:H243"/>
    <mergeCell ref="F244:F245"/>
    <mergeCell ref="G244:G245"/>
    <mergeCell ref="H244:H245"/>
    <mergeCell ref="G246:G248"/>
    <mergeCell ref="H246:H248"/>
    <mergeCell ref="I246:I248"/>
    <mergeCell ref="J246:J248"/>
    <mergeCell ref="F246:F248"/>
    <mergeCell ref="F249:F251"/>
    <mergeCell ref="G249:G251"/>
    <mergeCell ref="H249:H251"/>
    <mergeCell ref="F252:F254"/>
    <mergeCell ref="G252:G254"/>
    <mergeCell ref="H252:H254"/>
    <mergeCell ref="F296:F297"/>
    <mergeCell ref="G296:G297"/>
    <mergeCell ref="H296:H297"/>
    <mergeCell ref="I296:I297"/>
    <mergeCell ref="J296:J297"/>
    <mergeCell ref="F298:F299"/>
    <mergeCell ref="G298:G299"/>
    <mergeCell ref="H298:H299"/>
    <mergeCell ref="F284:F285"/>
    <mergeCell ref="G284:G285"/>
    <mergeCell ref="H284:H285"/>
    <mergeCell ref="F286:F287"/>
    <mergeCell ref="G286:G287"/>
    <mergeCell ref="H286:H287"/>
    <mergeCell ref="G293:G295"/>
    <mergeCell ref="H293:H295"/>
    <mergeCell ref="F288:F289"/>
    <mergeCell ref="G288:G289"/>
    <mergeCell ref="H288:H289"/>
    <mergeCell ref="F290:F292"/>
    <mergeCell ref="G290:G292"/>
  </mergeCell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6"/>
  <sheetViews>
    <sheetView workbookViewId="0">
      <pane ySplit="7" topLeftCell="A8" activePane="bottomLeft" state="frozen"/>
      <selection pane="bottomLeft" activeCell="B9" sqref="B9"/>
    </sheetView>
  </sheetViews>
  <sheetFormatPr defaultColWidth="11.23046875" defaultRowHeight="15" customHeight="1"/>
  <cols>
    <col min="1" max="1" width="11.23046875" customWidth="1"/>
    <col min="2" max="2" width="3.84375" customWidth="1"/>
    <col min="3" max="3" width="43.69140625" customWidth="1"/>
    <col min="4" max="4" width="3" customWidth="1"/>
    <col min="5" max="5" width="11.23046875" customWidth="1"/>
    <col min="6" max="6" width="11.84375" customWidth="1"/>
    <col min="7" max="7" width="12.23046875" customWidth="1"/>
    <col min="9" max="9" width="12.3046875" customWidth="1"/>
    <col min="14" max="14" width="11.765625" customWidth="1"/>
    <col min="15" max="15" width="17.4609375" customWidth="1"/>
  </cols>
  <sheetData>
    <row r="1" spans="1:26" ht="14.5">
      <c r="A1" s="602"/>
      <c r="B1" s="602"/>
      <c r="C1" s="602"/>
      <c r="D1" s="602"/>
      <c r="E1" s="602"/>
      <c r="F1" s="602"/>
      <c r="G1" s="602"/>
      <c r="H1" s="602"/>
      <c r="I1" s="602"/>
      <c r="J1" s="602"/>
      <c r="K1" s="602"/>
      <c r="L1" s="602"/>
      <c r="M1" s="602"/>
      <c r="N1" s="602"/>
      <c r="O1" s="602"/>
      <c r="P1" s="602"/>
      <c r="Q1" s="602"/>
      <c r="R1" s="602"/>
      <c r="S1" s="602"/>
      <c r="T1" s="602"/>
      <c r="U1" s="602"/>
      <c r="V1" s="602"/>
      <c r="W1" s="602"/>
      <c r="X1" s="602"/>
      <c r="Y1" s="602"/>
      <c r="Z1" s="602"/>
    </row>
    <row r="2" spans="1:26" ht="14.5">
      <c r="A2" s="602"/>
      <c r="B2" s="602"/>
      <c r="C2" s="602"/>
      <c r="D2" s="602"/>
      <c r="E2" s="602"/>
      <c r="F2" s="602"/>
      <c r="G2" s="602"/>
      <c r="H2" s="602"/>
      <c r="I2" s="602"/>
      <c r="J2" s="602"/>
      <c r="K2" s="602"/>
      <c r="L2" s="602"/>
      <c r="M2" s="602"/>
      <c r="N2" s="602"/>
      <c r="O2" s="602"/>
      <c r="P2" s="602"/>
      <c r="Q2" s="602"/>
      <c r="R2" s="602"/>
      <c r="S2" s="602"/>
      <c r="T2" s="602"/>
      <c r="U2" s="602"/>
      <c r="V2" s="602"/>
      <c r="W2" s="602"/>
      <c r="X2" s="602"/>
      <c r="Y2" s="602"/>
      <c r="Z2" s="602"/>
    </row>
    <row r="3" spans="1:26" ht="15.5">
      <c r="A3" s="602"/>
      <c r="B3" s="1333" t="s">
        <v>3083</v>
      </c>
      <c r="C3" s="1176"/>
      <c r="D3" s="1176"/>
      <c r="E3" s="1176"/>
      <c r="F3" s="1176"/>
      <c r="G3" s="1176"/>
      <c r="H3" s="1176"/>
      <c r="I3" s="1176"/>
      <c r="J3" s="1176"/>
      <c r="K3" s="1176"/>
      <c r="L3" s="1176"/>
      <c r="M3" s="602"/>
      <c r="N3" s="602"/>
      <c r="O3" s="602"/>
      <c r="P3" s="602"/>
      <c r="Q3" s="602"/>
      <c r="R3" s="602"/>
      <c r="S3" s="602"/>
      <c r="T3" s="602"/>
      <c r="U3" s="602"/>
      <c r="V3" s="602"/>
      <c r="W3" s="602"/>
      <c r="X3" s="602"/>
      <c r="Y3" s="602"/>
      <c r="Z3" s="602"/>
    </row>
    <row r="4" spans="1:26" ht="15.5">
      <c r="A4" s="602"/>
      <c r="B4" s="1333" t="s">
        <v>3084</v>
      </c>
      <c r="C4" s="1176"/>
      <c r="D4" s="1176"/>
      <c r="E4" s="1176"/>
      <c r="F4" s="1176"/>
      <c r="G4" s="1176"/>
      <c r="H4" s="1176"/>
      <c r="I4" s="1176"/>
      <c r="J4" s="1176"/>
      <c r="K4" s="1176"/>
      <c r="L4" s="1176"/>
      <c r="M4" s="602"/>
      <c r="N4" s="602"/>
      <c r="O4" s="602"/>
      <c r="P4" s="602"/>
      <c r="Q4" s="602"/>
      <c r="R4" s="602"/>
      <c r="S4" s="602"/>
      <c r="T4" s="602"/>
      <c r="U4" s="602"/>
      <c r="V4" s="602"/>
      <c r="W4" s="602"/>
      <c r="X4" s="602"/>
      <c r="Y4" s="602"/>
      <c r="Z4" s="602"/>
    </row>
    <row r="5" spans="1:26" ht="15.5">
      <c r="A5" s="602"/>
      <c r="B5" s="1333" t="s">
        <v>3085</v>
      </c>
      <c r="C5" s="1176"/>
      <c r="D5" s="1176"/>
      <c r="E5" s="1176"/>
      <c r="F5" s="1176"/>
      <c r="G5" s="1176"/>
      <c r="H5" s="1176"/>
      <c r="I5" s="1176"/>
      <c r="J5" s="1176"/>
      <c r="K5" s="1176"/>
      <c r="L5" s="1176"/>
      <c r="M5" s="602"/>
      <c r="N5" s="602"/>
      <c r="O5" s="602"/>
      <c r="P5" s="602"/>
      <c r="Q5" s="602"/>
      <c r="R5" s="602"/>
      <c r="S5" s="602"/>
      <c r="T5" s="602"/>
      <c r="U5" s="602"/>
      <c r="V5" s="602"/>
      <c r="W5" s="602"/>
      <c r="X5" s="602"/>
      <c r="Y5" s="602"/>
      <c r="Z5" s="602"/>
    </row>
    <row r="6" spans="1:26" ht="14.5">
      <c r="A6" s="602"/>
      <c r="B6" s="602"/>
      <c r="C6" s="602"/>
      <c r="D6" s="602"/>
      <c r="E6" s="602"/>
      <c r="F6" s="602"/>
      <c r="G6" s="602"/>
      <c r="H6" s="602"/>
      <c r="I6" s="602"/>
      <c r="J6" s="602"/>
      <c r="K6" s="602"/>
      <c r="L6" s="602"/>
      <c r="M6" s="602"/>
      <c r="N6" s="602"/>
      <c r="O6" s="602"/>
      <c r="P6" s="602"/>
      <c r="Q6" s="602"/>
      <c r="R6" s="602"/>
      <c r="S6" s="602"/>
      <c r="T6" s="602"/>
      <c r="U6" s="602"/>
      <c r="V6" s="602"/>
      <c r="W6" s="602"/>
      <c r="X6" s="602"/>
      <c r="Y6" s="602"/>
      <c r="Z6" s="602"/>
    </row>
    <row r="7" spans="1:26" ht="15.5">
      <c r="A7" s="602"/>
      <c r="B7" s="855" t="s">
        <v>5</v>
      </c>
      <c r="C7" s="855" t="s">
        <v>10</v>
      </c>
      <c r="D7" s="1116"/>
      <c r="E7" s="855" t="s">
        <v>2908</v>
      </c>
      <c r="F7" s="855" t="s">
        <v>2129</v>
      </c>
      <c r="G7" s="1117" t="str">
        <f ca="1">IFERROR(__xludf.DUMMYFUNCTION("IMPORTRANGE(""https://docs.google.com/spreadsheets/d/1YXbkUPS13wPU8Dscegl2VkhWtKARm3NYP21WfoO0JNs/edit"", ""Rekap Capaian KR!G7:H200"")"),"CAPAIAN")</f>
        <v>CAPAIAN</v>
      </c>
      <c r="H7" s="1117" t="str">
        <f ca="1">IFERROR(__xludf.DUMMYFUNCTION("""COMPUTED_VALUE"""),"% CAPAIAN")</f>
        <v>% CAPAIAN</v>
      </c>
      <c r="I7" s="1118" t="s">
        <v>2129</v>
      </c>
      <c r="J7" s="1119" t="str">
        <f ca="1">IFERROR(__xludf.DUMMYFUNCTION("IMPORTRANGE(""https://docs.google.com/spreadsheets/d/1YXbkUPS13wPU8Dscegl2VkhWtKARm3NYP21WfoO0JNs/edit"", ""Rekap Capaian KR!J7:J200"")"),"")</f>
        <v/>
      </c>
      <c r="K7" s="1341"/>
      <c r="L7" s="1342"/>
      <c r="M7" s="602"/>
      <c r="N7" s="602"/>
      <c r="O7" s="602"/>
      <c r="P7" s="602"/>
      <c r="Q7" s="602"/>
      <c r="R7" s="602"/>
      <c r="S7" s="602"/>
      <c r="T7" s="602"/>
      <c r="U7" s="602"/>
      <c r="V7" s="602"/>
      <c r="W7" s="602"/>
      <c r="X7" s="602"/>
      <c r="Y7" s="602"/>
      <c r="Z7" s="602"/>
    </row>
    <row r="8" spans="1:26" ht="14.5">
      <c r="A8" s="602"/>
      <c r="B8" s="1334">
        <v>1</v>
      </c>
      <c r="C8" s="1335" t="s">
        <v>32</v>
      </c>
      <c r="D8" s="1120"/>
      <c r="E8" s="1343"/>
      <c r="F8" s="1289" t="s">
        <v>3020</v>
      </c>
      <c r="G8" s="1337">
        <f ca="1">IFERROR(__xludf.DUMMYFUNCTION("""COMPUTED_VALUE"""),4)</f>
        <v>4</v>
      </c>
      <c r="H8" s="1338" t="str">
        <f ca="1">IFERROR(__xludf.DUMMYFUNCTION("""COMPUTED_VALUE"""),"#DIV/0!")</f>
        <v>#DIV/0!</v>
      </c>
      <c r="I8" s="1347" t="s">
        <v>3020</v>
      </c>
      <c r="J8" s="1326"/>
      <c r="K8" s="1340" t="s">
        <v>3086</v>
      </c>
      <c r="L8" s="1235"/>
      <c r="M8" s="1340" t="s">
        <v>3087</v>
      </c>
      <c r="N8" s="1235"/>
      <c r="O8" s="1340" t="s">
        <v>3088</v>
      </c>
      <c r="P8" s="1235"/>
      <c r="Q8" s="1121"/>
      <c r="R8" s="1121"/>
      <c r="S8" s="175"/>
      <c r="T8" s="175"/>
      <c r="U8" s="175"/>
      <c r="V8" s="602"/>
      <c r="W8" s="602"/>
      <c r="X8" s="602"/>
      <c r="Y8" s="602"/>
      <c r="Z8" s="602"/>
    </row>
    <row r="9" spans="1:26" ht="14.5">
      <c r="A9" s="602"/>
      <c r="B9" s="1237"/>
      <c r="C9" s="1237"/>
      <c r="D9" s="1120"/>
      <c r="E9" s="1237"/>
      <c r="F9" s="1237"/>
      <c r="G9" s="1237"/>
      <c r="H9" s="1237"/>
      <c r="I9" s="1237"/>
      <c r="J9" s="1176"/>
      <c r="K9" s="1122" t="s">
        <v>2163</v>
      </c>
      <c r="L9" s="1122" t="s">
        <v>2180</v>
      </c>
      <c r="M9" s="1122" t="s">
        <v>2163</v>
      </c>
      <c r="N9" s="1122" t="s">
        <v>2180</v>
      </c>
      <c r="O9" s="1122" t="s">
        <v>2163</v>
      </c>
      <c r="P9" s="1122" t="s">
        <v>2180</v>
      </c>
      <c r="Q9" s="1121"/>
      <c r="R9" s="1121"/>
      <c r="S9" s="175"/>
      <c r="T9" s="175"/>
      <c r="U9" s="175"/>
      <c r="V9" s="602"/>
      <c r="W9" s="602"/>
      <c r="X9" s="602"/>
      <c r="Y9" s="602"/>
      <c r="Z9" s="602"/>
    </row>
    <row r="10" spans="1:26" ht="14.5">
      <c r="A10" s="602"/>
      <c r="B10" s="1237"/>
      <c r="C10" s="1237"/>
      <c r="D10" s="1120"/>
      <c r="E10" s="1238"/>
      <c r="F10" s="1238"/>
      <c r="G10" s="1238"/>
      <c r="H10" s="1238"/>
      <c r="I10" s="1238"/>
      <c r="J10" s="1176"/>
      <c r="K10" s="1123"/>
      <c r="L10" s="1123"/>
      <c r="M10" s="1123"/>
      <c r="N10" s="1123"/>
      <c r="O10" s="1123"/>
      <c r="P10" s="1123"/>
      <c r="Q10" s="1121"/>
      <c r="R10" s="1121"/>
      <c r="S10" s="175"/>
      <c r="T10" s="175"/>
      <c r="U10" s="175"/>
      <c r="V10" s="602"/>
      <c r="W10" s="602"/>
      <c r="X10" s="602"/>
      <c r="Y10" s="602"/>
      <c r="Z10" s="602"/>
    </row>
    <row r="11" spans="1:26" ht="15.5">
      <c r="A11" s="1124"/>
      <c r="B11" s="1237"/>
      <c r="C11" s="1237"/>
      <c r="D11" s="1120"/>
      <c r="E11" s="1343"/>
      <c r="F11" s="1324" t="s">
        <v>3022</v>
      </c>
      <c r="G11" s="1337">
        <f ca="1">IFERROR(__xludf.DUMMYFUNCTION("""COMPUTED_VALUE"""),10)</f>
        <v>10</v>
      </c>
      <c r="H11" s="1338" t="str">
        <f ca="1">IFERROR(__xludf.DUMMYFUNCTION("""COMPUTED_VALUE"""),"#DIV/0!")</f>
        <v>#DIV/0!</v>
      </c>
      <c r="I11" s="1336" t="s">
        <v>3022</v>
      </c>
      <c r="J11" s="1176"/>
      <c r="K11" s="1322" t="s">
        <v>2910</v>
      </c>
      <c r="L11" s="1198"/>
      <c r="M11" s="1332" t="s">
        <v>3089</v>
      </c>
      <c r="N11" s="1198"/>
      <c r="O11" s="1332" t="s">
        <v>3090</v>
      </c>
      <c r="P11" s="1198"/>
      <c r="Q11" s="1332" t="s">
        <v>3091</v>
      </c>
      <c r="R11" s="1198"/>
      <c r="S11" s="175"/>
      <c r="T11" s="175"/>
      <c r="U11" s="175"/>
      <c r="V11" s="602"/>
      <c r="W11" s="602"/>
      <c r="X11" s="602"/>
      <c r="Y11" s="602"/>
      <c r="Z11" s="602"/>
    </row>
    <row r="12" spans="1:26" ht="15.5">
      <c r="A12" s="1124"/>
      <c r="B12" s="1237"/>
      <c r="C12" s="1237"/>
      <c r="D12" s="1120"/>
      <c r="E12" s="1237"/>
      <c r="F12" s="1237"/>
      <c r="G12" s="1237"/>
      <c r="H12" s="1237"/>
      <c r="I12" s="1237"/>
      <c r="J12" s="1176"/>
      <c r="K12" s="1125" t="s">
        <v>36</v>
      </c>
      <c r="L12" s="1125" t="s">
        <v>140</v>
      </c>
      <c r="M12" s="1126" t="s">
        <v>36</v>
      </c>
      <c r="N12" s="1126" t="s">
        <v>140</v>
      </c>
      <c r="O12" s="1126" t="s">
        <v>36</v>
      </c>
      <c r="P12" s="1126" t="s">
        <v>140</v>
      </c>
      <c r="Q12" s="1126" t="s">
        <v>36</v>
      </c>
      <c r="R12" s="1126" t="s">
        <v>140</v>
      </c>
      <c r="S12" s="175"/>
      <c r="T12" s="175"/>
      <c r="U12" s="175"/>
      <c r="V12" s="602"/>
      <c r="W12" s="602"/>
      <c r="X12" s="602"/>
      <c r="Y12" s="602"/>
      <c r="Z12" s="602"/>
    </row>
    <row r="13" spans="1:26" ht="14.5">
      <c r="A13" s="1124"/>
      <c r="B13" s="1237"/>
      <c r="C13" s="1237"/>
      <c r="D13" s="1120"/>
      <c r="E13" s="1238"/>
      <c r="F13" s="1238"/>
      <c r="G13" s="1238"/>
      <c r="H13" s="1238"/>
      <c r="I13" s="1238"/>
      <c r="J13" s="1176"/>
      <c r="K13" s="1127"/>
      <c r="L13" s="1128"/>
      <c r="M13" s="1127"/>
      <c r="N13" s="1128"/>
      <c r="O13" s="1127"/>
      <c r="P13" s="1128"/>
      <c r="Q13" s="1127"/>
      <c r="R13" s="1128"/>
      <c r="S13" s="175"/>
      <c r="T13" s="175"/>
      <c r="U13" s="175"/>
      <c r="V13" s="602"/>
      <c r="W13" s="602"/>
      <c r="X13" s="602"/>
      <c r="Y13" s="602"/>
      <c r="Z13" s="602"/>
    </row>
    <row r="14" spans="1:26" ht="15.5">
      <c r="A14" s="1124"/>
      <c r="B14" s="1237"/>
      <c r="C14" s="1237"/>
      <c r="D14" s="1120"/>
      <c r="E14" s="1343"/>
      <c r="F14" s="1324" t="s">
        <v>3024</v>
      </c>
      <c r="G14" s="1337">
        <f ca="1">IFERROR(__xludf.DUMMYFUNCTION("""COMPUTED_VALUE"""),2)</f>
        <v>2</v>
      </c>
      <c r="H14" s="1338" t="str">
        <f ca="1">IFERROR(__xludf.DUMMYFUNCTION("""COMPUTED_VALUE"""),"#DIV/0!")</f>
        <v>#DIV/0!</v>
      </c>
      <c r="I14" s="1336" t="s">
        <v>3024</v>
      </c>
      <c r="J14" s="1176"/>
      <c r="K14" s="1322" t="s">
        <v>3092</v>
      </c>
      <c r="L14" s="1198"/>
      <c r="M14" s="1322" t="s">
        <v>3093</v>
      </c>
      <c r="N14" s="1198"/>
      <c r="O14" s="1322" t="s">
        <v>3094</v>
      </c>
      <c r="P14" s="1198"/>
      <c r="Q14" s="1330"/>
      <c r="R14" s="1176"/>
      <c r="S14" s="175"/>
      <c r="T14" s="175"/>
      <c r="U14" s="175"/>
      <c r="V14" s="602"/>
      <c r="W14" s="602"/>
      <c r="X14" s="602"/>
      <c r="Y14" s="602"/>
      <c r="Z14" s="602"/>
    </row>
    <row r="15" spans="1:26" ht="15.5">
      <c r="A15" s="1124"/>
      <c r="B15" s="1237"/>
      <c r="C15" s="1237"/>
      <c r="D15" s="1120"/>
      <c r="E15" s="1237"/>
      <c r="F15" s="1237"/>
      <c r="G15" s="1237"/>
      <c r="H15" s="1237"/>
      <c r="I15" s="1237"/>
      <c r="J15" s="1176"/>
      <c r="K15" s="1125" t="s">
        <v>3095</v>
      </c>
      <c r="L15" s="1125" t="s">
        <v>1806</v>
      </c>
      <c r="M15" s="1125" t="s">
        <v>3095</v>
      </c>
      <c r="N15" s="1125" t="s">
        <v>1806</v>
      </c>
      <c r="O15" s="1125" t="s">
        <v>3095</v>
      </c>
      <c r="P15" s="1125" t="s">
        <v>1806</v>
      </c>
      <c r="Q15" s="1121"/>
      <c r="R15" s="1121"/>
      <c r="S15" s="175"/>
      <c r="T15" s="175"/>
      <c r="U15" s="175"/>
      <c r="V15" s="602"/>
      <c r="W15" s="602"/>
      <c r="X15" s="602"/>
      <c r="Y15" s="602"/>
      <c r="Z15" s="602"/>
    </row>
    <row r="16" spans="1:26" ht="14.5">
      <c r="A16" s="1124"/>
      <c r="B16" s="1237"/>
      <c r="C16" s="1237"/>
      <c r="D16" s="1120"/>
      <c r="E16" s="1238"/>
      <c r="F16" s="1238"/>
      <c r="G16" s="1238"/>
      <c r="H16" s="1238"/>
      <c r="I16" s="1238"/>
      <c r="J16" s="1176"/>
      <c r="K16" s="1123"/>
      <c r="L16" s="1123"/>
      <c r="M16" s="1123"/>
      <c r="N16" s="1123"/>
      <c r="O16" s="1123"/>
      <c r="P16" s="1123"/>
      <c r="Q16" s="1121"/>
      <c r="R16" s="1121"/>
      <c r="S16" s="175"/>
      <c r="T16" s="175"/>
      <c r="U16" s="175"/>
      <c r="V16" s="602"/>
      <c r="W16" s="602"/>
      <c r="X16" s="602"/>
      <c r="Y16" s="602"/>
      <c r="Z16" s="602"/>
    </row>
    <row r="17" spans="1:26">
      <c r="A17" s="1124"/>
      <c r="B17" s="1237"/>
      <c r="C17" s="1237"/>
      <c r="D17" s="1120"/>
      <c r="E17" s="1343"/>
      <c r="F17" s="1324" t="s">
        <v>3026</v>
      </c>
      <c r="G17" s="1344">
        <f ca="1">IFERROR(__xludf.DUMMYFUNCTION("""COMPUTED_VALUE"""),244103400)</f>
        <v>244103400</v>
      </c>
      <c r="H17" s="1338"/>
      <c r="I17" s="1336" t="s">
        <v>3026</v>
      </c>
      <c r="J17" s="1176"/>
      <c r="K17" s="1129" t="s">
        <v>3096</v>
      </c>
      <c r="L17" s="1129" t="s">
        <v>3097</v>
      </c>
      <c r="M17" s="1129" t="s">
        <v>3098</v>
      </c>
      <c r="N17" s="1129" t="s">
        <v>3099</v>
      </c>
      <c r="O17" s="1130"/>
      <c r="P17" s="1130"/>
      <c r="Q17" s="175"/>
      <c r="R17" s="175"/>
      <c r="S17" s="175"/>
      <c r="T17" s="175"/>
      <c r="U17" s="175"/>
      <c r="V17" s="602"/>
      <c r="W17" s="602"/>
      <c r="X17" s="602"/>
      <c r="Y17" s="602"/>
      <c r="Z17" s="602"/>
    </row>
    <row r="18" spans="1:26" ht="14.5">
      <c r="A18" s="1124"/>
      <c r="B18" s="1237"/>
      <c r="C18" s="1237"/>
      <c r="D18" s="1120"/>
      <c r="E18" s="1238"/>
      <c r="F18" s="1238"/>
      <c r="G18" s="1238"/>
      <c r="H18" s="1238"/>
      <c r="I18" s="1238"/>
      <c r="J18" s="1176"/>
      <c r="K18" s="1131"/>
      <c r="L18" s="1131"/>
      <c r="M18" s="1128"/>
      <c r="N18" s="1128"/>
      <c r="O18" s="395"/>
      <c r="P18" s="395"/>
      <c r="Q18" s="175"/>
      <c r="R18" s="175"/>
      <c r="S18" s="175"/>
      <c r="T18" s="175"/>
      <c r="U18" s="175"/>
      <c r="V18" s="602"/>
      <c r="W18" s="602"/>
      <c r="X18" s="602"/>
      <c r="Y18" s="602"/>
      <c r="Z18" s="602"/>
    </row>
    <row r="19" spans="1:26" ht="14.5">
      <c r="A19" s="1124"/>
      <c r="B19" s="1237"/>
      <c r="C19" s="1237"/>
      <c r="D19" s="1120"/>
      <c r="E19" s="1343"/>
      <c r="F19" s="1324" t="s">
        <v>3100</v>
      </c>
      <c r="G19" s="1337">
        <f ca="1">IFERROR(__xludf.DUMMYFUNCTION("""COMPUTED_VALUE"""),1)</f>
        <v>1</v>
      </c>
      <c r="H19" s="1338" t="str">
        <f ca="1">IFERROR(__xludf.DUMMYFUNCTION("""COMPUTED_VALUE"""),"#DIV/0!")</f>
        <v>#DIV/0!</v>
      </c>
      <c r="I19" s="1336" t="s">
        <v>3100</v>
      </c>
      <c r="J19" s="1176"/>
      <c r="K19" s="1132" t="s">
        <v>3101</v>
      </c>
      <c r="L19" s="1132" t="s">
        <v>3102</v>
      </c>
      <c r="M19" s="1132" t="s">
        <v>3103</v>
      </c>
      <c r="N19" s="1132" t="s">
        <v>3104</v>
      </c>
      <c r="O19" s="1132" t="s">
        <v>3105</v>
      </c>
      <c r="P19" s="1129" t="s">
        <v>3106</v>
      </c>
      <c r="Q19" s="1132" t="s">
        <v>3107</v>
      </c>
      <c r="R19" s="1133" t="s">
        <v>3096</v>
      </c>
      <c r="S19" s="1133" t="s">
        <v>3097</v>
      </c>
      <c r="T19" s="1134" t="s">
        <v>3098</v>
      </c>
      <c r="U19" s="1134" t="s">
        <v>3099</v>
      </c>
      <c r="V19" s="602"/>
      <c r="W19" s="602"/>
      <c r="X19" s="602"/>
      <c r="Y19" s="602"/>
      <c r="Z19" s="602"/>
    </row>
    <row r="20" spans="1:26" ht="14.5">
      <c r="A20" s="1124"/>
      <c r="B20" s="1237"/>
      <c r="C20" s="1237"/>
      <c r="D20" s="1120"/>
      <c r="E20" s="1238"/>
      <c r="F20" s="1238"/>
      <c r="G20" s="1238"/>
      <c r="H20" s="1238"/>
      <c r="I20" s="1238"/>
      <c r="J20" s="1176"/>
      <c r="K20" s="1123"/>
      <c r="L20" s="1123"/>
      <c r="M20" s="1123"/>
      <c r="N20" s="1123"/>
      <c r="O20" s="1123"/>
      <c r="P20" s="1135"/>
      <c r="Q20" s="1123"/>
      <c r="R20" s="1123"/>
      <c r="S20" s="1123"/>
      <c r="T20" s="1131"/>
      <c r="U20" s="1131"/>
      <c r="V20" s="602"/>
      <c r="W20" s="602"/>
      <c r="X20" s="602"/>
      <c r="Y20" s="602"/>
      <c r="Z20" s="602"/>
    </row>
    <row r="21" spans="1:26" ht="14.5">
      <c r="A21" s="1124"/>
      <c r="B21" s="1237"/>
      <c r="C21" s="1237"/>
      <c r="D21" s="1120"/>
      <c r="E21" s="1343"/>
      <c r="F21" s="1324" t="s">
        <v>3108</v>
      </c>
      <c r="G21" s="1337">
        <f ca="1">IFERROR(__xludf.DUMMYFUNCTION("""COMPUTED_VALUE"""),4)</f>
        <v>4</v>
      </c>
      <c r="H21" s="1338" t="str">
        <f ca="1">IFERROR(__xludf.DUMMYFUNCTION("""COMPUTED_VALUE"""),"#DIV/0!")</f>
        <v>#DIV/0!</v>
      </c>
      <c r="I21" s="1336" t="s">
        <v>3108</v>
      </c>
      <c r="J21" s="1176"/>
      <c r="K21" s="1132" t="s">
        <v>3101</v>
      </c>
      <c r="L21" s="1132" t="s">
        <v>3102</v>
      </c>
      <c r="M21" s="1132" t="s">
        <v>3103</v>
      </c>
      <c r="N21" s="1132" t="s">
        <v>3104</v>
      </c>
      <c r="O21" s="1132" t="s">
        <v>3105</v>
      </c>
      <c r="P21" s="1129" t="s">
        <v>3106</v>
      </c>
      <c r="Q21" s="1129" t="s">
        <v>3107</v>
      </c>
      <c r="R21" s="1133" t="s">
        <v>3096</v>
      </c>
      <c r="S21" s="1133" t="s">
        <v>3097</v>
      </c>
      <c r="T21" s="1134" t="s">
        <v>3098</v>
      </c>
      <c r="U21" s="1134" t="s">
        <v>3099</v>
      </c>
      <c r="V21" s="602"/>
      <c r="W21" s="602"/>
      <c r="X21" s="602"/>
      <c r="Y21" s="602"/>
      <c r="Z21" s="602"/>
    </row>
    <row r="22" spans="1:26" ht="14.5">
      <c r="A22" s="1124"/>
      <c r="B22" s="1237"/>
      <c r="C22" s="1237"/>
      <c r="D22" s="1120"/>
      <c r="E22" s="1238"/>
      <c r="F22" s="1238"/>
      <c r="G22" s="1238"/>
      <c r="H22" s="1238"/>
      <c r="I22" s="1238"/>
      <c r="J22" s="1176"/>
      <c r="K22" s="1131"/>
      <c r="L22" s="1131"/>
      <c r="M22" s="1131"/>
      <c r="N22" s="1131"/>
      <c r="O22" s="1131"/>
      <c r="P22" s="1131"/>
      <c r="Q22" s="1131"/>
      <c r="R22" s="1131"/>
      <c r="S22" s="1131"/>
      <c r="T22" s="1131"/>
      <c r="U22" s="1131"/>
      <c r="V22" s="602"/>
      <c r="W22" s="602"/>
      <c r="X22" s="602"/>
      <c r="Y22" s="602"/>
      <c r="Z22" s="602"/>
    </row>
    <row r="23" spans="1:26" ht="45">
      <c r="A23" s="1124"/>
      <c r="B23" s="1237"/>
      <c r="C23" s="1237"/>
      <c r="D23" s="1120"/>
      <c r="E23" s="1343"/>
      <c r="F23" s="1324" t="s">
        <v>3031</v>
      </c>
      <c r="G23" s="1337">
        <f ca="1">IFERROR(__xludf.DUMMYFUNCTION("""COMPUTED_VALUE"""),1)</f>
        <v>1</v>
      </c>
      <c r="H23" s="1338" t="str">
        <f ca="1">IFERROR(__xludf.DUMMYFUNCTION("""COMPUTED_VALUE"""),"#VALUE!")</f>
        <v>#VALUE!</v>
      </c>
      <c r="I23" s="1336" t="s">
        <v>3031</v>
      </c>
      <c r="J23" s="1176"/>
      <c r="K23" s="1136" t="s">
        <v>2848</v>
      </c>
      <c r="L23" s="1136" t="s">
        <v>2102</v>
      </c>
      <c r="M23" s="1136" t="s">
        <v>3109</v>
      </c>
      <c r="N23" s="1137" t="s">
        <v>2110</v>
      </c>
      <c r="O23" s="1138" t="s">
        <v>2115</v>
      </c>
      <c r="P23" s="1138" t="s">
        <v>2104</v>
      </c>
      <c r="Q23" s="1139"/>
      <c r="R23" s="1139"/>
      <c r="S23" s="1139"/>
      <c r="T23" s="1140"/>
      <c r="U23" s="1140"/>
      <c r="V23" s="602"/>
      <c r="W23" s="602"/>
      <c r="X23" s="602"/>
      <c r="Y23" s="602"/>
      <c r="Z23" s="602"/>
    </row>
    <row r="24" spans="1:26" ht="14.5">
      <c r="A24" s="1124"/>
      <c r="B24" s="1237"/>
      <c r="C24" s="1237"/>
      <c r="D24" s="1120"/>
      <c r="E24" s="1238"/>
      <c r="F24" s="1238"/>
      <c r="G24" s="1238"/>
      <c r="H24" s="1238"/>
      <c r="I24" s="1238"/>
      <c r="J24" s="1176"/>
      <c r="K24" s="1141"/>
      <c r="L24" s="1141"/>
      <c r="M24" s="1141"/>
      <c r="N24" s="1141"/>
      <c r="O24" s="1141"/>
      <c r="P24" s="1142"/>
      <c r="Q24" s="1142"/>
      <c r="R24" s="1142"/>
      <c r="S24" s="1142"/>
      <c r="T24" s="1142"/>
      <c r="U24" s="1142"/>
      <c r="V24" s="602"/>
      <c r="W24" s="602"/>
      <c r="X24" s="602"/>
      <c r="Y24" s="602"/>
      <c r="Z24" s="602"/>
    </row>
    <row r="25" spans="1:26" ht="14.5">
      <c r="A25" s="1124"/>
      <c r="B25" s="1237"/>
      <c r="C25" s="1237"/>
      <c r="D25" s="1120"/>
      <c r="E25" s="1343"/>
      <c r="F25" s="1324" t="s">
        <v>3110</v>
      </c>
      <c r="G25" s="1337">
        <f ca="1">IFERROR(__xludf.DUMMYFUNCTION("""COMPUTED_VALUE"""),1)</f>
        <v>1</v>
      </c>
      <c r="H25" s="1338" t="str">
        <f ca="1">IFERROR(__xludf.DUMMYFUNCTION("""COMPUTED_VALUE"""),"#DIV/0!")</f>
        <v>#DIV/0!</v>
      </c>
      <c r="I25" s="1336" t="s">
        <v>3110</v>
      </c>
      <c r="J25" s="1176"/>
      <c r="K25" s="1325" t="s">
        <v>3111</v>
      </c>
      <c r="L25" s="1235"/>
      <c r="M25" s="1325" t="s">
        <v>2140</v>
      </c>
      <c r="N25" s="1235"/>
      <c r="O25" s="1323" t="s">
        <v>3112</v>
      </c>
      <c r="P25" s="1198"/>
      <c r="Q25" s="1143"/>
      <c r="R25" s="1143"/>
      <c r="S25" s="1143"/>
      <c r="T25" s="1143"/>
      <c r="U25" s="1143"/>
      <c r="V25" s="602"/>
      <c r="W25" s="602"/>
      <c r="X25" s="602"/>
      <c r="Y25" s="602"/>
      <c r="Z25" s="602"/>
    </row>
    <row r="26" spans="1:26" ht="15.5">
      <c r="A26" s="1124"/>
      <c r="B26" s="1237"/>
      <c r="C26" s="1237"/>
      <c r="D26" s="1120"/>
      <c r="E26" s="1237"/>
      <c r="F26" s="1237"/>
      <c r="G26" s="1237"/>
      <c r="H26" s="1237"/>
      <c r="I26" s="1237"/>
      <c r="J26" s="1176"/>
      <c r="K26" s="1125" t="s">
        <v>1849</v>
      </c>
      <c r="L26" s="1125" t="s">
        <v>1915</v>
      </c>
      <c r="M26" s="1125" t="s">
        <v>1849</v>
      </c>
      <c r="N26" s="1125" t="s">
        <v>1915</v>
      </c>
      <c r="O26" s="1144" t="s">
        <v>1849</v>
      </c>
      <c r="P26" s="1144" t="s">
        <v>1915</v>
      </c>
      <c r="Q26" s="1135"/>
      <c r="R26" s="1135"/>
      <c r="S26" s="602"/>
      <c r="T26" s="602"/>
      <c r="U26" s="602"/>
      <c r="V26" s="602"/>
      <c r="W26" s="602"/>
      <c r="X26" s="602"/>
      <c r="Y26" s="602"/>
      <c r="Z26" s="602"/>
    </row>
    <row r="27" spans="1:26" ht="14.5">
      <c r="A27" s="1124"/>
      <c r="B27" s="1237"/>
      <c r="C27" s="1237"/>
      <c r="D27" s="1120"/>
      <c r="E27" s="1238"/>
      <c r="F27" s="1238"/>
      <c r="G27" s="1238"/>
      <c r="H27" s="1238"/>
      <c r="I27" s="1238"/>
      <c r="J27" s="1176"/>
      <c r="K27" s="1123"/>
      <c r="L27" s="1123"/>
      <c r="M27" s="1123"/>
      <c r="N27" s="1123"/>
      <c r="O27" s="1135"/>
      <c r="P27" s="1135"/>
      <c r="Q27" s="1135"/>
      <c r="R27" s="1135"/>
      <c r="S27" s="602"/>
      <c r="T27" s="602"/>
      <c r="U27" s="602"/>
      <c r="V27" s="602"/>
      <c r="W27" s="602"/>
      <c r="X27" s="602"/>
      <c r="Y27" s="602"/>
      <c r="Z27" s="602"/>
    </row>
    <row r="28" spans="1:26" ht="14.5">
      <c r="A28" s="1124"/>
      <c r="B28" s="1237"/>
      <c r="C28" s="1237"/>
      <c r="D28" s="1120"/>
      <c r="E28" s="1343"/>
      <c r="F28" s="1324" t="s">
        <v>3113</v>
      </c>
      <c r="G28" s="1337">
        <f ca="1">IFERROR(__xludf.DUMMYFUNCTION("""COMPUTED_VALUE"""),1)</f>
        <v>1</v>
      </c>
      <c r="H28" s="1338" t="str">
        <f ca="1">IFERROR(__xludf.DUMMYFUNCTION("""COMPUTED_VALUE"""),"#DIV/0!")</f>
        <v>#DIV/0!</v>
      </c>
      <c r="I28" s="1336" t="s">
        <v>3113</v>
      </c>
      <c r="J28" s="1176"/>
      <c r="K28" s="1123"/>
      <c r="L28" s="1123"/>
      <c r="M28" s="1123"/>
      <c r="N28" s="1123"/>
      <c r="O28" s="1135"/>
      <c r="P28" s="1135"/>
      <c r="Q28" s="1135"/>
      <c r="R28" s="1135"/>
      <c r="S28" s="602"/>
      <c r="T28" s="602"/>
      <c r="U28" s="602"/>
      <c r="V28" s="602"/>
      <c r="W28" s="602"/>
      <c r="X28" s="602"/>
      <c r="Y28" s="602"/>
      <c r="Z28" s="602"/>
    </row>
    <row r="29" spans="1:26" ht="14.5">
      <c r="A29" s="1124"/>
      <c r="B29" s="1237"/>
      <c r="C29" s="1237"/>
      <c r="D29" s="1120"/>
      <c r="E29" s="1237"/>
      <c r="F29" s="1237"/>
      <c r="G29" s="1237"/>
      <c r="H29" s="1237"/>
      <c r="I29" s="1237"/>
      <c r="J29" s="1176"/>
      <c r="K29" s="1123"/>
      <c r="L29" s="1123"/>
      <c r="M29" s="1123"/>
      <c r="N29" s="1123"/>
      <c r="O29" s="1135"/>
      <c r="P29" s="1135"/>
      <c r="Q29" s="1135"/>
      <c r="R29" s="1135"/>
      <c r="S29" s="602"/>
      <c r="T29" s="602"/>
      <c r="U29" s="602"/>
      <c r="V29" s="602"/>
      <c r="W29" s="602"/>
      <c r="X29" s="602"/>
      <c r="Y29" s="602"/>
      <c r="Z29" s="602"/>
    </row>
    <row r="30" spans="1:26" ht="14.5">
      <c r="A30" s="1124"/>
      <c r="B30" s="1238"/>
      <c r="C30" s="1238"/>
      <c r="D30" s="1120"/>
      <c r="E30" s="1238"/>
      <c r="F30" s="1238"/>
      <c r="G30" s="1238"/>
      <c r="H30" s="1238"/>
      <c r="I30" s="1238"/>
      <c r="J30" s="1327"/>
      <c r="K30" s="1123"/>
      <c r="L30" s="1123"/>
      <c r="M30" s="1123"/>
      <c r="N30" s="1123"/>
      <c r="O30" s="1135"/>
      <c r="P30" s="1135"/>
      <c r="Q30" s="1135"/>
      <c r="R30" s="1135"/>
      <c r="S30" s="602"/>
      <c r="T30" s="602"/>
      <c r="U30" s="602"/>
      <c r="V30" s="602"/>
      <c r="W30" s="602"/>
      <c r="X30" s="602"/>
      <c r="Y30" s="602"/>
      <c r="Z30" s="602"/>
    </row>
    <row r="31" spans="1:26" ht="15.75" customHeight="1">
      <c r="A31" s="602"/>
      <c r="B31" s="1145"/>
      <c r="C31" s="1146"/>
      <c r="D31" s="1147"/>
      <c r="E31" s="1148"/>
      <c r="F31" s="1149"/>
      <c r="G31" s="1150"/>
      <c r="H31" s="1151"/>
      <c r="I31" s="1149"/>
      <c r="J31" s="1152"/>
      <c r="K31" s="1341"/>
      <c r="L31" s="1342"/>
      <c r="M31" s="602"/>
      <c r="N31" s="602"/>
      <c r="O31" s="602"/>
      <c r="P31" s="602"/>
      <c r="Q31" s="602"/>
      <c r="R31" s="602"/>
      <c r="S31" s="602"/>
      <c r="T31" s="602"/>
      <c r="U31" s="602"/>
      <c r="V31" s="602"/>
      <c r="W31" s="602"/>
      <c r="X31" s="602"/>
      <c r="Y31" s="602"/>
      <c r="Z31" s="602"/>
    </row>
    <row r="32" spans="1:26" ht="15.75" customHeight="1">
      <c r="A32" s="602"/>
      <c r="B32" s="1334">
        <v>2</v>
      </c>
      <c r="C32" s="1339" t="s">
        <v>49</v>
      </c>
      <c r="D32" s="1120"/>
      <c r="E32" s="1343"/>
      <c r="F32" s="1289" t="s">
        <v>3020</v>
      </c>
      <c r="G32" s="1337">
        <f ca="1">IFERROR(__xludf.DUMMYFUNCTION("""COMPUTED_VALUE"""),8)</f>
        <v>8</v>
      </c>
      <c r="H32" s="1338" t="str">
        <f ca="1">IFERROR(__xludf.DUMMYFUNCTION("""COMPUTED_VALUE"""),"#DIV/0!")</f>
        <v>#DIV/0!</v>
      </c>
      <c r="I32" s="1289" t="s">
        <v>3020</v>
      </c>
      <c r="J32" s="1326"/>
      <c r="K32" s="1340" t="s">
        <v>3086</v>
      </c>
      <c r="L32" s="1235"/>
      <c r="M32" s="1340" t="s">
        <v>3087</v>
      </c>
      <c r="N32" s="1235"/>
      <c r="O32" s="1340" t="s">
        <v>3088</v>
      </c>
      <c r="P32" s="1235"/>
      <c r="Q32" s="1121"/>
      <c r="R32" s="1121"/>
      <c r="S32" s="175"/>
      <c r="T32" s="175"/>
      <c r="U32" s="175"/>
      <c r="V32" s="602"/>
      <c r="W32" s="602"/>
      <c r="X32" s="602"/>
      <c r="Y32" s="602"/>
      <c r="Z32" s="602"/>
    </row>
    <row r="33" spans="1:26" ht="15.75" customHeight="1">
      <c r="A33" s="602"/>
      <c r="B33" s="1237"/>
      <c r="C33" s="1237"/>
      <c r="D33" s="1120"/>
      <c r="E33" s="1237"/>
      <c r="F33" s="1237"/>
      <c r="G33" s="1237"/>
      <c r="H33" s="1237"/>
      <c r="I33" s="1237"/>
      <c r="J33" s="1176"/>
      <c r="K33" s="1122" t="s">
        <v>2163</v>
      </c>
      <c r="L33" s="1122" t="s">
        <v>2180</v>
      </c>
      <c r="M33" s="1122" t="s">
        <v>2163</v>
      </c>
      <c r="N33" s="1122" t="s">
        <v>2180</v>
      </c>
      <c r="O33" s="1122" t="s">
        <v>2163</v>
      </c>
      <c r="P33" s="1122" t="s">
        <v>2180</v>
      </c>
      <c r="Q33" s="1121"/>
      <c r="R33" s="1121"/>
      <c r="S33" s="175"/>
      <c r="T33" s="175"/>
      <c r="U33" s="175"/>
      <c r="V33" s="602"/>
      <c r="W33" s="602"/>
      <c r="X33" s="602"/>
      <c r="Y33" s="602"/>
      <c r="Z33" s="602"/>
    </row>
    <row r="34" spans="1:26" ht="15.75" customHeight="1">
      <c r="A34" s="602"/>
      <c r="B34" s="1237"/>
      <c r="C34" s="1237"/>
      <c r="D34" s="1120"/>
      <c r="E34" s="1238"/>
      <c r="F34" s="1238"/>
      <c r="G34" s="1238"/>
      <c r="H34" s="1238"/>
      <c r="I34" s="1238"/>
      <c r="J34" s="1176"/>
      <c r="K34" s="1123"/>
      <c r="L34" s="1123"/>
      <c r="M34" s="1123"/>
      <c r="N34" s="1123"/>
      <c r="O34" s="1123"/>
      <c r="P34" s="1123"/>
      <c r="Q34" s="1121"/>
      <c r="R34" s="1121"/>
      <c r="S34" s="175"/>
      <c r="T34" s="175"/>
      <c r="U34" s="175"/>
      <c r="V34" s="602"/>
      <c r="W34" s="602"/>
      <c r="X34" s="602"/>
      <c r="Y34" s="602"/>
      <c r="Z34" s="602"/>
    </row>
    <row r="35" spans="1:26" ht="15.75" customHeight="1">
      <c r="A35" s="1124"/>
      <c r="B35" s="1237"/>
      <c r="C35" s="1237"/>
      <c r="D35" s="1120"/>
      <c r="E35" s="1343"/>
      <c r="F35" s="1324" t="s">
        <v>3022</v>
      </c>
      <c r="G35" s="1337">
        <f ca="1">IFERROR(__xludf.DUMMYFUNCTION("""COMPUTED_VALUE"""),11)</f>
        <v>11</v>
      </c>
      <c r="H35" s="1338" t="str">
        <f ca="1">IFERROR(__xludf.DUMMYFUNCTION("""COMPUTED_VALUE"""),"#DIV/0!")</f>
        <v>#DIV/0!</v>
      </c>
      <c r="I35" s="1324" t="s">
        <v>3022</v>
      </c>
      <c r="J35" s="1176"/>
      <c r="K35" s="1322" t="s">
        <v>2910</v>
      </c>
      <c r="L35" s="1198"/>
      <c r="M35" s="1332" t="s">
        <v>3089</v>
      </c>
      <c r="N35" s="1198"/>
      <c r="O35" s="1332" t="s">
        <v>3090</v>
      </c>
      <c r="P35" s="1198"/>
      <c r="Q35" s="1332" t="s">
        <v>3091</v>
      </c>
      <c r="R35" s="1198"/>
      <c r="S35" s="175"/>
      <c r="T35" s="175"/>
      <c r="U35" s="175"/>
      <c r="V35" s="602"/>
      <c r="W35" s="602"/>
      <c r="X35" s="602"/>
      <c r="Y35" s="602"/>
      <c r="Z35" s="602"/>
    </row>
    <row r="36" spans="1:26" ht="15.75" customHeight="1">
      <c r="A36" s="1124"/>
      <c r="B36" s="1237"/>
      <c r="C36" s="1237"/>
      <c r="D36" s="1120"/>
      <c r="E36" s="1237"/>
      <c r="F36" s="1237"/>
      <c r="G36" s="1237"/>
      <c r="H36" s="1237"/>
      <c r="I36" s="1237"/>
      <c r="J36" s="1176"/>
      <c r="K36" s="1125" t="s">
        <v>36</v>
      </c>
      <c r="L36" s="1125" t="s">
        <v>140</v>
      </c>
      <c r="M36" s="1126" t="s">
        <v>36</v>
      </c>
      <c r="N36" s="1126" t="s">
        <v>140</v>
      </c>
      <c r="O36" s="1126" t="s">
        <v>36</v>
      </c>
      <c r="P36" s="1126" t="s">
        <v>140</v>
      </c>
      <c r="Q36" s="1126" t="s">
        <v>36</v>
      </c>
      <c r="R36" s="1126" t="s">
        <v>140</v>
      </c>
      <c r="S36" s="175"/>
      <c r="T36" s="175"/>
      <c r="U36" s="175"/>
      <c r="V36" s="602"/>
      <c r="W36" s="602"/>
      <c r="X36" s="602"/>
      <c r="Y36" s="602"/>
      <c r="Z36" s="602"/>
    </row>
    <row r="37" spans="1:26" ht="15.75" customHeight="1">
      <c r="A37" s="1124"/>
      <c r="B37" s="1237"/>
      <c r="C37" s="1237"/>
      <c r="D37" s="1120"/>
      <c r="E37" s="1238"/>
      <c r="F37" s="1238"/>
      <c r="G37" s="1238"/>
      <c r="H37" s="1238"/>
      <c r="I37" s="1238"/>
      <c r="J37" s="1176"/>
      <c r="K37" s="1127"/>
      <c r="L37" s="1128"/>
      <c r="M37" s="1127"/>
      <c r="N37" s="1128"/>
      <c r="O37" s="1127"/>
      <c r="P37" s="1128"/>
      <c r="Q37" s="1127"/>
      <c r="R37" s="1128"/>
      <c r="S37" s="175"/>
      <c r="T37" s="175"/>
      <c r="U37" s="175"/>
      <c r="V37" s="602"/>
      <c r="W37" s="602"/>
      <c r="X37" s="602"/>
      <c r="Y37" s="602"/>
      <c r="Z37" s="602"/>
    </row>
    <row r="38" spans="1:26" ht="15.75" customHeight="1">
      <c r="A38" s="1124"/>
      <c r="B38" s="1237"/>
      <c r="C38" s="1237"/>
      <c r="D38" s="1120"/>
      <c r="E38" s="1343"/>
      <c r="F38" s="1324" t="s">
        <v>3024</v>
      </c>
      <c r="G38" s="1337">
        <f ca="1">IFERROR(__xludf.DUMMYFUNCTION("""COMPUTED_VALUE"""),1)</f>
        <v>1</v>
      </c>
      <c r="H38" s="1338" t="str">
        <f ca="1">IFERROR(__xludf.DUMMYFUNCTION("""COMPUTED_VALUE"""),"#DIV/0!")</f>
        <v>#DIV/0!</v>
      </c>
      <c r="I38" s="1324" t="s">
        <v>3024</v>
      </c>
      <c r="J38" s="1176"/>
      <c r="K38" s="1322" t="s">
        <v>3092</v>
      </c>
      <c r="L38" s="1198"/>
      <c r="M38" s="1322" t="s">
        <v>3093</v>
      </c>
      <c r="N38" s="1198"/>
      <c r="O38" s="1322" t="s">
        <v>3094</v>
      </c>
      <c r="P38" s="1198"/>
      <c r="Q38" s="1330"/>
      <c r="R38" s="1176"/>
      <c r="S38" s="175"/>
      <c r="T38" s="175"/>
      <c r="U38" s="175"/>
      <c r="V38" s="602"/>
      <c r="W38" s="602"/>
      <c r="X38" s="602"/>
      <c r="Y38" s="602"/>
      <c r="Z38" s="602"/>
    </row>
    <row r="39" spans="1:26" ht="15.75" customHeight="1">
      <c r="A39" s="1124"/>
      <c r="B39" s="1237"/>
      <c r="C39" s="1237"/>
      <c r="D39" s="1120"/>
      <c r="E39" s="1237"/>
      <c r="F39" s="1237"/>
      <c r="G39" s="1237"/>
      <c r="H39" s="1237"/>
      <c r="I39" s="1237"/>
      <c r="J39" s="1176"/>
      <c r="K39" s="1125" t="s">
        <v>3095</v>
      </c>
      <c r="L39" s="1125" t="s">
        <v>1806</v>
      </c>
      <c r="M39" s="1125" t="s">
        <v>3095</v>
      </c>
      <c r="N39" s="1125" t="s">
        <v>1806</v>
      </c>
      <c r="O39" s="1125" t="s">
        <v>3095</v>
      </c>
      <c r="P39" s="1125" t="s">
        <v>1806</v>
      </c>
      <c r="Q39" s="1121"/>
      <c r="R39" s="1121"/>
      <c r="S39" s="175"/>
      <c r="T39" s="175"/>
      <c r="U39" s="175"/>
      <c r="V39" s="602"/>
      <c r="W39" s="602"/>
      <c r="X39" s="602"/>
      <c r="Y39" s="602"/>
      <c r="Z39" s="602"/>
    </row>
    <row r="40" spans="1:26" ht="15.75" customHeight="1">
      <c r="A40" s="1124"/>
      <c r="B40" s="1237"/>
      <c r="C40" s="1237"/>
      <c r="D40" s="1120"/>
      <c r="E40" s="1238"/>
      <c r="F40" s="1238"/>
      <c r="G40" s="1238"/>
      <c r="H40" s="1238"/>
      <c r="I40" s="1238"/>
      <c r="J40" s="1176"/>
      <c r="K40" s="1123"/>
      <c r="L40" s="1123"/>
      <c r="M40" s="1123"/>
      <c r="N40" s="1123"/>
      <c r="O40" s="1123"/>
      <c r="P40" s="1123"/>
      <c r="Q40" s="1121"/>
      <c r="R40" s="1121"/>
      <c r="S40" s="175"/>
      <c r="T40" s="175"/>
      <c r="U40" s="175"/>
      <c r="V40" s="602"/>
      <c r="W40" s="602"/>
      <c r="X40" s="602"/>
      <c r="Y40" s="602"/>
      <c r="Z40" s="602"/>
    </row>
    <row r="41" spans="1:26" ht="15.75" customHeight="1">
      <c r="A41" s="1124"/>
      <c r="B41" s="1237"/>
      <c r="C41" s="1237"/>
      <c r="D41" s="1120"/>
      <c r="E41" s="1343"/>
      <c r="F41" s="1324" t="s">
        <v>3026</v>
      </c>
      <c r="G41" s="1344">
        <f ca="1">IFERROR(__xludf.DUMMYFUNCTION("""COMPUTED_VALUE"""),308100000)</f>
        <v>308100000</v>
      </c>
      <c r="H41" s="1338"/>
      <c r="I41" s="1324" t="s">
        <v>3026</v>
      </c>
      <c r="J41" s="1176"/>
      <c r="K41" s="1129" t="s">
        <v>3096</v>
      </c>
      <c r="L41" s="1129" t="s">
        <v>3097</v>
      </c>
      <c r="M41" s="1129" t="s">
        <v>3098</v>
      </c>
      <c r="N41" s="1129" t="s">
        <v>3099</v>
      </c>
      <c r="O41" s="1130"/>
      <c r="P41" s="1130"/>
      <c r="Q41" s="175"/>
      <c r="R41" s="175"/>
      <c r="S41" s="175"/>
      <c r="T41" s="175"/>
      <c r="U41" s="175"/>
      <c r="V41" s="602"/>
      <c r="W41" s="602"/>
      <c r="X41" s="602"/>
      <c r="Y41" s="602"/>
      <c r="Z41" s="602"/>
    </row>
    <row r="42" spans="1:26" ht="15.75" customHeight="1">
      <c r="A42" s="1124"/>
      <c r="B42" s="1237"/>
      <c r="C42" s="1237"/>
      <c r="D42" s="1120"/>
      <c r="E42" s="1238"/>
      <c r="F42" s="1238"/>
      <c r="G42" s="1238"/>
      <c r="H42" s="1238"/>
      <c r="I42" s="1238"/>
      <c r="J42" s="1176"/>
      <c r="K42" s="1131"/>
      <c r="L42" s="1131"/>
      <c r="M42" s="1128"/>
      <c r="N42" s="1128"/>
      <c r="O42" s="395"/>
      <c r="P42" s="395"/>
      <c r="Q42" s="175"/>
      <c r="R42" s="175"/>
      <c r="S42" s="175"/>
      <c r="T42" s="175"/>
      <c r="U42" s="175"/>
      <c r="V42" s="602"/>
      <c r="W42" s="602"/>
      <c r="X42" s="602"/>
      <c r="Y42" s="602"/>
      <c r="Z42" s="602"/>
    </row>
    <row r="43" spans="1:26" ht="15.75" customHeight="1">
      <c r="A43" s="1124"/>
      <c r="B43" s="1237"/>
      <c r="C43" s="1237"/>
      <c r="D43" s="1120"/>
      <c r="E43" s="1343"/>
      <c r="F43" s="1324" t="s">
        <v>3100</v>
      </c>
      <c r="G43" s="1337">
        <f ca="1">IFERROR(__xludf.DUMMYFUNCTION("""COMPUTED_VALUE"""),1)</f>
        <v>1</v>
      </c>
      <c r="H43" s="1338" t="str">
        <f ca="1">IFERROR(__xludf.DUMMYFUNCTION("""COMPUTED_VALUE"""),"#DIV/0!")</f>
        <v>#DIV/0!</v>
      </c>
      <c r="I43" s="1324" t="s">
        <v>3100</v>
      </c>
      <c r="J43" s="1176"/>
      <c r="K43" s="1132" t="s">
        <v>3101</v>
      </c>
      <c r="L43" s="1132" t="s">
        <v>3102</v>
      </c>
      <c r="M43" s="1132" t="s">
        <v>3103</v>
      </c>
      <c r="N43" s="1132" t="s">
        <v>3104</v>
      </c>
      <c r="O43" s="1132" t="s">
        <v>3105</v>
      </c>
      <c r="P43" s="1129" t="s">
        <v>3106</v>
      </c>
      <c r="Q43" s="1132" t="s">
        <v>3107</v>
      </c>
      <c r="R43" s="1133" t="s">
        <v>3096</v>
      </c>
      <c r="S43" s="1133" t="s">
        <v>3097</v>
      </c>
      <c r="T43" s="1134" t="s">
        <v>3098</v>
      </c>
      <c r="U43" s="1134" t="s">
        <v>3099</v>
      </c>
      <c r="V43" s="602"/>
      <c r="W43" s="602"/>
      <c r="X43" s="602"/>
      <c r="Y43" s="602"/>
      <c r="Z43" s="602"/>
    </row>
    <row r="44" spans="1:26" ht="15.75" customHeight="1">
      <c r="A44" s="1124"/>
      <c r="B44" s="1237"/>
      <c r="C44" s="1237"/>
      <c r="D44" s="1120"/>
      <c r="E44" s="1238"/>
      <c r="F44" s="1238"/>
      <c r="G44" s="1238"/>
      <c r="H44" s="1238"/>
      <c r="I44" s="1238"/>
      <c r="J44" s="1176"/>
      <c r="K44" s="1123"/>
      <c r="L44" s="1123"/>
      <c r="M44" s="1123"/>
      <c r="N44" s="1123"/>
      <c r="O44" s="1123"/>
      <c r="P44" s="1135"/>
      <c r="Q44" s="1123"/>
      <c r="R44" s="1123"/>
      <c r="S44" s="1123"/>
      <c r="T44" s="1131"/>
      <c r="U44" s="1131"/>
      <c r="V44" s="602"/>
      <c r="W44" s="602"/>
      <c r="X44" s="602"/>
      <c r="Y44" s="602"/>
      <c r="Z44" s="602"/>
    </row>
    <row r="45" spans="1:26" ht="15.75" customHeight="1">
      <c r="A45" s="1124"/>
      <c r="B45" s="1237"/>
      <c r="C45" s="1237"/>
      <c r="D45" s="1120"/>
      <c r="E45" s="1343"/>
      <c r="F45" s="1324" t="s">
        <v>3108</v>
      </c>
      <c r="G45" s="1337">
        <f ca="1">IFERROR(__xludf.DUMMYFUNCTION("""COMPUTED_VALUE"""),2)</f>
        <v>2</v>
      </c>
      <c r="H45" s="1338" t="str">
        <f ca="1">IFERROR(__xludf.DUMMYFUNCTION("""COMPUTED_VALUE"""),"#DIV/0!")</f>
        <v>#DIV/0!</v>
      </c>
      <c r="I45" s="1324" t="s">
        <v>3108</v>
      </c>
      <c r="J45" s="1176"/>
      <c r="K45" s="1132" t="s">
        <v>3101</v>
      </c>
      <c r="L45" s="1132" t="s">
        <v>3102</v>
      </c>
      <c r="M45" s="1132" t="s">
        <v>3103</v>
      </c>
      <c r="N45" s="1132" t="s">
        <v>3104</v>
      </c>
      <c r="O45" s="1132" t="s">
        <v>3105</v>
      </c>
      <c r="P45" s="1129" t="s">
        <v>3106</v>
      </c>
      <c r="Q45" s="1129" t="s">
        <v>3107</v>
      </c>
      <c r="R45" s="1133" t="s">
        <v>3096</v>
      </c>
      <c r="S45" s="1133" t="s">
        <v>3097</v>
      </c>
      <c r="T45" s="1134" t="s">
        <v>3098</v>
      </c>
      <c r="U45" s="1134" t="s">
        <v>3099</v>
      </c>
      <c r="V45" s="602"/>
      <c r="W45" s="602"/>
      <c r="X45" s="602"/>
      <c r="Y45" s="602"/>
      <c r="Z45" s="602"/>
    </row>
    <row r="46" spans="1:26" ht="15.75" customHeight="1">
      <c r="A46" s="1124"/>
      <c r="B46" s="1237"/>
      <c r="C46" s="1237"/>
      <c r="D46" s="1120"/>
      <c r="E46" s="1238"/>
      <c r="F46" s="1238"/>
      <c r="G46" s="1238"/>
      <c r="H46" s="1238"/>
      <c r="I46" s="1238"/>
      <c r="J46" s="1176"/>
      <c r="K46" s="1131"/>
      <c r="L46" s="1131"/>
      <c r="M46" s="1131"/>
      <c r="N46" s="1131"/>
      <c r="O46" s="1131"/>
      <c r="P46" s="1131"/>
      <c r="Q46" s="1131"/>
      <c r="R46" s="1131"/>
      <c r="S46" s="1131"/>
      <c r="T46" s="1131"/>
      <c r="U46" s="1131"/>
      <c r="V46" s="602"/>
      <c r="W46" s="602"/>
      <c r="X46" s="602"/>
      <c r="Y46" s="602"/>
      <c r="Z46" s="602"/>
    </row>
    <row r="47" spans="1:26" ht="15.75" customHeight="1">
      <c r="A47" s="1124"/>
      <c r="B47" s="1237"/>
      <c r="C47" s="1237"/>
      <c r="D47" s="1120"/>
      <c r="E47" s="1343"/>
      <c r="F47" s="1324" t="s">
        <v>3031</v>
      </c>
      <c r="G47" s="1337">
        <f ca="1">IFERROR(__xludf.DUMMYFUNCTION("""COMPUTED_VALUE"""),2)</f>
        <v>2</v>
      </c>
      <c r="H47" s="1338" t="str">
        <f ca="1">IFERROR(__xludf.DUMMYFUNCTION("""COMPUTED_VALUE"""),"#DIV/0!")</f>
        <v>#DIV/0!</v>
      </c>
      <c r="I47" s="1324" t="s">
        <v>3031</v>
      </c>
      <c r="J47" s="1176"/>
      <c r="K47" s="1153" t="s">
        <v>2848</v>
      </c>
      <c r="L47" s="1153" t="s">
        <v>2102</v>
      </c>
      <c r="M47" s="1153" t="s">
        <v>3109</v>
      </c>
      <c r="N47" s="1154" t="s">
        <v>2110</v>
      </c>
      <c r="O47" s="1155" t="s">
        <v>2115</v>
      </c>
      <c r="P47" s="1155" t="s">
        <v>2104</v>
      </c>
      <c r="Q47" s="1139"/>
      <c r="R47" s="1139"/>
      <c r="S47" s="1139"/>
      <c r="T47" s="1140"/>
      <c r="U47" s="1140"/>
      <c r="V47" s="602"/>
      <c r="W47" s="602"/>
      <c r="X47" s="602"/>
      <c r="Y47" s="602"/>
      <c r="Z47" s="602"/>
    </row>
    <row r="48" spans="1:26" ht="15.75" customHeight="1">
      <c r="A48" s="1124"/>
      <c r="B48" s="1237"/>
      <c r="C48" s="1237"/>
      <c r="D48" s="1120"/>
      <c r="E48" s="1238"/>
      <c r="F48" s="1238"/>
      <c r="G48" s="1238"/>
      <c r="H48" s="1238"/>
      <c r="I48" s="1238"/>
      <c r="J48" s="1176"/>
      <c r="K48" s="1141"/>
      <c r="L48" s="1141"/>
      <c r="M48" s="1141"/>
      <c r="N48" s="1141"/>
      <c r="O48" s="1141"/>
      <c r="P48" s="1142"/>
      <c r="Q48" s="1142"/>
      <c r="R48" s="1142"/>
      <c r="S48" s="1142"/>
      <c r="T48" s="1142"/>
      <c r="U48" s="1142"/>
      <c r="V48" s="602"/>
      <c r="W48" s="602"/>
      <c r="X48" s="602"/>
      <c r="Y48" s="602"/>
      <c r="Z48" s="602"/>
    </row>
    <row r="49" spans="1:26" ht="15.75" customHeight="1">
      <c r="A49" s="1124"/>
      <c r="B49" s="1237"/>
      <c r="C49" s="1237"/>
      <c r="D49" s="1120"/>
      <c r="E49" s="1343"/>
      <c r="F49" s="1324" t="s">
        <v>3110</v>
      </c>
      <c r="G49" s="1337">
        <f ca="1">IFERROR(__xludf.DUMMYFUNCTION("""COMPUTED_VALUE"""),1)</f>
        <v>1</v>
      </c>
      <c r="H49" s="1338" t="str">
        <f ca="1">IFERROR(__xludf.DUMMYFUNCTION("""COMPUTED_VALUE"""),"#DIV/0!")</f>
        <v>#DIV/0!</v>
      </c>
      <c r="I49" s="1324" t="s">
        <v>3110</v>
      </c>
      <c r="J49" s="1327"/>
      <c r="K49" s="1325" t="s">
        <v>3111</v>
      </c>
      <c r="L49" s="1235"/>
      <c r="M49" s="1325" t="s">
        <v>2140</v>
      </c>
      <c r="N49" s="1235"/>
      <c r="O49" s="1323" t="s">
        <v>3112</v>
      </c>
      <c r="P49" s="1198"/>
      <c r="Q49" s="1143"/>
      <c r="R49" s="1143"/>
      <c r="S49" s="1143"/>
      <c r="T49" s="1143"/>
      <c r="U49" s="1143"/>
      <c r="V49" s="602"/>
      <c r="W49" s="602"/>
      <c r="X49" s="602"/>
      <c r="Y49" s="602"/>
      <c r="Z49" s="602"/>
    </row>
    <row r="50" spans="1:26" ht="15.75" customHeight="1">
      <c r="A50" s="602"/>
      <c r="B50" s="1237"/>
      <c r="C50" s="1237"/>
      <c r="D50" s="1120"/>
      <c r="E50" s="1237"/>
      <c r="F50" s="1237"/>
      <c r="G50" s="1237"/>
      <c r="H50" s="1237"/>
      <c r="I50" s="1237"/>
      <c r="J50" s="602"/>
      <c r="K50" s="1125" t="s">
        <v>1849</v>
      </c>
      <c r="L50" s="1125" t="s">
        <v>1915</v>
      </c>
      <c r="M50" s="1125" t="s">
        <v>1849</v>
      </c>
      <c r="N50" s="1125" t="s">
        <v>1915</v>
      </c>
      <c r="O50" s="1144" t="s">
        <v>1849</v>
      </c>
      <c r="P50" s="1144" t="s">
        <v>1915</v>
      </c>
      <c r="Q50" s="1135"/>
      <c r="R50" s="1135"/>
      <c r="S50" s="602"/>
      <c r="T50" s="602"/>
      <c r="U50" s="602"/>
      <c r="V50" s="602"/>
      <c r="W50" s="602"/>
      <c r="X50" s="602"/>
      <c r="Y50" s="602"/>
      <c r="Z50" s="602"/>
    </row>
    <row r="51" spans="1:26" ht="15.75" customHeight="1">
      <c r="A51" s="602"/>
      <c r="B51" s="1237"/>
      <c r="C51" s="1237"/>
      <c r="D51" s="1120"/>
      <c r="E51" s="1238"/>
      <c r="F51" s="1238"/>
      <c r="G51" s="1238"/>
      <c r="H51" s="1238"/>
      <c r="I51" s="1238"/>
      <c r="J51" s="1326"/>
      <c r="K51" s="1123"/>
      <c r="L51" s="1123"/>
      <c r="M51" s="1123"/>
      <c r="N51" s="1123"/>
      <c r="O51" s="1135"/>
      <c r="P51" s="1135"/>
      <c r="Q51" s="1135"/>
      <c r="R51" s="1135"/>
      <c r="S51" s="602"/>
      <c r="T51" s="602"/>
      <c r="U51" s="602"/>
      <c r="V51" s="602"/>
      <c r="W51" s="602"/>
      <c r="X51" s="602"/>
      <c r="Y51" s="602"/>
      <c r="Z51" s="602"/>
    </row>
    <row r="52" spans="1:26" ht="15.75" customHeight="1">
      <c r="A52" s="602"/>
      <c r="B52" s="1237"/>
      <c r="C52" s="1237"/>
      <c r="D52" s="1120"/>
      <c r="E52" s="1343"/>
      <c r="F52" s="1324" t="s">
        <v>3113</v>
      </c>
      <c r="G52" s="1337">
        <f ca="1">IFERROR(__xludf.DUMMYFUNCTION("""COMPUTED_VALUE"""),1)</f>
        <v>1</v>
      </c>
      <c r="H52" s="1338" t="str">
        <f ca="1">IFERROR(__xludf.DUMMYFUNCTION("""COMPUTED_VALUE"""),"#DIV/0!")</f>
        <v>#DIV/0!</v>
      </c>
      <c r="I52" s="1324" t="s">
        <v>3113</v>
      </c>
      <c r="J52" s="1176"/>
      <c r="K52" s="1123"/>
      <c r="L52" s="1123"/>
      <c r="M52" s="1123"/>
      <c r="N52" s="1123"/>
      <c r="O52" s="1135"/>
      <c r="P52" s="1135"/>
      <c r="Q52" s="1135"/>
      <c r="R52" s="1135"/>
      <c r="S52" s="602"/>
      <c r="T52" s="602"/>
      <c r="U52" s="602"/>
      <c r="V52" s="602"/>
      <c r="W52" s="602"/>
      <c r="X52" s="602"/>
      <c r="Y52" s="602"/>
      <c r="Z52" s="602"/>
    </row>
    <row r="53" spans="1:26" ht="15.75" customHeight="1">
      <c r="A53" s="602"/>
      <c r="B53" s="1237"/>
      <c r="C53" s="1237"/>
      <c r="D53" s="1120"/>
      <c r="E53" s="1237"/>
      <c r="F53" s="1237"/>
      <c r="G53" s="1237"/>
      <c r="H53" s="1237"/>
      <c r="I53" s="1237"/>
      <c r="J53" s="1176"/>
      <c r="K53" s="1123"/>
      <c r="L53" s="1123"/>
      <c r="M53" s="1123"/>
      <c r="N53" s="1123"/>
      <c r="O53" s="1135"/>
      <c r="P53" s="1135"/>
      <c r="Q53" s="1135"/>
      <c r="R53" s="1135"/>
      <c r="S53" s="602"/>
      <c r="T53" s="602"/>
      <c r="U53" s="602"/>
      <c r="V53" s="602"/>
      <c r="W53" s="602"/>
      <c r="X53" s="602"/>
      <c r="Y53" s="602"/>
      <c r="Z53" s="602"/>
    </row>
    <row r="54" spans="1:26" ht="15.75" customHeight="1">
      <c r="A54" s="602"/>
      <c r="B54" s="1238"/>
      <c r="C54" s="1238"/>
      <c r="D54" s="1120"/>
      <c r="E54" s="1238"/>
      <c r="F54" s="1238"/>
      <c r="G54" s="1238"/>
      <c r="H54" s="1238"/>
      <c r="I54" s="1238"/>
      <c r="J54" s="1176"/>
      <c r="K54" s="1123"/>
      <c r="L54" s="1123"/>
      <c r="M54" s="1123"/>
      <c r="N54" s="1123"/>
      <c r="O54" s="1135"/>
      <c r="P54" s="1135"/>
      <c r="Q54" s="1135"/>
      <c r="R54" s="1135"/>
      <c r="S54" s="602"/>
      <c r="T54" s="602"/>
      <c r="U54" s="602"/>
      <c r="V54" s="602"/>
      <c r="W54" s="602"/>
      <c r="X54" s="602"/>
      <c r="Y54" s="602"/>
      <c r="Z54" s="602"/>
    </row>
    <row r="55" spans="1:26" ht="15.75" customHeight="1">
      <c r="A55" s="602"/>
      <c r="B55" s="1156"/>
      <c r="C55" s="538"/>
      <c r="D55" s="1120"/>
      <c r="E55" s="1128"/>
      <c r="F55" s="1082"/>
      <c r="G55" s="1157"/>
      <c r="H55" s="1158"/>
      <c r="I55" s="1082"/>
      <c r="J55" s="1176"/>
      <c r="K55" s="1328"/>
      <c r="L55" s="1329"/>
      <c r="M55" s="602"/>
      <c r="N55" s="602"/>
      <c r="O55" s="602"/>
      <c r="P55" s="602"/>
      <c r="Q55" s="602"/>
      <c r="R55" s="602"/>
      <c r="S55" s="602"/>
      <c r="T55" s="602"/>
      <c r="U55" s="602"/>
      <c r="V55" s="602"/>
      <c r="W55" s="602"/>
      <c r="X55" s="602"/>
      <c r="Y55" s="602"/>
      <c r="Z55" s="602"/>
    </row>
    <row r="56" spans="1:26" ht="15.75" customHeight="1">
      <c r="A56" s="602"/>
      <c r="B56" s="1334">
        <v>3</v>
      </c>
      <c r="C56" s="1339" t="s">
        <v>58</v>
      </c>
      <c r="D56" s="1120"/>
      <c r="E56" s="1343"/>
      <c r="F56" s="1289" t="s">
        <v>3020</v>
      </c>
      <c r="G56" s="1331">
        <f ca="1">IFERROR(__xludf.DUMMYFUNCTION("""COMPUTED_VALUE"""),11)</f>
        <v>11</v>
      </c>
      <c r="H56" s="1321" t="str">
        <f ca="1">IFERROR(__xludf.DUMMYFUNCTION("""COMPUTED_VALUE"""),"#DIV/0!")</f>
        <v>#DIV/0!</v>
      </c>
      <c r="I56" s="1289" t="s">
        <v>3020</v>
      </c>
      <c r="J56" s="1176"/>
      <c r="K56" s="1340" t="s">
        <v>3086</v>
      </c>
      <c r="L56" s="1235"/>
      <c r="M56" s="1340" t="s">
        <v>3087</v>
      </c>
      <c r="N56" s="1235"/>
      <c r="O56" s="1340" t="s">
        <v>3088</v>
      </c>
      <c r="P56" s="1235"/>
      <c r="Q56" s="1121"/>
      <c r="R56" s="1121"/>
      <c r="S56" s="175"/>
      <c r="T56" s="175"/>
      <c r="U56" s="175"/>
      <c r="V56" s="602"/>
      <c r="W56" s="602"/>
      <c r="X56" s="602"/>
      <c r="Y56" s="602"/>
      <c r="Z56" s="602"/>
    </row>
    <row r="57" spans="1:26" ht="15.75" customHeight="1">
      <c r="A57" s="602"/>
      <c r="B57" s="1237"/>
      <c r="C57" s="1237"/>
      <c r="D57" s="1120"/>
      <c r="E57" s="1237"/>
      <c r="F57" s="1237"/>
      <c r="G57" s="1237"/>
      <c r="H57" s="1237"/>
      <c r="I57" s="1237"/>
      <c r="J57" s="1176"/>
      <c r="K57" s="1122" t="s">
        <v>2163</v>
      </c>
      <c r="L57" s="1122" t="s">
        <v>2180</v>
      </c>
      <c r="M57" s="1122" t="s">
        <v>2163</v>
      </c>
      <c r="N57" s="1122" t="s">
        <v>2180</v>
      </c>
      <c r="O57" s="1122" t="s">
        <v>2163</v>
      </c>
      <c r="P57" s="1122" t="s">
        <v>2180</v>
      </c>
      <c r="Q57" s="1121"/>
      <c r="R57" s="1121"/>
      <c r="S57" s="175"/>
      <c r="T57" s="175"/>
      <c r="U57" s="175"/>
      <c r="V57" s="602"/>
      <c r="W57" s="602"/>
      <c r="X57" s="602"/>
      <c r="Y57" s="602"/>
      <c r="Z57" s="602"/>
    </row>
    <row r="58" spans="1:26" ht="15.75" customHeight="1">
      <c r="A58" s="602"/>
      <c r="B58" s="1237"/>
      <c r="C58" s="1237"/>
      <c r="D58" s="1120"/>
      <c r="E58" s="1238"/>
      <c r="F58" s="1238"/>
      <c r="G58" s="1238"/>
      <c r="H58" s="1238"/>
      <c r="I58" s="1238"/>
      <c r="J58" s="1176"/>
      <c r="K58" s="1123"/>
      <c r="L58" s="1123"/>
      <c r="M58" s="1123"/>
      <c r="N58" s="1123"/>
      <c r="O58" s="1123"/>
      <c r="P58" s="1123"/>
      <c r="Q58" s="1121"/>
      <c r="R58" s="1121"/>
      <c r="S58" s="175"/>
      <c r="T58" s="175"/>
      <c r="U58" s="175"/>
      <c r="V58" s="602"/>
      <c r="W58" s="602"/>
      <c r="X58" s="602"/>
      <c r="Y58" s="602"/>
      <c r="Z58" s="602"/>
    </row>
    <row r="59" spans="1:26" ht="15.75" customHeight="1">
      <c r="A59" s="602"/>
      <c r="B59" s="1237"/>
      <c r="C59" s="1237"/>
      <c r="D59" s="1120"/>
      <c r="E59" s="1343"/>
      <c r="F59" s="1324" t="s">
        <v>3022</v>
      </c>
      <c r="G59" s="1331">
        <f ca="1">IFERROR(__xludf.DUMMYFUNCTION("""COMPUTED_VALUE"""),25)</f>
        <v>25</v>
      </c>
      <c r="H59" s="1321" t="str">
        <f ca="1">IFERROR(__xludf.DUMMYFUNCTION("""COMPUTED_VALUE"""),"#DIV/0!")</f>
        <v>#DIV/0!</v>
      </c>
      <c r="I59" s="1324" t="s">
        <v>3022</v>
      </c>
      <c r="J59" s="1176"/>
      <c r="K59" s="1322" t="s">
        <v>2910</v>
      </c>
      <c r="L59" s="1198"/>
      <c r="M59" s="1332" t="s">
        <v>3089</v>
      </c>
      <c r="N59" s="1198"/>
      <c r="O59" s="1332" t="s">
        <v>3090</v>
      </c>
      <c r="P59" s="1198"/>
      <c r="Q59" s="1332" t="s">
        <v>3091</v>
      </c>
      <c r="R59" s="1198"/>
      <c r="S59" s="175"/>
      <c r="T59" s="175"/>
      <c r="U59" s="175"/>
      <c r="V59" s="602"/>
      <c r="W59" s="602"/>
      <c r="X59" s="602"/>
      <c r="Y59" s="602"/>
      <c r="Z59" s="602"/>
    </row>
    <row r="60" spans="1:26" ht="15.75" customHeight="1">
      <c r="A60" s="602"/>
      <c r="B60" s="1237"/>
      <c r="C60" s="1237"/>
      <c r="D60" s="1120"/>
      <c r="E60" s="1237"/>
      <c r="F60" s="1237"/>
      <c r="G60" s="1237"/>
      <c r="H60" s="1237"/>
      <c r="I60" s="1237"/>
      <c r="J60" s="1176"/>
      <c r="K60" s="1125" t="s">
        <v>36</v>
      </c>
      <c r="L60" s="1125" t="s">
        <v>140</v>
      </c>
      <c r="M60" s="1126" t="s">
        <v>36</v>
      </c>
      <c r="N60" s="1126" t="s">
        <v>140</v>
      </c>
      <c r="O60" s="1126" t="s">
        <v>36</v>
      </c>
      <c r="P60" s="1126" t="s">
        <v>140</v>
      </c>
      <c r="Q60" s="1126" t="s">
        <v>36</v>
      </c>
      <c r="R60" s="1126" t="s">
        <v>140</v>
      </c>
      <c r="S60" s="175"/>
      <c r="T60" s="175"/>
      <c r="U60" s="175"/>
      <c r="V60" s="602"/>
      <c r="W60" s="602"/>
      <c r="X60" s="602"/>
      <c r="Y60" s="602"/>
      <c r="Z60" s="602"/>
    </row>
    <row r="61" spans="1:26" ht="15.75" customHeight="1">
      <c r="A61" s="602"/>
      <c r="B61" s="1237"/>
      <c r="C61" s="1237"/>
      <c r="D61" s="1120"/>
      <c r="E61" s="1238"/>
      <c r="F61" s="1238"/>
      <c r="G61" s="1238"/>
      <c r="H61" s="1238"/>
      <c r="I61" s="1238"/>
      <c r="J61" s="1176"/>
      <c r="K61" s="1127"/>
      <c r="L61" s="1128"/>
      <c r="M61" s="1127"/>
      <c r="N61" s="1128"/>
      <c r="O61" s="1127"/>
      <c r="P61" s="1128"/>
      <c r="Q61" s="1127"/>
      <c r="R61" s="1128"/>
      <c r="S61" s="175"/>
      <c r="T61" s="175"/>
      <c r="U61" s="175"/>
      <c r="V61" s="602"/>
      <c r="W61" s="602"/>
      <c r="X61" s="602"/>
      <c r="Y61" s="602"/>
      <c r="Z61" s="602"/>
    </row>
    <row r="62" spans="1:26" ht="15.75" customHeight="1">
      <c r="A62" s="602"/>
      <c r="B62" s="1237"/>
      <c r="C62" s="1237"/>
      <c r="D62" s="1120"/>
      <c r="E62" s="1343"/>
      <c r="F62" s="1324" t="s">
        <v>3024</v>
      </c>
      <c r="G62" s="1331">
        <f ca="1">IFERROR(__xludf.DUMMYFUNCTION("""COMPUTED_VALUE"""),0)</f>
        <v>0</v>
      </c>
      <c r="H62" s="1321" t="str">
        <f ca="1">IFERROR(__xludf.DUMMYFUNCTION("""COMPUTED_VALUE"""),"#DIV/0!")</f>
        <v>#DIV/0!</v>
      </c>
      <c r="I62" s="1324" t="s">
        <v>3024</v>
      </c>
      <c r="J62" s="1176"/>
      <c r="K62" s="1322" t="s">
        <v>3092</v>
      </c>
      <c r="L62" s="1198"/>
      <c r="M62" s="1322" t="s">
        <v>3093</v>
      </c>
      <c r="N62" s="1198"/>
      <c r="O62" s="1322" t="s">
        <v>3094</v>
      </c>
      <c r="P62" s="1198"/>
      <c r="Q62" s="1330"/>
      <c r="R62" s="1176"/>
      <c r="S62" s="175"/>
      <c r="T62" s="175"/>
      <c r="U62" s="175"/>
      <c r="V62" s="602"/>
      <c r="W62" s="602"/>
      <c r="X62" s="602"/>
      <c r="Y62" s="602"/>
      <c r="Z62" s="602"/>
    </row>
    <row r="63" spans="1:26" ht="15.75" customHeight="1">
      <c r="A63" s="602"/>
      <c r="B63" s="1237"/>
      <c r="C63" s="1237"/>
      <c r="D63" s="1120"/>
      <c r="E63" s="1237"/>
      <c r="F63" s="1237"/>
      <c r="G63" s="1237"/>
      <c r="H63" s="1237"/>
      <c r="I63" s="1237"/>
      <c r="J63" s="1176"/>
      <c r="K63" s="1125" t="s">
        <v>3095</v>
      </c>
      <c r="L63" s="1125" t="s">
        <v>1806</v>
      </c>
      <c r="M63" s="1125" t="s">
        <v>3095</v>
      </c>
      <c r="N63" s="1125" t="s">
        <v>1806</v>
      </c>
      <c r="O63" s="1125" t="s">
        <v>3095</v>
      </c>
      <c r="P63" s="1125" t="s">
        <v>1806</v>
      </c>
      <c r="Q63" s="1121"/>
      <c r="R63" s="1121"/>
      <c r="S63" s="175"/>
      <c r="T63" s="175"/>
      <c r="U63" s="175"/>
      <c r="V63" s="602"/>
      <c r="W63" s="602"/>
      <c r="X63" s="602"/>
      <c r="Y63" s="602"/>
      <c r="Z63" s="602"/>
    </row>
    <row r="64" spans="1:26" ht="15.75" customHeight="1">
      <c r="A64" s="602"/>
      <c r="B64" s="1237"/>
      <c r="C64" s="1237"/>
      <c r="D64" s="1120"/>
      <c r="E64" s="1238"/>
      <c r="F64" s="1238"/>
      <c r="G64" s="1238"/>
      <c r="H64" s="1238"/>
      <c r="I64" s="1238"/>
      <c r="J64" s="1176"/>
      <c r="K64" s="1123"/>
      <c r="L64" s="1123"/>
      <c r="M64" s="1123"/>
      <c r="N64" s="1123"/>
      <c r="O64" s="1123"/>
      <c r="P64" s="1123"/>
      <c r="Q64" s="1121"/>
      <c r="R64" s="1121"/>
      <c r="S64" s="175"/>
      <c r="T64" s="175"/>
      <c r="U64" s="175"/>
      <c r="V64" s="602"/>
      <c r="W64" s="602"/>
      <c r="X64" s="602"/>
      <c r="Y64" s="602"/>
      <c r="Z64" s="602"/>
    </row>
    <row r="65" spans="1:26" ht="15.75" customHeight="1">
      <c r="A65" s="602"/>
      <c r="B65" s="1237"/>
      <c r="C65" s="1237"/>
      <c r="D65" s="1120"/>
      <c r="E65" s="1343"/>
      <c r="F65" s="1324" t="s">
        <v>3026</v>
      </c>
      <c r="G65" s="1331">
        <f ca="1">IFERROR(__xludf.DUMMYFUNCTION("""COMPUTED_VALUE"""),325006550)</f>
        <v>325006550</v>
      </c>
      <c r="H65" s="1321" t="str">
        <f ca="1">IFERROR(__xludf.DUMMYFUNCTION("""COMPUTED_VALUE"""),"#DIV/0!")</f>
        <v>#DIV/0!</v>
      </c>
      <c r="I65" s="1324" t="s">
        <v>3026</v>
      </c>
      <c r="J65" s="1176"/>
      <c r="K65" s="1129" t="s">
        <v>3096</v>
      </c>
      <c r="L65" s="1129" t="s">
        <v>3097</v>
      </c>
      <c r="M65" s="1129" t="s">
        <v>3098</v>
      </c>
      <c r="N65" s="1129" t="s">
        <v>3099</v>
      </c>
      <c r="O65" s="1130"/>
      <c r="P65" s="1130"/>
      <c r="Q65" s="175"/>
      <c r="R65" s="175"/>
      <c r="S65" s="175"/>
      <c r="T65" s="175"/>
      <c r="U65" s="175"/>
      <c r="V65" s="602"/>
      <c r="W65" s="602"/>
      <c r="X65" s="602"/>
      <c r="Y65" s="602"/>
      <c r="Z65" s="602"/>
    </row>
    <row r="66" spans="1:26" ht="15.75" customHeight="1">
      <c r="A66" s="602"/>
      <c r="B66" s="1237"/>
      <c r="C66" s="1237"/>
      <c r="D66" s="1120"/>
      <c r="E66" s="1238"/>
      <c r="F66" s="1238"/>
      <c r="G66" s="1238"/>
      <c r="H66" s="1238"/>
      <c r="I66" s="1238"/>
      <c r="J66" s="1176"/>
      <c r="K66" s="1131"/>
      <c r="L66" s="1131"/>
      <c r="M66" s="1128"/>
      <c r="N66" s="1128"/>
      <c r="O66" s="395"/>
      <c r="P66" s="395"/>
      <c r="Q66" s="175"/>
      <c r="R66" s="175"/>
      <c r="S66" s="175"/>
      <c r="T66" s="175"/>
      <c r="U66" s="175"/>
      <c r="V66" s="602"/>
      <c r="W66" s="602"/>
      <c r="X66" s="602"/>
      <c r="Y66" s="602"/>
      <c r="Z66" s="602"/>
    </row>
    <row r="67" spans="1:26" ht="15.75" customHeight="1">
      <c r="A67" s="602"/>
      <c r="B67" s="1237"/>
      <c r="C67" s="1237"/>
      <c r="D67" s="1120"/>
      <c r="E67" s="1343"/>
      <c r="F67" s="1324" t="s">
        <v>3100</v>
      </c>
      <c r="G67" s="1331">
        <f ca="1">IFERROR(__xludf.DUMMYFUNCTION("""COMPUTED_VALUE"""),3)</f>
        <v>3</v>
      </c>
      <c r="H67" s="1321" t="str">
        <f ca="1">IFERROR(__xludf.DUMMYFUNCTION("""COMPUTED_VALUE"""),"#DIV/0!")</f>
        <v>#DIV/0!</v>
      </c>
      <c r="I67" s="1324" t="s">
        <v>3100</v>
      </c>
      <c r="J67" s="1176"/>
      <c r="K67" s="1132" t="s">
        <v>3101</v>
      </c>
      <c r="L67" s="1132" t="s">
        <v>3102</v>
      </c>
      <c r="M67" s="1132" t="s">
        <v>3103</v>
      </c>
      <c r="N67" s="1132" t="s">
        <v>3104</v>
      </c>
      <c r="O67" s="1132" t="s">
        <v>3105</v>
      </c>
      <c r="P67" s="1129" t="s">
        <v>3106</v>
      </c>
      <c r="Q67" s="1132" t="s">
        <v>3107</v>
      </c>
      <c r="R67" s="1133" t="s">
        <v>3096</v>
      </c>
      <c r="S67" s="1133" t="s">
        <v>3097</v>
      </c>
      <c r="T67" s="1134" t="s">
        <v>3098</v>
      </c>
      <c r="U67" s="1134" t="s">
        <v>3099</v>
      </c>
      <c r="V67" s="602"/>
      <c r="W67" s="602"/>
      <c r="X67" s="602"/>
      <c r="Y67" s="602"/>
      <c r="Z67" s="602"/>
    </row>
    <row r="68" spans="1:26" ht="15.75" customHeight="1">
      <c r="A68" s="602"/>
      <c r="B68" s="1237"/>
      <c r="C68" s="1237"/>
      <c r="D68" s="1120"/>
      <c r="E68" s="1238"/>
      <c r="F68" s="1238"/>
      <c r="G68" s="1238"/>
      <c r="H68" s="1238"/>
      <c r="I68" s="1238"/>
      <c r="J68" s="1176"/>
      <c r="K68" s="1123"/>
      <c r="L68" s="1123"/>
      <c r="M68" s="1123"/>
      <c r="N68" s="1123"/>
      <c r="O68" s="1123"/>
      <c r="P68" s="1135"/>
      <c r="Q68" s="1123"/>
      <c r="R68" s="1123"/>
      <c r="S68" s="1123"/>
      <c r="T68" s="1131"/>
      <c r="U68" s="1131"/>
      <c r="V68" s="602"/>
      <c r="W68" s="602"/>
      <c r="X68" s="602"/>
      <c r="Y68" s="602"/>
      <c r="Z68" s="602"/>
    </row>
    <row r="69" spans="1:26" ht="15.75" customHeight="1">
      <c r="A69" s="602"/>
      <c r="B69" s="1237"/>
      <c r="C69" s="1237"/>
      <c r="D69" s="1120"/>
      <c r="E69" s="1343"/>
      <c r="F69" s="1324" t="s">
        <v>3108</v>
      </c>
      <c r="G69" s="1331">
        <f ca="1">IFERROR(__xludf.DUMMYFUNCTION("""COMPUTED_VALUE"""),10)</f>
        <v>10</v>
      </c>
      <c r="H69" s="1321" t="str">
        <f ca="1">IFERROR(__xludf.DUMMYFUNCTION("""COMPUTED_VALUE"""),"#DIV/0!")</f>
        <v>#DIV/0!</v>
      </c>
      <c r="I69" s="1324" t="s">
        <v>3108</v>
      </c>
      <c r="J69" s="1327"/>
      <c r="K69" s="1132" t="s">
        <v>3101</v>
      </c>
      <c r="L69" s="1132" t="s">
        <v>3102</v>
      </c>
      <c r="M69" s="1132" t="s">
        <v>3103</v>
      </c>
      <c r="N69" s="1132" t="s">
        <v>3104</v>
      </c>
      <c r="O69" s="1132" t="s">
        <v>3105</v>
      </c>
      <c r="P69" s="1129" t="s">
        <v>3106</v>
      </c>
      <c r="Q69" s="1129" t="s">
        <v>3107</v>
      </c>
      <c r="R69" s="1133" t="s">
        <v>3096</v>
      </c>
      <c r="S69" s="1133" t="s">
        <v>3097</v>
      </c>
      <c r="T69" s="1134" t="s">
        <v>3098</v>
      </c>
      <c r="U69" s="1134" t="s">
        <v>3099</v>
      </c>
      <c r="V69" s="602"/>
      <c r="W69" s="602"/>
      <c r="X69" s="602"/>
      <c r="Y69" s="602"/>
      <c r="Z69" s="602"/>
    </row>
    <row r="70" spans="1:26" ht="15.75" customHeight="1">
      <c r="A70" s="602"/>
      <c r="B70" s="1237"/>
      <c r="C70" s="1237"/>
      <c r="D70" s="1120"/>
      <c r="E70" s="1238"/>
      <c r="F70" s="1238"/>
      <c r="G70" s="1238"/>
      <c r="H70" s="1238"/>
      <c r="I70" s="1238"/>
      <c r="J70" s="602"/>
      <c r="K70" s="1131"/>
      <c r="L70" s="1131"/>
      <c r="M70" s="1131"/>
      <c r="N70" s="1131"/>
      <c r="O70" s="1131"/>
      <c r="P70" s="1131"/>
      <c r="Q70" s="1131"/>
      <c r="R70" s="1131"/>
      <c r="S70" s="1131"/>
      <c r="T70" s="1131"/>
      <c r="U70" s="1131"/>
      <c r="V70" s="602"/>
      <c r="W70" s="602"/>
      <c r="X70" s="602"/>
      <c r="Y70" s="602"/>
      <c r="Z70" s="602"/>
    </row>
    <row r="71" spans="1:26" ht="15.75" customHeight="1">
      <c r="A71" s="602"/>
      <c r="B71" s="1237"/>
      <c r="C71" s="1237"/>
      <c r="D71" s="1120"/>
      <c r="E71" s="1343"/>
      <c r="F71" s="1324" t="s">
        <v>3031</v>
      </c>
      <c r="G71" s="1331">
        <f ca="1">IFERROR(__xludf.DUMMYFUNCTION("""COMPUTED_VALUE"""),1)</f>
        <v>1</v>
      </c>
      <c r="H71" s="1321" t="str">
        <f ca="1">IFERROR(__xludf.DUMMYFUNCTION("""COMPUTED_VALUE"""),"#DIV/0!")</f>
        <v>#DIV/0!</v>
      </c>
      <c r="I71" s="1324" t="s">
        <v>3031</v>
      </c>
      <c r="J71" s="1326"/>
      <c r="K71" s="1153" t="s">
        <v>2848</v>
      </c>
      <c r="L71" s="1153" t="s">
        <v>2102</v>
      </c>
      <c r="M71" s="1153" t="s">
        <v>3109</v>
      </c>
      <c r="N71" s="1154" t="s">
        <v>2110</v>
      </c>
      <c r="O71" s="1155" t="s">
        <v>2115</v>
      </c>
      <c r="P71" s="1155" t="s">
        <v>2104</v>
      </c>
      <c r="Q71" s="1139"/>
      <c r="R71" s="1139"/>
      <c r="S71" s="1139"/>
      <c r="T71" s="1140"/>
      <c r="U71" s="1140"/>
      <c r="V71" s="602"/>
      <c r="W71" s="602"/>
      <c r="X71" s="602"/>
      <c r="Y71" s="602"/>
      <c r="Z71" s="602"/>
    </row>
    <row r="72" spans="1:26" ht="15.75" customHeight="1">
      <c r="A72" s="602"/>
      <c r="B72" s="1237"/>
      <c r="C72" s="1237"/>
      <c r="D72" s="1120"/>
      <c r="E72" s="1238"/>
      <c r="F72" s="1238"/>
      <c r="G72" s="1238"/>
      <c r="H72" s="1238"/>
      <c r="I72" s="1238"/>
      <c r="J72" s="1176"/>
      <c r="K72" s="1141"/>
      <c r="L72" s="1141"/>
      <c r="M72" s="1141"/>
      <c r="N72" s="1141"/>
      <c r="O72" s="1141"/>
      <c r="P72" s="1142"/>
      <c r="Q72" s="1142"/>
      <c r="R72" s="1142"/>
      <c r="S72" s="1142"/>
      <c r="T72" s="1142"/>
      <c r="U72" s="1142"/>
      <c r="V72" s="602"/>
      <c r="W72" s="602"/>
      <c r="X72" s="602"/>
      <c r="Y72" s="602"/>
      <c r="Z72" s="602"/>
    </row>
    <row r="73" spans="1:26" ht="15.75" customHeight="1">
      <c r="A73" s="602"/>
      <c r="B73" s="1237"/>
      <c r="C73" s="1237"/>
      <c r="D73" s="1120"/>
      <c r="E73" s="1343"/>
      <c r="F73" s="1324" t="s">
        <v>3110</v>
      </c>
      <c r="G73" s="1331">
        <f ca="1">IFERROR(__xludf.DUMMYFUNCTION("""COMPUTED_VALUE"""),2)</f>
        <v>2</v>
      </c>
      <c r="H73" s="1321" t="str">
        <f ca="1">IFERROR(__xludf.DUMMYFUNCTION("""COMPUTED_VALUE"""),"#DIV/0!")</f>
        <v>#DIV/0!</v>
      </c>
      <c r="I73" s="1324" t="s">
        <v>3110</v>
      </c>
      <c r="J73" s="1176"/>
      <c r="K73" s="1325" t="s">
        <v>3111</v>
      </c>
      <c r="L73" s="1235"/>
      <c r="M73" s="1325" t="s">
        <v>2140</v>
      </c>
      <c r="N73" s="1235"/>
      <c r="O73" s="1323" t="s">
        <v>3112</v>
      </c>
      <c r="P73" s="1198"/>
      <c r="Q73" s="1143"/>
      <c r="R73" s="1143"/>
      <c r="S73" s="1143"/>
      <c r="T73" s="1143"/>
      <c r="U73" s="1143"/>
      <c r="V73" s="602"/>
      <c r="W73" s="602"/>
      <c r="X73" s="602"/>
      <c r="Y73" s="602"/>
      <c r="Z73" s="602"/>
    </row>
    <row r="74" spans="1:26" ht="15.75" customHeight="1">
      <c r="A74" s="602"/>
      <c r="B74" s="1237"/>
      <c r="C74" s="1237"/>
      <c r="D74" s="1120"/>
      <c r="E74" s="1237"/>
      <c r="F74" s="1237"/>
      <c r="G74" s="1237"/>
      <c r="H74" s="1237"/>
      <c r="I74" s="1237"/>
      <c r="J74" s="1176"/>
      <c r="K74" s="1125" t="s">
        <v>1849</v>
      </c>
      <c r="L74" s="1125" t="s">
        <v>1915</v>
      </c>
      <c r="M74" s="1125" t="s">
        <v>1849</v>
      </c>
      <c r="N74" s="1125" t="s">
        <v>1915</v>
      </c>
      <c r="O74" s="1144" t="s">
        <v>1849</v>
      </c>
      <c r="P74" s="1144" t="s">
        <v>1915</v>
      </c>
      <c r="Q74" s="1135"/>
      <c r="R74" s="1135"/>
      <c r="S74" s="602"/>
      <c r="T74" s="602"/>
      <c r="U74" s="602"/>
      <c r="V74" s="602"/>
      <c r="W74" s="602"/>
      <c r="X74" s="602"/>
      <c r="Y74" s="602"/>
      <c r="Z74" s="602"/>
    </row>
    <row r="75" spans="1:26" ht="15.75" customHeight="1">
      <c r="A75" s="602"/>
      <c r="B75" s="1237"/>
      <c r="C75" s="1237"/>
      <c r="D75" s="1120"/>
      <c r="E75" s="1238"/>
      <c r="F75" s="1238"/>
      <c r="G75" s="1238"/>
      <c r="H75" s="1238"/>
      <c r="I75" s="1238"/>
      <c r="J75" s="1176"/>
      <c r="K75" s="1123"/>
      <c r="L75" s="1123"/>
      <c r="M75" s="1123"/>
      <c r="N75" s="1123"/>
      <c r="O75" s="1135"/>
      <c r="P75" s="1135"/>
      <c r="Q75" s="1135"/>
      <c r="R75" s="1135"/>
      <c r="S75" s="602"/>
      <c r="T75" s="602"/>
      <c r="U75" s="602"/>
      <c r="V75" s="602"/>
      <c r="W75" s="602"/>
      <c r="X75" s="602"/>
      <c r="Y75" s="602"/>
      <c r="Z75" s="602"/>
    </row>
    <row r="76" spans="1:26" ht="15.75" customHeight="1">
      <c r="A76" s="602"/>
      <c r="B76" s="1237"/>
      <c r="C76" s="1237"/>
      <c r="D76" s="1120"/>
      <c r="E76" s="1343"/>
      <c r="F76" s="1324" t="s">
        <v>3113</v>
      </c>
      <c r="G76" s="1331">
        <f ca="1">IFERROR(__xludf.DUMMYFUNCTION("""COMPUTED_VALUE"""),1)</f>
        <v>1</v>
      </c>
      <c r="H76" s="1321" t="str">
        <f ca="1">IFERROR(__xludf.DUMMYFUNCTION("""COMPUTED_VALUE"""),"#DIV/0!")</f>
        <v>#DIV/0!</v>
      </c>
      <c r="I76" s="1324" t="s">
        <v>3113</v>
      </c>
      <c r="J76" s="1176"/>
      <c r="K76" s="1123"/>
      <c r="L76" s="1123"/>
      <c r="M76" s="1123"/>
      <c r="N76" s="1123"/>
      <c r="O76" s="1135"/>
      <c r="P76" s="1135"/>
      <c r="Q76" s="1135"/>
      <c r="R76" s="1135"/>
      <c r="S76" s="602"/>
      <c r="T76" s="602"/>
      <c r="U76" s="602"/>
      <c r="V76" s="602"/>
      <c r="W76" s="602"/>
      <c r="X76" s="602"/>
      <c r="Y76" s="602"/>
      <c r="Z76" s="602"/>
    </row>
    <row r="77" spans="1:26" ht="15.75" customHeight="1">
      <c r="A77" s="602"/>
      <c r="B77" s="1237"/>
      <c r="C77" s="1237"/>
      <c r="D77" s="1120"/>
      <c r="E77" s="1237"/>
      <c r="F77" s="1237"/>
      <c r="G77" s="1237"/>
      <c r="H77" s="1237"/>
      <c r="I77" s="1237"/>
      <c r="J77" s="1176"/>
      <c r="K77" s="1123"/>
      <c r="L77" s="1123"/>
      <c r="M77" s="1123"/>
      <c r="N77" s="1123"/>
      <c r="O77" s="1135"/>
      <c r="P77" s="1135"/>
      <c r="Q77" s="1135"/>
      <c r="R77" s="1135"/>
      <c r="S77" s="602"/>
      <c r="T77" s="602"/>
      <c r="U77" s="602"/>
      <c r="V77" s="602"/>
      <c r="W77" s="602"/>
      <c r="X77" s="602"/>
      <c r="Y77" s="602"/>
      <c r="Z77" s="602"/>
    </row>
    <row r="78" spans="1:26" ht="15.75" customHeight="1">
      <c r="A78" s="602"/>
      <c r="B78" s="1238"/>
      <c r="C78" s="1238"/>
      <c r="D78" s="1120"/>
      <c r="E78" s="1238"/>
      <c r="F78" s="1238"/>
      <c r="G78" s="1238"/>
      <c r="H78" s="1238"/>
      <c r="I78" s="1238"/>
      <c r="J78" s="1176"/>
      <c r="K78" s="1123"/>
      <c r="L78" s="1123"/>
      <c r="M78" s="1123"/>
      <c r="N78" s="1123"/>
      <c r="O78" s="1135"/>
      <c r="P78" s="1135"/>
      <c r="Q78" s="1135"/>
      <c r="R78" s="1135"/>
      <c r="S78" s="602"/>
      <c r="T78" s="602"/>
      <c r="U78" s="602"/>
      <c r="V78" s="602"/>
      <c r="W78" s="602"/>
      <c r="X78" s="602"/>
      <c r="Y78" s="602"/>
      <c r="Z78" s="602"/>
    </row>
    <row r="79" spans="1:26" ht="15.75" customHeight="1">
      <c r="A79" s="602"/>
      <c r="B79" s="1156"/>
      <c r="C79" s="538"/>
      <c r="D79" s="1120"/>
      <c r="E79" s="1128"/>
      <c r="F79" s="1082"/>
      <c r="G79" s="1159"/>
      <c r="H79" s="1160"/>
      <c r="I79" s="1082"/>
      <c r="J79" s="1176"/>
      <c r="K79" s="1341"/>
      <c r="L79" s="1342"/>
      <c r="M79" s="602"/>
      <c r="N79" s="602"/>
      <c r="O79" s="602"/>
      <c r="P79" s="602"/>
      <c r="Q79" s="602"/>
      <c r="R79" s="602"/>
      <c r="S79" s="602"/>
      <c r="T79" s="602"/>
      <c r="U79" s="602"/>
      <c r="V79" s="602"/>
      <c r="W79" s="602"/>
      <c r="X79" s="602"/>
      <c r="Y79" s="602"/>
      <c r="Z79" s="602"/>
    </row>
    <row r="80" spans="1:26" ht="15.75" customHeight="1">
      <c r="A80" s="602"/>
      <c r="B80" s="1334">
        <v>4</v>
      </c>
      <c r="C80" s="1335" t="s">
        <v>201</v>
      </c>
      <c r="D80" s="1120"/>
      <c r="E80" s="1343"/>
      <c r="F80" s="1289" t="s">
        <v>3020</v>
      </c>
      <c r="G80" s="1331">
        <f ca="1">IFERROR(__xludf.DUMMYFUNCTION("""COMPUTED_VALUE"""),12)</f>
        <v>12</v>
      </c>
      <c r="H80" s="1321" t="str">
        <f ca="1">IFERROR(__xludf.DUMMYFUNCTION("""COMPUTED_VALUE"""),"#DIV/0!")</f>
        <v>#DIV/0!</v>
      </c>
      <c r="I80" s="1289" t="s">
        <v>3020</v>
      </c>
      <c r="J80" s="1176"/>
      <c r="K80" s="1340" t="s">
        <v>3086</v>
      </c>
      <c r="L80" s="1235"/>
      <c r="M80" s="1340" t="s">
        <v>3087</v>
      </c>
      <c r="N80" s="1235"/>
      <c r="O80" s="1340" t="s">
        <v>3088</v>
      </c>
      <c r="P80" s="1235"/>
      <c r="Q80" s="1121"/>
      <c r="R80" s="1121"/>
      <c r="S80" s="175"/>
      <c r="T80" s="175"/>
      <c r="U80" s="175"/>
      <c r="V80" s="602"/>
      <c r="W80" s="602"/>
      <c r="X80" s="602"/>
      <c r="Y80" s="602"/>
      <c r="Z80" s="602"/>
    </row>
    <row r="81" spans="1:26" ht="15.75" customHeight="1">
      <c r="A81" s="602"/>
      <c r="B81" s="1237"/>
      <c r="C81" s="1237"/>
      <c r="D81" s="1120"/>
      <c r="E81" s="1237"/>
      <c r="F81" s="1237"/>
      <c r="G81" s="1237"/>
      <c r="H81" s="1237"/>
      <c r="I81" s="1237"/>
      <c r="J81" s="1176"/>
      <c r="K81" s="1122" t="s">
        <v>2163</v>
      </c>
      <c r="L81" s="1122" t="s">
        <v>2180</v>
      </c>
      <c r="M81" s="1122" t="s">
        <v>2163</v>
      </c>
      <c r="N81" s="1122" t="s">
        <v>2180</v>
      </c>
      <c r="O81" s="1122" t="s">
        <v>2163</v>
      </c>
      <c r="P81" s="1122" t="s">
        <v>2180</v>
      </c>
      <c r="Q81" s="1121"/>
      <c r="R81" s="1121"/>
      <c r="S81" s="175"/>
      <c r="T81" s="175"/>
      <c r="U81" s="175"/>
      <c r="V81" s="602"/>
      <c r="W81" s="602"/>
      <c r="X81" s="602"/>
      <c r="Y81" s="602"/>
      <c r="Z81" s="602"/>
    </row>
    <row r="82" spans="1:26" ht="15.75" customHeight="1">
      <c r="A82" s="602"/>
      <c r="B82" s="1237"/>
      <c r="C82" s="1237"/>
      <c r="D82" s="1120"/>
      <c r="E82" s="1238"/>
      <c r="F82" s="1238"/>
      <c r="G82" s="1238"/>
      <c r="H82" s="1238"/>
      <c r="I82" s="1238"/>
      <c r="J82" s="1176"/>
      <c r="K82" s="1123"/>
      <c r="L82" s="1123"/>
      <c r="M82" s="1123"/>
      <c r="N82" s="1123"/>
      <c r="O82" s="1123"/>
      <c r="P82" s="1123"/>
      <c r="Q82" s="1121"/>
      <c r="R82" s="1121"/>
      <c r="S82" s="175"/>
      <c r="T82" s="175"/>
      <c r="U82" s="175"/>
      <c r="V82" s="602"/>
      <c r="W82" s="602"/>
      <c r="X82" s="602"/>
      <c r="Y82" s="602"/>
      <c r="Z82" s="602"/>
    </row>
    <row r="83" spans="1:26" ht="15.75" customHeight="1">
      <c r="A83" s="602"/>
      <c r="B83" s="1237"/>
      <c r="C83" s="1237"/>
      <c r="D83" s="1120"/>
      <c r="E83" s="1343"/>
      <c r="F83" s="1324" t="s">
        <v>3022</v>
      </c>
      <c r="G83" s="1331">
        <f ca="1">IFERROR(__xludf.DUMMYFUNCTION("""COMPUTED_VALUE"""),14)</f>
        <v>14</v>
      </c>
      <c r="H83" s="1321" t="str">
        <f ca="1">IFERROR(__xludf.DUMMYFUNCTION("""COMPUTED_VALUE"""),"#DIV/0!")</f>
        <v>#DIV/0!</v>
      </c>
      <c r="I83" s="1324" t="s">
        <v>3022</v>
      </c>
      <c r="J83" s="1176"/>
      <c r="K83" s="1322" t="s">
        <v>2910</v>
      </c>
      <c r="L83" s="1198"/>
      <c r="M83" s="1332" t="s">
        <v>3089</v>
      </c>
      <c r="N83" s="1198"/>
      <c r="O83" s="1332" t="s">
        <v>3090</v>
      </c>
      <c r="P83" s="1198"/>
      <c r="Q83" s="1332" t="s">
        <v>3091</v>
      </c>
      <c r="R83" s="1198"/>
      <c r="S83" s="175"/>
      <c r="T83" s="175"/>
      <c r="U83" s="175"/>
      <c r="V83" s="602"/>
      <c r="W83" s="602"/>
      <c r="X83" s="602"/>
      <c r="Y83" s="602"/>
      <c r="Z83" s="602"/>
    </row>
    <row r="84" spans="1:26" ht="15.75" customHeight="1">
      <c r="A84" s="602"/>
      <c r="B84" s="1237"/>
      <c r="C84" s="1237"/>
      <c r="D84" s="1120"/>
      <c r="E84" s="1237"/>
      <c r="F84" s="1237"/>
      <c r="G84" s="1237"/>
      <c r="H84" s="1237"/>
      <c r="I84" s="1237"/>
      <c r="J84" s="1176"/>
      <c r="K84" s="1125" t="s">
        <v>36</v>
      </c>
      <c r="L84" s="1125" t="s">
        <v>140</v>
      </c>
      <c r="M84" s="1126" t="s">
        <v>36</v>
      </c>
      <c r="N84" s="1126" t="s">
        <v>140</v>
      </c>
      <c r="O84" s="1126" t="s">
        <v>36</v>
      </c>
      <c r="P84" s="1126" t="s">
        <v>140</v>
      </c>
      <c r="Q84" s="1126" t="s">
        <v>36</v>
      </c>
      <c r="R84" s="1126" t="s">
        <v>140</v>
      </c>
      <c r="S84" s="175"/>
      <c r="T84" s="175"/>
      <c r="U84" s="175"/>
      <c r="V84" s="602"/>
      <c r="W84" s="602"/>
      <c r="X84" s="602"/>
      <c r="Y84" s="602"/>
      <c r="Z84" s="602"/>
    </row>
    <row r="85" spans="1:26" ht="15.75" customHeight="1">
      <c r="A85" s="602"/>
      <c r="B85" s="1237"/>
      <c r="C85" s="1237"/>
      <c r="D85" s="1120"/>
      <c r="E85" s="1238"/>
      <c r="F85" s="1238"/>
      <c r="G85" s="1238"/>
      <c r="H85" s="1238"/>
      <c r="I85" s="1238"/>
      <c r="J85" s="1176"/>
      <c r="K85" s="1127"/>
      <c r="L85" s="1128"/>
      <c r="M85" s="1127"/>
      <c r="N85" s="1128"/>
      <c r="O85" s="1127"/>
      <c r="P85" s="1128"/>
      <c r="Q85" s="1127"/>
      <c r="R85" s="1128"/>
      <c r="S85" s="175"/>
      <c r="T85" s="175"/>
      <c r="U85" s="175"/>
      <c r="V85" s="602"/>
      <c r="W85" s="602"/>
      <c r="X85" s="602"/>
      <c r="Y85" s="602"/>
      <c r="Z85" s="602"/>
    </row>
    <row r="86" spans="1:26" ht="15.75" customHeight="1">
      <c r="A86" s="602"/>
      <c r="B86" s="1237"/>
      <c r="C86" s="1237"/>
      <c r="D86" s="1120"/>
      <c r="E86" s="1343"/>
      <c r="F86" s="1324" t="s">
        <v>3024</v>
      </c>
      <c r="G86" s="1331">
        <f ca="1">IFERROR(__xludf.DUMMYFUNCTION("""COMPUTED_VALUE"""),0)</f>
        <v>0</v>
      </c>
      <c r="H86" s="1321" t="str">
        <f ca="1">IFERROR(__xludf.DUMMYFUNCTION("""COMPUTED_VALUE"""),"#DIV/0!")</f>
        <v>#DIV/0!</v>
      </c>
      <c r="I86" s="1324" t="s">
        <v>3024</v>
      </c>
      <c r="J86" s="1176"/>
      <c r="K86" s="1322" t="s">
        <v>3092</v>
      </c>
      <c r="L86" s="1198"/>
      <c r="M86" s="1322" t="s">
        <v>3093</v>
      </c>
      <c r="N86" s="1198"/>
      <c r="O86" s="1322" t="s">
        <v>3094</v>
      </c>
      <c r="P86" s="1198"/>
      <c r="Q86" s="1330"/>
      <c r="R86" s="1176"/>
      <c r="S86" s="175"/>
      <c r="T86" s="175"/>
      <c r="U86" s="175"/>
      <c r="V86" s="602"/>
      <c r="W86" s="602"/>
      <c r="X86" s="602"/>
      <c r="Y86" s="602"/>
      <c r="Z86" s="602"/>
    </row>
    <row r="87" spans="1:26" ht="15.75" customHeight="1">
      <c r="A87" s="602"/>
      <c r="B87" s="1237"/>
      <c r="C87" s="1237"/>
      <c r="D87" s="1120"/>
      <c r="E87" s="1237"/>
      <c r="F87" s="1237"/>
      <c r="G87" s="1237"/>
      <c r="H87" s="1237"/>
      <c r="I87" s="1237"/>
      <c r="J87" s="1176"/>
      <c r="K87" s="1125" t="s">
        <v>3095</v>
      </c>
      <c r="L87" s="1125" t="s">
        <v>1806</v>
      </c>
      <c r="M87" s="1125" t="s">
        <v>3095</v>
      </c>
      <c r="N87" s="1125" t="s">
        <v>1806</v>
      </c>
      <c r="O87" s="1125" t="s">
        <v>3095</v>
      </c>
      <c r="P87" s="1125" t="s">
        <v>1806</v>
      </c>
      <c r="Q87" s="1121"/>
      <c r="R87" s="1121"/>
      <c r="S87" s="175"/>
      <c r="T87" s="175"/>
      <c r="U87" s="175"/>
      <c r="V87" s="602"/>
      <c r="W87" s="602"/>
      <c r="X87" s="602"/>
      <c r="Y87" s="602"/>
      <c r="Z87" s="602"/>
    </row>
    <row r="88" spans="1:26" ht="15.75" customHeight="1">
      <c r="A88" s="602"/>
      <c r="B88" s="1237"/>
      <c r="C88" s="1237"/>
      <c r="D88" s="1120"/>
      <c r="E88" s="1238"/>
      <c r="F88" s="1238"/>
      <c r="G88" s="1238"/>
      <c r="H88" s="1238"/>
      <c r="I88" s="1238"/>
      <c r="J88" s="1327"/>
      <c r="K88" s="1123"/>
      <c r="L88" s="1123"/>
      <c r="M88" s="1123"/>
      <c r="N88" s="1123"/>
      <c r="O88" s="1123"/>
      <c r="P88" s="1123"/>
      <c r="Q88" s="1121"/>
      <c r="R88" s="1121"/>
      <c r="S88" s="175"/>
      <c r="T88" s="175"/>
      <c r="U88" s="175"/>
      <c r="V88" s="602"/>
      <c r="W88" s="602"/>
      <c r="X88" s="602"/>
      <c r="Y88" s="602"/>
      <c r="Z88" s="602"/>
    </row>
    <row r="89" spans="1:26" ht="15.75" customHeight="1">
      <c r="A89" s="602"/>
      <c r="B89" s="1237"/>
      <c r="C89" s="1237"/>
      <c r="D89" s="1120"/>
      <c r="E89" s="1343"/>
      <c r="F89" s="1324" t="s">
        <v>3026</v>
      </c>
      <c r="G89" s="1331">
        <f ca="1">IFERROR(__xludf.DUMMYFUNCTION("""COMPUTED_VALUE"""),289527312)</f>
        <v>289527312</v>
      </c>
      <c r="H89" s="1321" t="str">
        <f ca="1">IFERROR(__xludf.DUMMYFUNCTION("""COMPUTED_VALUE"""),"#DIV/0!")</f>
        <v>#DIV/0!</v>
      </c>
      <c r="I89" s="1324" t="s">
        <v>3026</v>
      </c>
      <c r="J89" s="602"/>
      <c r="K89" s="1129" t="s">
        <v>3096</v>
      </c>
      <c r="L89" s="1129" t="s">
        <v>3097</v>
      </c>
      <c r="M89" s="1129" t="s">
        <v>3098</v>
      </c>
      <c r="N89" s="1129" t="s">
        <v>3099</v>
      </c>
      <c r="O89" s="1130"/>
      <c r="P89" s="1130"/>
      <c r="Q89" s="175"/>
      <c r="R89" s="175"/>
      <c r="S89" s="175"/>
      <c r="T89" s="175"/>
      <c r="U89" s="175"/>
      <c r="V89" s="602"/>
      <c r="W89" s="602"/>
      <c r="X89" s="602"/>
      <c r="Y89" s="602"/>
      <c r="Z89" s="602"/>
    </row>
    <row r="90" spans="1:26" ht="15.75" customHeight="1">
      <c r="A90" s="602"/>
      <c r="B90" s="1237"/>
      <c r="C90" s="1237"/>
      <c r="D90" s="1120"/>
      <c r="E90" s="1238"/>
      <c r="F90" s="1238"/>
      <c r="G90" s="1238"/>
      <c r="H90" s="1238"/>
      <c r="I90" s="1238"/>
      <c r="J90" s="1326"/>
      <c r="K90" s="1131"/>
      <c r="L90" s="1131"/>
      <c r="M90" s="1128"/>
      <c r="N90" s="1128"/>
      <c r="O90" s="395"/>
      <c r="P90" s="395"/>
      <c r="Q90" s="175"/>
      <c r="R90" s="175"/>
      <c r="S90" s="175"/>
      <c r="T90" s="175"/>
      <c r="U90" s="175"/>
      <c r="V90" s="602"/>
      <c r="W90" s="602"/>
      <c r="X90" s="602"/>
      <c r="Y90" s="602"/>
      <c r="Z90" s="602"/>
    </row>
    <row r="91" spans="1:26" ht="15.75" customHeight="1">
      <c r="A91" s="602"/>
      <c r="B91" s="1237"/>
      <c r="C91" s="1237"/>
      <c r="D91" s="1120"/>
      <c r="E91" s="1343"/>
      <c r="F91" s="1324" t="s">
        <v>3100</v>
      </c>
      <c r="G91" s="1331">
        <f ca="1">IFERROR(__xludf.DUMMYFUNCTION("""COMPUTED_VALUE"""),2)</f>
        <v>2</v>
      </c>
      <c r="H91" s="1321" t="str">
        <f ca="1">IFERROR(__xludf.DUMMYFUNCTION("""COMPUTED_VALUE"""),"#DIV/0!")</f>
        <v>#DIV/0!</v>
      </c>
      <c r="I91" s="1324" t="s">
        <v>3100</v>
      </c>
      <c r="J91" s="1176"/>
      <c r="K91" s="1132" t="s">
        <v>3101</v>
      </c>
      <c r="L91" s="1132" t="s">
        <v>3102</v>
      </c>
      <c r="M91" s="1132" t="s">
        <v>3103</v>
      </c>
      <c r="N91" s="1132" t="s">
        <v>3104</v>
      </c>
      <c r="O91" s="1132" t="s">
        <v>3105</v>
      </c>
      <c r="P91" s="1129" t="s">
        <v>3106</v>
      </c>
      <c r="Q91" s="1132" t="s">
        <v>3107</v>
      </c>
      <c r="R91" s="1133" t="s">
        <v>3096</v>
      </c>
      <c r="S91" s="1133" t="s">
        <v>3097</v>
      </c>
      <c r="T91" s="1134" t="s">
        <v>3098</v>
      </c>
      <c r="U91" s="1134" t="s">
        <v>3099</v>
      </c>
      <c r="V91" s="602"/>
      <c r="W91" s="602"/>
      <c r="X91" s="602"/>
      <c r="Y91" s="602"/>
      <c r="Z91" s="602"/>
    </row>
    <row r="92" spans="1:26" ht="15.75" customHeight="1">
      <c r="A92" s="602"/>
      <c r="B92" s="1237"/>
      <c r="C92" s="1237"/>
      <c r="D92" s="1120"/>
      <c r="E92" s="1238"/>
      <c r="F92" s="1238"/>
      <c r="G92" s="1238"/>
      <c r="H92" s="1238"/>
      <c r="I92" s="1238"/>
      <c r="J92" s="1176"/>
      <c r="K92" s="1123"/>
      <c r="L92" s="1123"/>
      <c r="M92" s="1123"/>
      <c r="N92" s="1123"/>
      <c r="O92" s="1123"/>
      <c r="P92" s="1135"/>
      <c r="Q92" s="1123"/>
      <c r="R92" s="1123"/>
      <c r="S92" s="1123"/>
      <c r="T92" s="1131"/>
      <c r="U92" s="1131"/>
      <c r="V92" s="602"/>
      <c r="W92" s="602"/>
      <c r="X92" s="602"/>
      <c r="Y92" s="602"/>
      <c r="Z92" s="602"/>
    </row>
    <row r="93" spans="1:26" ht="15.75" customHeight="1">
      <c r="A93" s="602"/>
      <c r="B93" s="1237"/>
      <c r="C93" s="1237"/>
      <c r="D93" s="1120"/>
      <c r="E93" s="1343"/>
      <c r="F93" s="1324" t="s">
        <v>3108</v>
      </c>
      <c r="G93" s="1331">
        <f ca="1">IFERROR(__xludf.DUMMYFUNCTION("""COMPUTED_VALUE"""),4)</f>
        <v>4</v>
      </c>
      <c r="H93" s="1321" t="str">
        <f ca="1">IFERROR(__xludf.DUMMYFUNCTION("""COMPUTED_VALUE"""),"#DIV/0!")</f>
        <v>#DIV/0!</v>
      </c>
      <c r="I93" s="1324" t="s">
        <v>3108</v>
      </c>
      <c r="J93" s="1176"/>
      <c r="K93" s="1132" t="s">
        <v>3101</v>
      </c>
      <c r="L93" s="1132" t="s">
        <v>3102</v>
      </c>
      <c r="M93" s="1132" t="s">
        <v>3103</v>
      </c>
      <c r="N93" s="1132" t="s">
        <v>3104</v>
      </c>
      <c r="O93" s="1132" t="s">
        <v>3105</v>
      </c>
      <c r="P93" s="1129" t="s">
        <v>3106</v>
      </c>
      <c r="Q93" s="1129" t="s">
        <v>3107</v>
      </c>
      <c r="R93" s="1133" t="s">
        <v>3096</v>
      </c>
      <c r="S93" s="1133" t="s">
        <v>3097</v>
      </c>
      <c r="T93" s="1134" t="s">
        <v>3098</v>
      </c>
      <c r="U93" s="1134" t="s">
        <v>3099</v>
      </c>
      <c r="V93" s="602"/>
      <c r="W93" s="602"/>
      <c r="X93" s="602"/>
      <c r="Y93" s="602"/>
      <c r="Z93" s="602"/>
    </row>
    <row r="94" spans="1:26" ht="15.75" customHeight="1">
      <c r="A94" s="602"/>
      <c r="B94" s="1237"/>
      <c r="C94" s="1237"/>
      <c r="D94" s="1120"/>
      <c r="E94" s="1238"/>
      <c r="F94" s="1238"/>
      <c r="G94" s="1238"/>
      <c r="H94" s="1238"/>
      <c r="I94" s="1238"/>
      <c r="J94" s="1176"/>
      <c r="K94" s="1131"/>
      <c r="L94" s="1131"/>
      <c r="M94" s="1131"/>
      <c r="N94" s="1131"/>
      <c r="O94" s="1131"/>
      <c r="P94" s="1131"/>
      <c r="Q94" s="1131"/>
      <c r="R94" s="1131"/>
      <c r="S94" s="1131"/>
      <c r="T94" s="1131"/>
      <c r="U94" s="1131"/>
      <c r="V94" s="602"/>
      <c r="W94" s="602"/>
      <c r="X94" s="602"/>
      <c r="Y94" s="602"/>
      <c r="Z94" s="602"/>
    </row>
    <row r="95" spans="1:26" ht="15.75" customHeight="1">
      <c r="A95" s="602"/>
      <c r="B95" s="1237"/>
      <c r="C95" s="1237"/>
      <c r="D95" s="1120"/>
      <c r="E95" s="1343"/>
      <c r="F95" s="1324" t="s">
        <v>3031</v>
      </c>
      <c r="G95" s="1331">
        <f ca="1">IFERROR(__xludf.DUMMYFUNCTION("""COMPUTED_VALUE"""),1)</f>
        <v>1</v>
      </c>
      <c r="H95" s="1321" t="str">
        <f ca="1">IFERROR(__xludf.DUMMYFUNCTION("""COMPUTED_VALUE"""),"#DIV/0!")</f>
        <v>#DIV/0!</v>
      </c>
      <c r="I95" s="1324" t="s">
        <v>3031</v>
      </c>
      <c r="J95" s="1176"/>
      <c r="K95" s="1153" t="s">
        <v>2848</v>
      </c>
      <c r="L95" s="1153" t="s">
        <v>2102</v>
      </c>
      <c r="M95" s="1153" t="s">
        <v>3109</v>
      </c>
      <c r="N95" s="1154" t="s">
        <v>2110</v>
      </c>
      <c r="O95" s="1155" t="s">
        <v>2115</v>
      </c>
      <c r="P95" s="1155" t="s">
        <v>2104</v>
      </c>
      <c r="Q95" s="1139"/>
      <c r="R95" s="1139"/>
      <c r="S95" s="1139"/>
      <c r="T95" s="1140"/>
      <c r="U95" s="1140"/>
      <c r="V95" s="602"/>
      <c r="W95" s="602"/>
      <c r="X95" s="602"/>
      <c r="Y95" s="602"/>
      <c r="Z95" s="602"/>
    </row>
    <row r="96" spans="1:26" ht="15.75" customHeight="1">
      <c r="A96" s="602"/>
      <c r="B96" s="1237"/>
      <c r="C96" s="1237"/>
      <c r="D96" s="1120"/>
      <c r="E96" s="1238"/>
      <c r="F96" s="1238"/>
      <c r="G96" s="1238"/>
      <c r="H96" s="1238"/>
      <c r="I96" s="1238"/>
      <c r="J96" s="1176"/>
      <c r="K96" s="1141"/>
      <c r="L96" s="1141"/>
      <c r="M96" s="1141"/>
      <c r="N96" s="1141"/>
      <c r="O96" s="1141"/>
      <c r="P96" s="1142"/>
      <c r="Q96" s="1142"/>
      <c r="R96" s="1142"/>
      <c r="S96" s="1142"/>
      <c r="T96" s="1142"/>
      <c r="U96" s="1142"/>
      <c r="V96" s="602"/>
      <c r="W96" s="602"/>
      <c r="X96" s="602"/>
      <c r="Y96" s="602"/>
      <c r="Z96" s="602"/>
    </row>
    <row r="97" spans="1:26" ht="15.75" customHeight="1">
      <c r="A97" s="602"/>
      <c r="B97" s="1237"/>
      <c r="C97" s="1237"/>
      <c r="D97" s="1120"/>
      <c r="E97" s="1343"/>
      <c r="F97" s="1324" t="s">
        <v>3110</v>
      </c>
      <c r="G97" s="1331">
        <f ca="1">IFERROR(__xludf.DUMMYFUNCTION("""COMPUTED_VALUE"""),3)</f>
        <v>3</v>
      </c>
      <c r="H97" s="1321" t="str">
        <f ca="1">IFERROR(__xludf.DUMMYFUNCTION("""COMPUTED_VALUE"""),"#DIV/0!")</f>
        <v>#DIV/0!</v>
      </c>
      <c r="I97" s="1324" t="s">
        <v>3110</v>
      </c>
      <c r="J97" s="1176"/>
      <c r="K97" s="1325" t="s">
        <v>3111</v>
      </c>
      <c r="L97" s="1235"/>
      <c r="M97" s="1325" t="s">
        <v>2140</v>
      </c>
      <c r="N97" s="1235"/>
      <c r="O97" s="1323" t="s">
        <v>3112</v>
      </c>
      <c r="P97" s="1198"/>
      <c r="Q97" s="1143"/>
      <c r="R97" s="1143"/>
      <c r="S97" s="1143"/>
      <c r="T97" s="1143"/>
      <c r="U97" s="1143"/>
      <c r="V97" s="602"/>
      <c r="W97" s="602"/>
      <c r="X97" s="602"/>
      <c r="Y97" s="602"/>
      <c r="Z97" s="602"/>
    </row>
    <row r="98" spans="1:26" ht="15.75" customHeight="1">
      <c r="A98" s="602"/>
      <c r="B98" s="1237"/>
      <c r="C98" s="1237"/>
      <c r="D98" s="1120"/>
      <c r="E98" s="1237"/>
      <c r="F98" s="1237"/>
      <c r="G98" s="1237"/>
      <c r="H98" s="1237"/>
      <c r="I98" s="1237"/>
      <c r="J98" s="1176"/>
      <c r="K98" s="1125" t="s">
        <v>1849</v>
      </c>
      <c r="L98" s="1125" t="s">
        <v>1915</v>
      </c>
      <c r="M98" s="1125" t="s">
        <v>1849</v>
      </c>
      <c r="N98" s="1125" t="s">
        <v>1915</v>
      </c>
      <c r="O98" s="1144" t="s">
        <v>1849</v>
      </c>
      <c r="P98" s="1144" t="s">
        <v>1915</v>
      </c>
      <c r="Q98" s="1135"/>
      <c r="R98" s="1135"/>
      <c r="S98" s="602"/>
      <c r="T98" s="602"/>
      <c r="U98" s="602"/>
      <c r="V98" s="602"/>
      <c r="W98" s="602"/>
      <c r="X98" s="602"/>
      <c r="Y98" s="602"/>
      <c r="Z98" s="602"/>
    </row>
    <row r="99" spans="1:26" ht="15.75" customHeight="1">
      <c r="A99" s="602"/>
      <c r="B99" s="1237"/>
      <c r="C99" s="1237"/>
      <c r="D99" s="1120"/>
      <c r="E99" s="1238"/>
      <c r="F99" s="1238"/>
      <c r="G99" s="1238"/>
      <c r="H99" s="1238"/>
      <c r="I99" s="1238"/>
      <c r="J99" s="1176"/>
      <c r="K99" s="1123"/>
      <c r="L99" s="1123"/>
      <c r="M99" s="1123"/>
      <c r="N99" s="1123"/>
      <c r="O99" s="1135"/>
      <c r="P99" s="1135"/>
      <c r="Q99" s="1135"/>
      <c r="R99" s="1135"/>
      <c r="S99" s="602"/>
      <c r="T99" s="602"/>
      <c r="U99" s="602"/>
      <c r="V99" s="602"/>
      <c r="W99" s="602"/>
      <c r="X99" s="602"/>
      <c r="Y99" s="602"/>
      <c r="Z99" s="602"/>
    </row>
    <row r="100" spans="1:26" ht="15.75" customHeight="1">
      <c r="A100" s="602"/>
      <c r="B100" s="1237"/>
      <c r="C100" s="1237"/>
      <c r="D100" s="1120"/>
      <c r="E100" s="1343"/>
      <c r="F100" s="1324" t="s">
        <v>3113</v>
      </c>
      <c r="G100" s="1331">
        <f ca="1">IFERROR(__xludf.DUMMYFUNCTION("""COMPUTED_VALUE"""),3)</f>
        <v>3</v>
      </c>
      <c r="H100" s="1321" t="str">
        <f ca="1">IFERROR(__xludf.DUMMYFUNCTION("""COMPUTED_VALUE"""),"#DIV/0!")</f>
        <v>#DIV/0!</v>
      </c>
      <c r="I100" s="1324" t="s">
        <v>3113</v>
      </c>
      <c r="J100" s="1176"/>
      <c r="K100" s="1123"/>
      <c r="L100" s="1123"/>
      <c r="M100" s="1123"/>
      <c r="N100" s="1123"/>
      <c r="O100" s="1135"/>
      <c r="P100" s="1135"/>
      <c r="Q100" s="1135"/>
      <c r="R100" s="1135"/>
      <c r="S100" s="602"/>
      <c r="T100" s="602"/>
      <c r="U100" s="602"/>
      <c r="V100" s="602"/>
      <c r="W100" s="602"/>
      <c r="X100" s="602"/>
      <c r="Y100" s="602"/>
      <c r="Z100" s="602"/>
    </row>
    <row r="101" spans="1:26" ht="15.75" customHeight="1">
      <c r="A101" s="602"/>
      <c r="B101" s="1237"/>
      <c r="C101" s="1237"/>
      <c r="D101" s="1120"/>
      <c r="E101" s="1237"/>
      <c r="F101" s="1237"/>
      <c r="G101" s="1237"/>
      <c r="H101" s="1237"/>
      <c r="I101" s="1237"/>
      <c r="J101" s="1176"/>
      <c r="K101" s="1123"/>
      <c r="L101" s="1123"/>
      <c r="M101" s="1123"/>
      <c r="N101" s="1123"/>
      <c r="O101" s="1135"/>
      <c r="P101" s="1135"/>
      <c r="Q101" s="1135"/>
      <c r="R101" s="1135"/>
      <c r="S101" s="602"/>
      <c r="T101" s="602"/>
      <c r="U101" s="602"/>
      <c r="V101" s="602"/>
      <c r="W101" s="602"/>
      <c r="X101" s="602"/>
      <c r="Y101" s="602"/>
      <c r="Z101" s="602"/>
    </row>
    <row r="102" spans="1:26" ht="15.75" customHeight="1">
      <c r="A102" s="602"/>
      <c r="B102" s="1238"/>
      <c r="C102" s="1238"/>
      <c r="D102" s="1120"/>
      <c r="E102" s="1238"/>
      <c r="F102" s="1238"/>
      <c r="G102" s="1238"/>
      <c r="H102" s="1238"/>
      <c r="I102" s="1238"/>
      <c r="J102" s="1176"/>
      <c r="K102" s="1123"/>
      <c r="L102" s="1123"/>
      <c r="M102" s="1123"/>
      <c r="N102" s="1123"/>
      <c r="O102" s="1135"/>
      <c r="P102" s="1135"/>
      <c r="Q102" s="1135"/>
      <c r="R102" s="1135"/>
      <c r="S102" s="602"/>
      <c r="T102" s="602"/>
      <c r="U102" s="602"/>
      <c r="V102" s="602"/>
      <c r="W102" s="602"/>
      <c r="X102" s="602"/>
      <c r="Y102" s="602"/>
      <c r="Z102" s="602"/>
    </row>
    <row r="103" spans="1:26" ht="15.75" customHeight="1">
      <c r="A103" s="602"/>
      <c r="B103" s="1156"/>
      <c r="C103" s="538"/>
      <c r="D103" s="1120"/>
      <c r="E103" s="1128"/>
      <c r="F103" s="1082"/>
      <c r="G103" s="1159"/>
      <c r="H103" s="1160"/>
      <c r="I103" s="1082"/>
      <c r="J103" s="1176"/>
      <c r="K103" s="1341"/>
      <c r="L103" s="1342"/>
      <c r="M103" s="602"/>
      <c r="N103" s="602"/>
      <c r="O103" s="602"/>
      <c r="P103" s="602"/>
      <c r="Q103" s="602"/>
      <c r="R103" s="602"/>
      <c r="S103" s="602"/>
      <c r="T103" s="602"/>
      <c r="U103" s="602"/>
      <c r="V103" s="602"/>
      <c r="W103" s="602"/>
      <c r="X103" s="602"/>
      <c r="Y103" s="602"/>
      <c r="Z103" s="602"/>
    </row>
    <row r="104" spans="1:26" ht="15.75" customHeight="1">
      <c r="A104" s="602"/>
      <c r="B104" s="1334">
        <v>5</v>
      </c>
      <c r="C104" s="1335" t="s">
        <v>67</v>
      </c>
      <c r="D104" s="1120"/>
      <c r="E104" s="1343"/>
      <c r="F104" s="1289" t="s">
        <v>3020</v>
      </c>
      <c r="G104" s="1331">
        <f ca="1">IFERROR(__xludf.DUMMYFUNCTION("""COMPUTED_VALUE"""),2)</f>
        <v>2</v>
      </c>
      <c r="H104" s="1321" t="str">
        <f ca="1">IFERROR(__xludf.DUMMYFUNCTION("""COMPUTED_VALUE"""),"#DIV/0!")</f>
        <v>#DIV/0!</v>
      </c>
      <c r="I104" s="1289" t="s">
        <v>3020</v>
      </c>
      <c r="J104" s="1176"/>
      <c r="K104" s="1340" t="s">
        <v>3086</v>
      </c>
      <c r="L104" s="1235"/>
      <c r="M104" s="1340" t="s">
        <v>3087</v>
      </c>
      <c r="N104" s="1235"/>
      <c r="O104" s="1340" t="s">
        <v>3088</v>
      </c>
      <c r="P104" s="1235"/>
      <c r="Q104" s="1121"/>
      <c r="R104" s="1121"/>
      <c r="S104" s="175"/>
      <c r="T104" s="175"/>
      <c r="U104" s="175"/>
      <c r="V104" s="602"/>
      <c r="W104" s="602"/>
      <c r="X104" s="602"/>
      <c r="Y104" s="602"/>
      <c r="Z104" s="602"/>
    </row>
    <row r="105" spans="1:26" ht="15.75" customHeight="1">
      <c r="A105" s="602"/>
      <c r="B105" s="1237"/>
      <c r="C105" s="1237"/>
      <c r="D105" s="1120"/>
      <c r="E105" s="1237"/>
      <c r="F105" s="1237"/>
      <c r="G105" s="1237"/>
      <c r="H105" s="1237"/>
      <c r="I105" s="1237"/>
      <c r="J105" s="1176"/>
      <c r="K105" s="1122" t="s">
        <v>2163</v>
      </c>
      <c r="L105" s="1122" t="s">
        <v>2180</v>
      </c>
      <c r="M105" s="1122" t="s">
        <v>2163</v>
      </c>
      <c r="N105" s="1122" t="s">
        <v>2180</v>
      </c>
      <c r="O105" s="1122" t="s">
        <v>2163</v>
      </c>
      <c r="P105" s="1122" t="s">
        <v>2180</v>
      </c>
      <c r="Q105" s="1121"/>
      <c r="R105" s="1121"/>
      <c r="S105" s="175"/>
      <c r="T105" s="175"/>
      <c r="U105" s="175"/>
      <c r="V105" s="602"/>
      <c r="W105" s="602"/>
      <c r="X105" s="602"/>
      <c r="Y105" s="602"/>
      <c r="Z105" s="602"/>
    </row>
    <row r="106" spans="1:26" ht="15.75" customHeight="1">
      <c r="A106" s="602"/>
      <c r="B106" s="1237"/>
      <c r="C106" s="1237"/>
      <c r="D106" s="1120"/>
      <c r="E106" s="1238"/>
      <c r="F106" s="1238"/>
      <c r="G106" s="1238"/>
      <c r="H106" s="1238"/>
      <c r="I106" s="1238"/>
      <c r="J106" s="1176"/>
      <c r="K106" s="1123"/>
      <c r="L106" s="1123"/>
      <c r="M106" s="1123"/>
      <c r="N106" s="1123"/>
      <c r="O106" s="1123"/>
      <c r="P106" s="1123"/>
      <c r="Q106" s="1121"/>
      <c r="R106" s="1121"/>
      <c r="S106" s="175"/>
      <c r="T106" s="175"/>
      <c r="U106" s="175"/>
      <c r="V106" s="602"/>
      <c r="W106" s="602"/>
      <c r="X106" s="602"/>
      <c r="Y106" s="602"/>
      <c r="Z106" s="602"/>
    </row>
    <row r="107" spans="1:26" ht="15.75" customHeight="1">
      <c r="A107" s="602"/>
      <c r="B107" s="1237"/>
      <c r="C107" s="1237"/>
      <c r="D107" s="1120"/>
      <c r="E107" s="1343"/>
      <c r="F107" s="1324" t="s">
        <v>3022</v>
      </c>
      <c r="G107" s="1331">
        <f ca="1">IFERROR(__xludf.DUMMYFUNCTION("""COMPUTED_VALUE"""),14)</f>
        <v>14</v>
      </c>
      <c r="H107" s="1321" t="str">
        <f ca="1">IFERROR(__xludf.DUMMYFUNCTION("""COMPUTED_VALUE"""),"#DIV/0!")</f>
        <v>#DIV/0!</v>
      </c>
      <c r="I107" s="1324" t="s">
        <v>3022</v>
      </c>
      <c r="J107" s="1327"/>
      <c r="K107" s="1322" t="s">
        <v>2910</v>
      </c>
      <c r="L107" s="1198"/>
      <c r="M107" s="1332" t="s">
        <v>3089</v>
      </c>
      <c r="N107" s="1198"/>
      <c r="O107" s="1332" t="s">
        <v>3090</v>
      </c>
      <c r="P107" s="1198"/>
      <c r="Q107" s="1332" t="s">
        <v>3091</v>
      </c>
      <c r="R107" s="1198"/>
      <c r="S107" s="175"/>
      <c r="T107" s="175"/>
      <c r="U107" s="175"/>
      <c r="V107" s="602"/>
      <c r="W107" s="602"/>
      <c r="X107" s="602"/>
      <c r="Y107" s="602"/>
      <c r="Z107" s="602"/>
    </row>
    <row r="108" spans="1:26" ht="15.75" customHeight="1">
      <c r="A108" s="602"/>
      <c r="B108" s="1237"/>
      <c r="C108" s="1237"/>
      <c r="D108" s="1120"/>
      <c r="E108" s="1237"/>
      <c r="F108" s="1237"/>
      <c r="G108" s="1237"/>
      <c r="H108" s="1237"/>
      <c r="I108" s="1237"/>
      <c r="J108" s="602"/>
      <c r="K108" s="1125" t="s">
        <v>36</v>
      </c>
      <c r="L108" s="1125" t="s">
        <v>140</v>
      </c>
      <c r="M108" s="1126" t="s">
        <v>36</v>
      </c>
      <c r="N108" s="1126" t="s">
        <v>140</v>
      </c>
      <c r="O108" s="1126" t="s">
        <v>36</v>
      </c>
      <c r="P108" s="1126" t="s">
        <v>140</v>
      </c>
      <c r="Q108" s="1126" t="s">
        <v>36</v>
      </c>
      <c r="R108" s="1126" t="s">
        <v>140</v>
      </c>
      <c r="S108" s="175"/>
      <c r="T108" s="175"/>
      <c r="U108" s="175"/>
      <c r="V108" s="602"/>
      <c r="W108" s="602"/>
      <c r="X108" s="602"/>
      <c r="Y108" s="602"/>
      <c r="Z108" s="602"/>
    </row>
    <row r="109" spans="1:26" ht="15.75" customHeight="1">
      <c r="A109" s="602"/>
      <c r="B109" s="1237"/>
      <c r="C109" s="1237"/>
      <c r="D109" s="1120"/>
      <c r="E109" s="1238"/>
      <c r="F109" s="1238"/>
      <c r="G109" s="1238"/>
      <c r="H109" s="1238"/>
      <c r="I109" s="1238"/>
      <c r="J109" s="1326"/>
      <c r="K109" s="1127"/>
      <c r="L109" s="1128"/>
      <c r="M109" s="1127"/>
      <c r="N109" s="1128"/>
      <c r="O109" s="1127"/>
      <c r="P109" s="1128"/>
      <c r="Q109" s="1127"/>
      <c r="R109" s="1128"/>
      <c r="S109" s="175"/>
      <c r="T109" s="175"/>
      <c r="U109" s="175"/>
      <c r="V109" s="602"/>
      <c r="W109" s="602"/>
      <c r="X109" s="602"/>
      <c r="Y109" s="602"/>
      <c r="Z109" s="602"/>
    </row>
    <row r="110" spans="1:26" ht="15.75" customHeight="1">
      <c r="A110" s="602"/>
      <c r="B110" s="1237"/>
      <c r="C110" s="1237"/>
      <c r="D110" s="1120"/>
      <c r="E110" s="1343"/>
      <c r="F110" s="1324" t="s">
        <v>3024</v>
      </c>
      <c r="G110" s="1331">
        <f ca="1">IFERROR(__xludf.DUMMYFUNCTION("""COMPUTED_VALUE"""),0)</f>
        <v>0</v>
      </c>
      <c r="H110" s="1321" t="str">
        <f ca="1">IFERROR(__xludf.DUMMYFUNCTION("""COMPUTED_VALUE"""),"#DIV/0!")</f>
        <v>#DIV/0!</v>
      </c>
      <c r="I110" s="1324" t="s">
        <v>3024</v>
      </c>
      <c r="J110" s="1176"/>
      <c r="K110" s="1322" t="s">
        <v>3092</v>
      </c>
      <c r="L110" s="1198"/>
      <c r="M110" s="1322" t="s">
        <v>3093</v>
      </c>
      <c r="N110" s="1198"/>
      <c r="O110" s="1322" t="s">
        <v>3094</v>
      </c>
      <c r="P110" s="1198"/>
      <c r="Q110" s="1330"/>
      <c r="R110" s="1176"/>
      <c r="S110" s="175"/>
      <c r="T110" s="175"/>
      <c r="U110" s="175"/>
      <c r="V110" s="602"/>
      <c r="W110" s="602"/>
      <c r="X110" s="602"/>
      <c r="Y110" s="602"/>
      <c r="Z110" s="602"/>
    </row>
    <row r="111" spans="1:26" ht="15.75" customHeight="1">
      <c r="A111" s="602"/>
      <c r="B111" s="1237"/>
      <c r="C111" s="1237"/>
      <c r="D111" s="1120"/>
      <c r="E111" s="1237"/>
      <c r="F111" s="1237"/>
      <c r="G111" s="1237"/>
      <c r="H111" s="1237"/>
      <c r="I111" s="1237"/>
      <c r="J111" s="1176"/>
      <c r="K111" s="1125" t="s">
        <v>3095</v>
      </c>
      <c r="L111" s="1125" t="s">
        <v>1806</v>
      </c>
      <c r="M111" s="1125" t="s">
        <v>3095</v>
      </c>
      <c r="N111" s="1125" t="s">
        <v>1806</v>
      </c>
      <c r="O111" s="1125" t="s">
        <v>3095</v>
      </c>
      <c r="P111" s="1125" t="s">
        <v>1806</v>
      </c>
      <c r="Q111" s="1121"/>
      <c r="R111" s="1121"/>
      <c r="S111" s="175"/>
      <c r="T111" s="175"/>
      <c r="U111" s="175"/>
      <c r="V111" s="602"/>
      <c r="W111" s="602"/>
      <c r="X111" s="602"/>
      <c r="Y111" s="602"/>
      <c r="Z111" s="602"/>
    </row>
    <row r="112" spans="1:26" ht="15.75" customHeight="1">
      <c r="A112" s="602"/>
      <c r="B112" s="1237"/>
      <c r="C112" s="1237"/>
      <c r="D112" s="1120"/>
      <c r="E112" s="1238"/>
      <c r="F112" s="1238"/>
      <c r="G112" s="1238"/>
      <c r="H112" s="1238"/>
      <c r="I112" s="1238"/>
      <c r="J112" s="1176"/>
      <c r="K112" s="1123"/>
      <c r="L112" s="1123"/>
      <c r="M112" s="1123"/>
      <c r="N112" s="1123"/>
      <c r="O112" s="1123"/>
      <c r="P112" s="1123"/>
      <c r="Q112" s="1121"/>
      <c r="R112" s="1121"/>
      <c r="S112" s="175"/>
      <c r="T112" s="175"/>
      <c r="U112" s="175"/>
      <c r="V112" s="602"/>
      <c r="W112" s="602"/>
      <c r="X112" s="602"/>
      <c r="Y112" s="602"/>
      <c r="Z112" s="602"/>
    </row>
    <row r="113" spans="1:26" ht="15.75" customHeight="1">
      <c r="A113" s="602"/>
      <c r="B113" s="1237"/>
      <c r="C113" s="1237"/>
      <c r="D113" s="1120"/>
      <c r="E113" s="1343"/>
      <c r="F113" s="1324" t="s">
        <v>3026</v>
      </c>
      <c r="G113" s="1331">
        <f ca="1">IFERROR(__xludf.DUMMYFUNCTION("""COMPUTED_VALUE"""),1548348495)</f>
        <v>1548348495</v>
      </c>
      <c r="H113" s="1321" t="str">
        <f ca="1">IFERROR(__xludf.DUMMYFUNCTION("""COMPUTED_VALUE"""),"#DIV/0!")</f>
        <v>#DIV/0!</v>
      </c>
      <c r="I113" s="1324" t="s">
        <v>3026</v>
      </c>
      <c r="J113" s="1176"/>
      <c r="K113" s="1129" t="s">
        <v>3096</v>
      </c>
      <c r="L113" s="1129" t="s">
        <v>3097</v>
      </c>
      <c r="M113" s="1129" t="s">
        <v>3098</v>
      </c>
      <c r="N113" s="1129" t="s">
        <v>3099</v>
      </c>
      <c r="O113" s="1130"/>
      <c r="P113" s="1130"/>
      <c r="Q113" s="175"/>
      <c r="R113" s="175"/>
      <c r="S113" s="175"/>
      <c r="T113" s="175"/>
      <c r="U113" s="175"/>
      <c r="V113" s="602"/>
      <c r="W113" s="602"/>
      <c r="X113" s="602"/>
      <c r="Y113" s="602"/>
      <c r="Z113" s="602"/>
    </row>
    <row r="114" spans="1:26" ht="15.75" customHeight="1">
      <c r="A114" s="602"/>
      <c r="B114" s="1237"/>
      <c r="C114" s="1237"/>
      <c r="D114" s="1120"/>
      <c r="E114" s="1238"/>
      <c r="F114" s="1238"/>
      <c r="G114" s="1238"/>
      <c r="H114" s="1238"/>
      <c r="I114" s="1238"/>
      <c r="J114" s="1176"/>
      <c r="K114" s="1131"/>
      <c r="L114" s="1131"/>
      <c r="M114" s="1128"/>
      <c r="N114" s="1128"/>
      <c r="O114" s="395"/>
      <c r="P114" s="395"/>
      <c r="Q114" s="175"/>
      <c r="R114" s="175"/>
      <c r="S114" s="175"/>
      <c r="T114" s="175"/>
      <c r="U114" s="175"/>
      <c r="V114" s="602"/>
      <c r="W114" s="602"/>
      <c r="X114" s="602"/>
      <c r="Y114" s="602"/>
      <c r="Z114" s="602"/>
    </row>
    <row r="115" spans="1:26" ht="15.75" customHeight="1">
      <c r="A115" s="602"/>
      <c r="B115" s="1237"/>
      <c r="C115" s="1237"/>
      <c r="D115" s="1120"/>
      <c r="E115" s="1343"/>
      <c r="F115" s="1324" t="s">
        <v>3100</v>
      </c>
      <c r="G115" s="1331">
        <f ca="1">IFERROR(__xludf.DUMMYFUNCTION("""COMPUTED_VALUE"""),0)</f>
        <v>0</v>
      </c>
      <c r="H115" s="1321" t="str">
        <f ca="1">IFERROR(__xludf.DUMMYFUNCTION("""COMPUTED_VALUE"""),"#DIV/0!")</f>
        <v>#DIV/0!</v>
      </c>
      <c r="I115" s="1324" t="s">
        <v>3100</v>
      </c>
      <c r="J115" s="1176"/>
      <c r="K115" s="1132" t="s">
        <v>3101</v>
      </c>
      <c r="L115" s="1132" t="s">
        <v>3102</v>
      </c>
      <c r="M115" s="1132" t="s">
        <v>3103</v>
      </c>
      <c r="N115" s="1132" t="s">
        <v>3104</v>
      </c>
      <c r="O115" s="1132" t="s">
        <v>3105</v>
      </c>
      <c r="P115" s="1129" t="s">
        <v>3106</v>
      </c>
      <c r="Q115" s="1132" t="s">
        <v>3107</v>
      </c>
      <c r="R115" s="1133" t="s">
        <v>3096</v>
      </c>
      <c r="S115" s="1133" t="s">
        <v>3097</v>
      </c>
      <c r="T115" s="1134" t="s">
        <v>3098</v>
      </c>
      <c r="U115" s="1134" t="s">
        <v>3099</v>
      </c>
      <c r="V115" s="602"/>
      <c r="W115" s="602"/>
      <c r="X115" s="602"/>
      <c r="Y115" s="602"/>
      <c r="Z115" s="602"/>
    </row>
    <row r="116" spans="1:26" ht="15.75" customHeight="1">
      <c r="A116" s="602"/>
      <c r="B116" s="1237"/>
      <c r="C116" s="1237"/>
      <c r="D116" s="1120"/>
      <c r="E116" s="1238"/>
      <c r="F116" s="1238"/>
      <c r="G116" s="1238"/>
      <c r="H116" s="1238"/>
      <c r="I116" s="1238"/>
      <c r="J116" s="1176"/>
      <c r="K116" s="1123"/>
      <c r="L116" s="1123"/>
      <c r="M116" s="1123"/>
      <c r="N116" s="1123"/>
      <c r="O116" s="1123"/>
      <c r="P116" s="1135"/>
      <c r="Q116" s="1123"/>
      <c r="R116" s="1123"/>
      <c r="S116" s="1123"/>
      <c r="T116" s="1131"/>
      <c r="U116" s="1131"/>
      <c r="V116" s="602"/>
      <c r="W116" s="602"/>
      <c r="X116" s="602"/>
      <c r="Y116" s="602"/>
      <c r="Z116" s="602"/>
    </row>
    <row r="117" spans="1:26" ht="15.75" customHeight="1">
      <c r="A117" s="602"/>
      <c r="B117" s="1237"/>
      <c r="C117" s="1237"/>
      <c r="D117" s="1120"/>
      <c r="E117" s="1343"/>
      <c r="F117" s="1324" t="s">
        <v>3108</v>
      </c>
      <c r="G117" s="1331">
        <f ca="1">IFERROR(__xludf.DUMMYFUNCTION("""COMPUTED_VALUE"""),5)</f>
        <v>5</v>
      </c>
      <c r="H117" s="1321" t="str">
        <f ca="1">IFERROR(__xludf.DUMMYFUNCTION("""COMPUTED_VALUE"""),"#DIV/0!")</f>
        <v>#DIV/0!</v>
      </c>
      <c r="I117" s="1324" t="s">
        <v>3108</v>
      </c>
      <c r="J117" s="1176"/>
      <c r="K117" s="1132" t="s">
        <v>3101</v>
      </c>
      <c r="L117" s="1132" t="s">
        <v>3102</v>
      </c>
      <c r="M117" s="1132" t="s">
        <v>3103</v>
      </c>
      <c r="N117" s="1132" t="s">
        <v>3104</v>
      </c>
      <c r="O117" s="1132" t="s">
        <v>3105</v>
      </c>
      <c r="P117" s="1129" t="s">
        <v>3106</v>
      </c>
      <c r="Q117" s="1129" t="s">
        <v>3107</v>
      </c>
      <c r="R117" s="1133" t="s">
        <v>3096</v>
      </c>
      <c r="S117" s="1133" t="s">
        <v>3097</v>
      </c>
      <c r="T117" s="1134" t="s">
        <v>3098</v>
      </c>
      <c r="U117" s="1134" t="s">
        <v>3099</v>
      </c>
      <c r="V117" s="602"/>
      <c r="W117" s="602"/>
      <c r="X117" s="602"/>
      <c r="Y117" s="602"/>
      <c r="Z117" s="602"/>
    </row>
    <row r="118" spans="1:26" ht="15.75" customHeight="1">
      <c r="A118" s="602"/>
      <c r="B118" s="1237"/>
      <c r="C118" s="1237"/>
      <c r="D118" s="1120"/>
      <c r="E118" s="1238"/>
      <c r="F118" s="1238"/>
      <c r="G118" s="1238"/>
      <c r="H118" s="1238"/>
      <c r="I118" s="1238"/>
      <c r="J118" s="1176"/>
      <c r="K118" s="1131"/>
      <c r="L118" s="1131"/>
      <c r="M118" s="1131"/>
      <c r="N118" s="1131"/>
      <c r="O118" s="1131"/>
      <c r="P118" s="1131"/>
      <c r="Q118" s="1131"/>
      <c r="R118" s="1131"/>
      <c r="S118" s="1131"/>
      <c r="T118" s="1131"/>
      <c r="U118" s="1131"/>
      <c r="V118" s="602"/>
      <c r="W118" s="602"/>
      <c r="X118" s="602"/>
      <c r="Y118" s="602"/>
      <c r="Z118" s="602"/>
    </row>
    <row r="119" spans="1:26" ht="15.75" customHeight="1">
      <c r="A119" s="602"/>
      <c r="B119" s="1237"/>
      <c r="C119" s="1237"/>
      <c r="D119" s="1120"/>
      <c r="E119" s="1343"/>
      <c r="F119" s="1324" t="s">
        <v>3031</v>
      </c>
      <c r="G119" s="1331">
        <f ca="1">IFERROR(__xludf.DUMMYFUNCTION("""COMPUTED_VALUE"""),0)</f>
        <v>0</v>
      </c>
      <c r="H119" s="1321" t="str">
        <f ca="1">IFERROR(__xludf.DUMMYFUNCTION("""COMPUTED_VALUE"""),"#DIV/0!")</f>
        <v>#DIV/0!</v>
      </c>
      <c r="I119" s="1324" t="s">
        <v>3031</v>
      </c>
      <c r="J119" s="1176"/>
      <c r="K119" s="1153" t="s">
        <v>2848</v>
      </c>
      <c r="L119" s="1153" t="s">
        <v>2102</v>
      </c>
      <c r="M119" s="1153" t="s">
        <v>3109</v>
      </c>
      <c r="N119" s="1154" t="s">
        <v>2110</v>
      </c>
      <c r="O119" s="1155" t="s">
        <v>2115</v>
      </c>
      <c r="P119" s="1155" t="s">
        <v>2104</v>
      </c>
      <c r="Q119" s="1139"/>
      <c r="R119" s="1139"/>
      <c r="S119" s="1139"/>
      <c r="T119" s="1140"/>
      <c r="U119" s="1140"/>
      <c r="V119" s="602"/>
      <c r="W119" s="602"/>
      <c r="X119" s="602"/>
      <c r="Y119" s="602"/>
      <c r="Z119" s="602"/>
    </row>
    <row r="120" spans="1:26" ht="15.75" customHeight="1">
      <c r="A120" s="602"/>
      <c r="B120" s="1237"/>
      <c r="C120" s="1237"/>
      <c r="D120" s="1120"/>
      <c r="E120" s="1238"/>
      <c r="F120" s="1238"/>
      <c r="G120" s="1238"/>
      <c r="H120" s="1238"/>
      <c r="I120" s="1238"/>
      <c r="J120" s="1176"/>
      <c r="K120" s="1141"/>
      <c r="L120" s="1141"/>
      <c r="M120" s="1141"/>
      <c r="N120" s="1141"/>
      <c r="O120" s="1141"/>
      <c r="P120" s="1142"/>
      <c r="Q120" s="1142"/>
      <c r="R120" s="1142"/>
      <c r="S120" s="1142"/>
      <c r="T120" s="1142"/>
      <c r="U120" s="1142"/>
      <c r="V120" s="602"/>
      <c r="W120" s="602"/>
      <c r="X120" s="602"/>
      <c r="Y120" s="602"/>
      <c r="Z120" s="602"/>
    </row>
    <row r="121" spans="1:26" ht="15.75" customHeight="1">
      <c r="A121" s="602"/>
      <c r="B121" s="1237"/>
      <c r="C121" s="1237"/>
      <c r="D121" s="1120"/>
      <c r="E121" s="1343"/>
      <c r="F121" s="1324" t="s">
        <v>3110</v>
      </c>
      <c r="G121" s="1331">
        <f ca="1">IFERROR(__xludf.DUMMYFUNCTION("""COMPUTED_VALUE"""),1)</f>
        <v>1</v>
      </c>
      <c r="H121" s="1321" t="str">
        <f ca="1">IFERROR(__xludf.DUMMYFUNCTION("""COMPUTED_VALUE"""),"#DIV/0!")</f>
        <v>#DIV/0!</v>
      </c>
      <c r="I121" s="1324" t="s">
        <v>3110</v>
      </c>
      <c r="J121" s="1176"/>
      <c r="K121" s="1325" t="s">
        <v>3111</v>
      </c>
      <c r="L121" s="1235"/>
      <c r="M121" s="1325" t="s">
        <v>2140</v>
      </c>
      <c r="N121" s="1235"/>
      <c r="O121" s="1323" t="s">
        <v>3112</v>
      </c>
      <c r="P121" s="1198"/>
      <c r="Q121" s="1143"/>
      <c r="R121" s="1143"/>
      <c r="S121" s="1143"/>
      <c r="T121" s="1143"/>
      <c r="U121" s="1143"/>
      <c r="V121" s="602"/>
      <c r="W121" s="602"/>
      <c r="X121" s="602"/>
      <c r="Y121" s="602"/>
      <c r="Z121" s="602"/>
    </row>
    <row r="122" spans="1:26" ht="15.75" customHeight="1">
      <c r="A122" s="602"/>
      <c r="B122" s="1237"/>
      <c r="C122" s="1237"/>
      <c r="D122" s="1120"/>
      <c r="E122" s="1237"/>
      <c r="F122" s="1237"/>
      <c r="G122" s="1237"/>
      <c r="H122" s="1237"/>
      <c r="I122" s="1237"/>
      <c r="J122" s="1176"/>
      <c r="K122" s="1125" t="s">
        <v>1849</v>
      </c>
      <c r="L122" s="1125" t="s">
        <v>1915</v>
      </c>
      <c r="M122" s="1125" t="s">
        <v>1849</v>
      </c>
      <c r="N122" s="1125" t="s">
        <v>1915</v>
      </c>
      <c r="O122" s="1144" t="s">
        <v>1849</v>
      </c>
      <c r="P122" s="1144" t="s">
        <v>1915</v>
      </c>
      <c r="Q122" s="1135"/>
      <c r="R122" s="1135"/>
      <c r="S122" s="602"/>
      <c r="T122" s="602"/>
      <c r="U122" s="602"/>
      <c r="V122" s="602"/>
      <c r="W122" s="602"/>
      <c r="X122" s="602"/>
      <c r="Y122" s="602"/>
      <c r="Z122" s="602"/>
    </row>
    <row r="123" spans="1:26" ht="15.75" customHeight="1">
      <c r="A123" s="602"/>
      <c r="B123" s="1237"/>
      <c r="C123" s="1237"/>
      <c r="D123" s="1120"/>
      <c r="E123" s="1238"/>
      <c r="F123" s="1238"/>
      <c r="G123" s="1238"/>
      <c r="H123" s="1238"/>
      <c r="I123" s="1238"/>
      <c r="J123" s="1176"/>
      <c r="K123" s="1123"/>
      <c r="L123" s="1123"/>
      <c r="M123" s="1123"/>
      <c r="N123" s="1123"/>
      <c r="O123" s="1135"/>
      <c r="P123" s="1135"/>
      <c r="Q123" s="1135"/>
      <c r="R123" s="1135"/>
      <c r="S123" s="602"/>
      <c r="T123" s="602"/>
      <c r="U123" s="602"/>
      <c r="V123" s="602"/>
      <c r="W123" s="602"/>
      <c r="X123" s="602"/>
      <c r="Y123" s="602"/>
      <c r="Z123" s="602"/>
    </row>
    <row r="124" spans="1:26" ht="15.75" customHeight="1">
      <c r="A124" s="602"/>
      <c r="B124" s="1237"/>
      <c r="C124" s="1237"/>
      <c r="D124" s="1120"/>
      <c r="E124" s="1343"/>
      <c r="F124" s="1324" t="s">
        <v>3113</v>
      </c>
      <c r="G124" s="1331">
        <f ca="1">IFERROR(__xludf.DUMMYFUNCTION("""COMPUTED_VALUE"""),0)</f>
        <v>0</v>
      </c>
      <c r="H124" s="1321" t="str">
        <f ca="1">IFERROR(__xludf.DUMMYFUNCTION("""COMPUTED_VALUE"""),"#DIV/0!")</f>
        <v>#DIV/0!</v>
      </c>
      <c r="I124" s="1324" t="s">
        <v>3113</v>
      </c>
      <c r="J124" s="1176"/>
      <c r="K124" s="1123"/>
      <c r="L124" s="1123"/>
      <c r="M124" s="1123"/>
      <c r="N124" s="1123"/>
      <c r="O124" s="1135"/>
      <c r="P124" s="1135"/>
      <c r="Q124" s="1135"/>
      <c r="R124" s="1135"/>
      <c r="S124" s="602"/>
      <c r="T124" s="602"/>
      <c r="U124" s="602"/>
      <c r="V124" s="602"/>
      <c r="W124" s="602"/>
      <c r="X124" s="602"/>
      <c r="Y124" s="602"/>
      <c r="Z124" s="602"/>
    </row>
    <row r="125" spans="1:26" ht="15.75" customHeight="1">
      <c r="A125" s="602"/>
      <c r="B125" s="1237"/>
      <c r="C125" s="1237"/>
      <c r="D125" s="1120"/>
      <c r="E125" s="1237"/>
      <c r="F125" s="1237"/>
      <c r="G125" s="1237"/>
      <c r="H125" s="1237"/>
      <c r="I125" s="1237"/>
      <c r="J125" s="1176"/>
      <c r="K125" s="1123"/>
      <c r="L125" s="1123"/>
      <c r="M125" s="1123"/>
      <c r="N125" s="1123"/>
      <c r="O125" s="1135"/>
      <c r="P125" s="1135"/>
      <c r="Q125" s="1135"/>
      <c r="R125" s="1135"/>
      <c r="S125" s="602"/>
      <c r="T125" s="602"/>
      <c r="U125" s="602"/>
      <c r="V125" s="602"/>
      <c r="W125" s="602"/>
      <c r="X125" s="602"/>
      <c r="Y125" s="602"/>
      <c r="Z125" s="602"/>
    </row>
    <row r="126" spans="1:26" ht="15.75" customHeight="1">
      <c r="A126" s="602"/>
      <c r="B126" s="1238"/>
      <c r="C126" s="1238"/>
      <c r="D126" s="1120"/>
      <c r="E126" s="1238"/>
      <c r="F126" s="1238"/>
      <c r="G126" s="1238"/>
      <c r="H126" s="1238"/>
      <c r="I126" s="1238"/>
      <c r="J126" s="1327"/>
      <c r="K126" s="1123"/>
      <c r="L126" s="1123"/>
      <c r="M126" s="1123"/>
      <c r="N126" s="1123"/>
      <c r="O126" s="1135"/>
      <c r="P126" s="1135"/>
      <c r="Q126" s="1135"/>
      <c r="R126" s="1135"/>
      <c r="S126" s="602"/>
      <c r="T126" s="602"/>
      <c r="U126" s="602"/>
      <c r="V126" s="602"/>
      <c r="W126" s="602"/>
      <c r="X126" s="602"/>
      <c r="Y126" s="602"/>
      <c r="Z126" s="602"/>
    </row>
    <row r="127" spans="1:26" ht="15.75" customHeight="1">
      <c r="A127" s="602"/>
      <c r="B127" s="602"/>
      <c r="C127" s="602"/>
      <c r="D127" s="602"/>
      <c r="E127" s="602"/>
      <c r="F127" s="602"/>
      <c r="G127" s="602"/>
      <c r="H127" s="602"/>
      <c r="I127" s="602"/>
      <c r="J127" s="602"/>
      <c r="K127" s="1341"/>
      <c r="L127" s="1342"/>
      <c r="M127" s="602"/>
      <c r="N127" s="602"/>
      <c r="O127" s="602"/>
      <c r="P127" s="602"/>
      <c r="Q127" s="602"/>
      <c r="R127" s="602"/>
      <c r="S127" s="602"/>
      <c r="T127" s="602"/>
      <c r="U127" s="602"/>
      <c r="V127" s="602"/>
      <c r="W127" s="602"/>
      <c r="X127" s="602"/>
      <c r="Y127" s="602"/>
      <c r="Z127" s="602"/>
    </row>
    <row r="128" spans="1:26" ht="15.75" customHeight="1">
      <c r="A128" s="602"/>
      <c r="B128" s="1334"/>
      <c r="C128" s="1335"/>
      <c r="D128" s="1120"/>
      <c r="E128" s="1343"/>
      <c r="F128" s="1351"/>
      <c r="G128" s="1331"/>
      <c r="H128" s="1321"/>
      <c r="I128" s="1346"/>
      <c r="J128" s="1348"/>
      <c r="K128" s="1340" t="s">
        <v>3086</v>
      </c>
      <c r="L128" s="1235"/>
      <c r="M128" s="1340" t="s">
        <v>3087</v>
      </c>
      <c r="N128" s="1235"/>
      <c r="O128" s="1340" t="s">
        <v>3088</v>
      </c>
      <c r="P128" s="1235"/>
      <c r="Q128" s="1121"/>
      <c r="R128" s="1121"/>
      <c r="S128" s="175"/>
      <c r="T128" s="175"/>
      <c r="U128" s="175"/>
      <c r="V128" s="602"/>
      <c r="W128" s="602"/>
      <c r="X128" s="602"/>
      <c r="Y128" s="602"/>
      <c r="Z128" s="602"/>
    </row>
    <row r="129" spans="1:26" ht="15.75" customHeight="1">
      <c r="A129" s="602"/>
      <c r="B129" s="1237"/>
      <c r="C129" s="1237"/>
      <c r="D129" s="1120"/>
      <c r="E129" s="1237"/>
      <c r="F129" s="1237"/>
      <c r="G129" s="1237"/>
      <c r="H129" s="1237"/>
      <c r="I129" s="1237"/>
      <c r="J129" s="1349"/>
      <c r="K129" s="1122" t="s">
        <v>2163</v>
      </c>
      <c r="L129" s="1122" t="s">
        <v>2180</v>
      </c>
      <c r="M129" s="1122" t="s">
        <v>2163</v>
      </c>
      <c r="N129" s="1122" t="s">
        <v>2180</v>
      </c>
      <c r="O129" s="1122" t="s">
        <v>2163</v>
      </c>
      <c r="P129" s="1122" t="s">
        <v>2180</v>
      </c>
      <c r="Q129" s="1121"/>
      <c r="R129" s="1121"/>
      <c r="S129" s="175"/>
      <c r="T129" s="175"/>
      <c r="U129" s="175"/>
      <c r="V129" s="602"/>
      <c r="W129" s="602"/>
      <c r="X129" s="602"/>
      <c r="Y129" s="602"/>
      <c r="Z129" s="602"/>
    </row>
    <row r="130" spans="1:26" ht="15.75" customHeight="1">
      <c r="A130" s="602"/>
      <c r="B130" s="1237"/>
      <c r="C130" s="1237"/>
      <c r="D130" s="1120"/>
      <c r="E130" s="1238"/>
      <c r="F130" s="1238"/>
      <c r="G130" s="1238"/>
      <c r="H130" s="1238"/>
      <c r="I130" s="1238"/>
      <c r="J130" s="1349"/>
      <c r="K130" s="1123"/>
      <c r="L130" s="1123"/>
      <c r="M130" s="1123"/>
      <c r="N130" s="1123"/>
      <c r="O130" s="1123"/>
      <c r="P130" s="1123"/>
      <c r="Q130" s="1121"/>
      <c r="R130" s="1121"/>
      <c r="S130" s="175"/>
      <c r="T130" s="175"/>
      <c r="U130" s="175"/>
      <c r="V130" s="602"/>
      <c r="W130" s="602"/>
      <c r="X130" s="602"/>
      <c r="Y130" s="602"/>
      <c r="Z130" s="602"/>
    </row>
    <row r="131" spans="1:26" ht="15.75" customHeight="1">
      <c r="A131" s="602"/>
      <c r="B131" s="1237"/>
      <c r="C131" s="1237"/>
      <c r="D131" s="1120"/>
      <c r="E131" s="1343"/>
      <c r="F131" s="1351"/>
      <c r="G131" s="1331"/>
      <c r="H131" s="1321"/>
      <c r="I131" s="1346"/>
      <c r="J131" s="1349"/>
      <c r="K131" s="1322" t="s">
        <v>2910</v>
      </c>
      <c r="L131" s="1198"/>
      <c r="M131" s="1332" t="s">
        <v>3089</v>
      </c>
      <c r="N131" s="1198"/>
      <c r="O131" s="1332" t="s">
        <v>3090</v>
      </c>
      <c r="P131" s="1198"/>
      <c r="Q131" s="1332" t="s">
        <v>3091</v>
      </c>
      <c r="R131" s="1198"/>
      <c r="S131" s="175"/>
      <c r="T131" s="175"/>
      <c r="U131" s="175"/>
      <c r="V131" s="602"/>
      <c r="W131" s="602"/>
      <c r="X131" s="602"/>
      <c r="Y131" s="602"/>
      <c r="Z131" s="602"/>
    </row>
    <row r="132" spans="1:26" ht="15.75" customHeight="1">
      <c r="A132" s="602"/>
      <c r="B132" s="1237"/>
      <c r="C132" s="1237"/>
      <c r="D132" s="1120"/>
      <c r="E132" s="1237"/>
      <c r="F132" s="1237"/>
      <c r="G132" s="1237"/>
      <c r="H132" s="1237"/>
      <c r="I132" s="1237"/>
      <c r="J132" s="1349"/>
      <c r="K132" s="1125" t="s">
        <v>36</v>
      </c>
      <c r="L132" s="1125" t="s">
        <v>140</v>
      </c>
      <c r="M132" s="1126" t="s">
        <v>36</v>
      </c>
      <c r="N132" s="1126" t="s">
        <v>140</v>
      </c>
      <c r="O132" s="1126" t="s">
        <v>36</v>
      </c>
      <c r="P132" s="1126" t="s">
        <v>140</v>
      </c>
      <c r="Q132" s="1126" t="s">
        <v>36</v>
      </c>
      <c r="R132" s="1126" t="s">
        <v>140</v>
      </c>
      <c r="S132" s="175"/>
      <c r="T132" s="175"/>
      <c r="U132" s="175"/>
      <c r="V132" s="602"/>
      <c r="W132" s="602"/>
      <c r="X132" s="602"/>
      <c r="Y132" s="602"/>
      <c r="Z132" s="602"/>
    </row>
    <row r="133" spans="1:26" ht="15.75" customHeight="1">
      <c r="A133" s="602"/>
      <c r="B133" s="1237"/>
      <c r="C133" s="1237"/>
      <c r="D133" s="1120"/>
      <c r="E133" s="1238"/>
      <c r="F133" s="1238"/>
      <c r="G133" s="1238"/>
      <c r="H133" s="1238"/>
      <c r="I133" s="1238"/>
      <c r="J133" s="1349"/>
      <c r="K133" s="1127"/>
      <c r="L133" s="1128"/>
      <c r="M133" s="1127"/>
      <c r="N133" s="1128"/>
      <c r="O133" s="1127"/>
      <c r="P133" s="1128"/>
      <c r="Q133" s="1127"/>
      <c r="R133" s="1128"/>
      <c r="S133" s="175"/>
      <c r="T133" s="175"/>
      <c r="U133" s="175"/>
      <c r="V133" s="602"/>
      <c r="W133" s="602"/>
      <c r="X133" s="602"/>
      <c r="Y133" s="602"/>
      <c r="Z133" s="602"/>
    </row>
    <row r="134" spans="1:26" ht="15.75" customHeight="1">
      <c r="A134" s="602"/>
      <c r="B134" s="1237"/>
      <c r="C134" s="1237"/>
      <c r="D134" s="1120"/>
      <c r="E134" s="1343"/>
      <c r="F134" s="1351"/>
      <c r="G134" s="1331"/>
      <c r="H134" s="1321"/>
      <c r="I134" s="1346"/>
      <c r="J134" s="1349"/>
      <c r="K134" s="1322" t="s">
        <v>3092</v>
      </c>
      <c r="L134" s="1198"/>
      <c r="M134" s="1322" t="s">
        <v>3093</v>
      </c>
      <c r="N134" s="1198"/>
      <c r="O134" s="1322" t="s">
        <v>3094</v>
      </c>
      <c r="P134" s="1198"/>
      <c r="Q134" s="1330"/>
      <c r="R134" s="1176"/>
      <c r="S134" s="175"/>
      <c r="T134" s="175"/>
      <c r="U134" s="175"/>
      <c r="V134" s="602"/>
      <c r="W134" s="602"/>
      <c r="X134" s="602"/>
      <c r="Y134" s="602"/>
      <c r="Z134" s="602"/>
    </row>
    <row r="135" spans="1:26" ht="15.75" customHeight="1">
      <c r="A135" s="602"/>
      <c r="B135" s="1237"/>
      <c r="C135" s="1237"/>
      <c r="D135" s="1120"/>
      <c r="E135" s="1237"/>
      <c r="F135" s="1237"/>
      <c r="G135" s="1237"/>
      <c r="H135" s="1237"/>
      <c r="I135" s="1237"/>
      <c r="J135" s="1349"/>
      <c r="K135" s="1125" t="s">
        <v>3095</v>
      </c>
      <c r="L135" s="1125" t="s">
        <v>1806</v>
      </c>
      <c r="M135" s="1125" t="s">
        <v>3095</v>
      </c>
      <c r="N135" s="1125" t="s">
        <v>1806</v>
      </c>
      <c r="O135" s="1125" t="s">
        <v>3095</v>
      </c>
      <c r="P135" s="1125" t="s">
        <v>1806</v>
      </c>
      <c r="Q135" s="1121"/>
      <c r="R135" s="1121"/>
      <c r="S135" s="175"/>
      <c r="T135" s="175"/>
      <c r="U135" s="175"/>
      <c r="V135" s="602"/>
      <c r="W135" s="602"/>
      <c r="X135" s="602"/>
      <c r="Y135" s="602"/>
      <c r="Z135" s="602"/>
    </row>
    <row r="136" spans="1:26" ht="15.75" customHeight="1">
      <c r="A136" s="602"/>
      <c r="B136" s="1237"/>
      <c r="C136" s="1237"/>
      <c r="D136" s="1120"/>
      <c r="E136" s="1238"/>
      <c r="F136" s="1238"/>
      <c r="G136" s="1238"/>
      <c r="H136" s="1238"/>
      <c r="I136" s="1238"/>
      <c r="J136" s="1349"/>
      <c r="K136" s="1123"/>
      <c r="L136" s="1123"/>
      <c r="M136" s="1123"/>
      <c r="N136" s="1123"/>
      <c r="O136" s="1123"/>
      <c r="P136" s="1123"/>
      <c r="Q136" s="1121"/>
      <c r="R136" s="1121"/>
      <c r="S136" s="175"/>
      <c r="T136" s="175"/>
      <c r="U136" s="175"/>
      <c r="V136" s="602"/>
      <c r="W136" s="602"/>
      <c r="X136" s="602"/>
      <c r="Y136" s="602"/>
      <c r="Z136" s="602"/>
    </row>
    <row r="137" spans="1:26" ht="15.75" customHeight="1">
      <c r="A137" s="602"/>
      <c r="B137" s="1237"/>
      <c r="C137" s="1237"/>
      <c r="D137" s="1120"/>
      <c r="E137" s="1343"/>
      <c r="F137" s="1351"/>
      <c r="G137" s="1331"/>
      <c r="H137" s="1321"/>
      <c r="I137" s="1346"/>
      <c r="J137" s="1349"/>
      <c r="K137" s="1129" t="s">
        <v>3096</v>
      </c>
      <c r="L137" s="1129" t="s">
        <v>3097</v>
      </c>
      <c r="M137" s="1129" t="s">
        <v>3098</v>
      </c>
      <c r="N137" s="1129" t="s">
        <v>3099</v>
      </c>
      <c r="O137" s="1130"/>
      <c r="P137" s="1130"/>
      <c r="Q137" s="175"/>
      <c r="R137" s="175"/>
      <c r="S137" s="175"/>
      <c r="T137" s="175"/>
      <c r="U137" s="175"/>
      <c r="V137" s="602"/>
      <c r="W137" s="602"/>
      <c r="X137" s="602"/>
      <c r="Y137" s="602"/>
      <c r="Z137" s="602"/>
    </row>
    <row r="138" spans="1:26" ht="15.75" customHeight="1">
      <c r="A138" s="602"/>
      <c r="B138" s="1237"/>
      <c r="C138" s="1237"/>
      <c r="D138" s="1120"/>
      <c r="E138" s="1238"/>
      <c r="F138" s="1238"/>
      <c r="G138" s="1238"/>
      <c r="H138" s="1238"/>
      <c r="I138" s="1238"/>
      <c r="J138" s="1349"/>
      <c r="K138" s="1131"/>
      <c r="L138" s="1131"/>
      <c r="M138" s="1128"/>
      <c r="N138" s="1128"/>
      <c r="O138" s="395"/>
      <c r="P138" s="395"/>
      <c r="Q138" s="175"/>
      <c r="R138" s="175"/>
      <c r="S138" s="175"/>
      <c r="T138" s="175"/>
      <c r="U138" s="175"/>
      <c r="V138" s="602"/>
      <c r="W138" s="602"/>
      <c r="X138" s="602"/>
      <c r="Y138" s="602"/>
      <c r="Z138" s="602"/>
    </row>
    <row r="139" spans="1:26" ht="15.75" customHeight="1">
      <c r="A139" s="602"/>
      <c r="B139" s="1237"/>
      <c r="C139" s="1237"/>
      <c r="D139" s="1120"/>
      <c r="E139" s="1343"/>
      <c r="F139" s="1351"/>
      <c r="G139" s="1331"/>
      <c r="H139" s="1321"/>
      <c r="I139" s="1346"/>
      <c r="J139" s="1349"/>
      <c r="K139" s="1132" t="s">
        <v>3101</v>
      </c>
      <c r="L139" s="1132" t="s">
        <v>3102</v>
      </c>
      <c r="M139" s="1132" t="s">
        <v>3103</v>
      </c>
      <c r="N139" s="1132" t="s">
        <v>3104</v>
      </c>
      <c r="O139" s="1132" t="s">
        <v>3105</v>
      </c>
      <c r="P139" s="1129" t="s">
        <v>3106</v>
      </c>
      <c r="Q139" s="1132" t="s">
        <v>3107</v>
      </c>
      <c r="R139" s="1133" t="s">
        <v>3096</v>
      </c>
      <c r="S139" s="1133" t="s">
        <v>3097</v>
      </c>
      <c r="T139" s="1134" t="s">
        <v>3098</v>
      </c>
      <c r="U139" s="1134" t="s">
        <v>3099</v>
      </c>
      <c r="V139" s="602"/>
      <c r="W139" s="602"/>
      <c r="X139" s="602"/>
      <c r="Y139" s="602"/>
      <c r="Z139" s="602"/>
    </row>
    <row r="140" spans="1:26" ht="15.75" customHeight="1">
      <c r="A140" s="602"/>
      <c r="B140" s="1237"/>
      <c r="C140" s="1237"/>
      <c r="D140" s="1120"/>
      <c r="E140" s="1237"/>
      <c r="F140" s="1237"/>
      <c r="G140" s="1237"/>
      <c r="H140" s="1237"/>
      <c r="I140" s="1237"/>
      <c r="J140" s="1349"/>
      <c r="K140" s="1123"/>
      <c r="L140" s="1123"/>
      <c r="M140" s="1123"/>
      <c r="N140" s="1123"/>
      <c r="O140" s="1123"/>
      <c r="P140" s="1135"/>
      <c r="Q140" s="1123"/>
      <c r="R140" s="1123"/>
      <c r="S140" s="1123"/>
      <c r="T140" s="1131"/>
      <c r="U140" s="1131"/>
      <c r="V140" s="602"/>
      <c r="W140" s="602"/>
      <c r="X140" s="602"/>
      <c r="Y140" s="602"/>
      <c r="Z140" s="602"/>
    </row>
    <row r="141" spans="1:26" ht="15.75" customHeight="1">
      <c r="A141" s="602"/>
      <c r="B141" s="1237"/>
      <c r="C141" s="1237"/>
      <c r="D141" s="1120"/>
      <c r="E141" s="1238"/>
      <c r="F141" s="1238"/>
      <c r="G141" s="1238"/>
      <c r="H141" s="1238"/>
      <c r="I141" s="1238"/>
      <c r="J141" s="1349"/>
      <c r="K141" s="1132" t="s">
        <v>3101</v>
      </c>
      <c r="L141" s="1132" t="s">
        <v>3102</v>
      </c>
      <c r="M141" s="1132" t="s">
        <v>3103</v>
      </c>
      <c r="N141" s="1132" t="s">
        <v>3104</v>
      </c>
      <c r="O141" s="1132" t="s">
        <v>3105</v>
      </c>
      <c r="P141" s="1129" t="s">
        <v>3106</v>
      </c>
      <c r="Q141" s="1129" t="s">
        <v>3107</v>
      </c>
      <c r="R141" s="1133" t="s">
        <v>3096</v>
      </c>
      <c r="S141" s="1133" t="s">
        <v>3097</v>
      </c>
      <c r="T141" s="1134" t="s">
        <v>3098</v>
      </c>
      <c r="U141" s="1134" t="s">
        <v>3099</v>
      </c>
      <c r="V141" s="602"/>
      <c r="W141" s="602"/>
      <c r="X141" s="602"/>
      <c r="Y141" s="602"/>
      <c r="Z141" s="602"/>
    </row>
    <row r="142" spans="1:26" ht="15.75" customHeight="1">
      <c r="A142" s="602"/>
      <c r="B142" s="1237"/>
      <c r="C142" s="1237"/>
      <c r="D142" s="1120"/>
      <c r="E142" s="1352"/>
      <c r="F142" s="1353"/>
      <c r="G142" s="1331"/>
      <c r="H142" s="1321"/>
      <c r="I142" s="1346"/>
      <c r="J142" s="1349"/>
      <c r="K142" s="1131"/>
      <c r="L142" s="1131"/>
      <c r="M142" s="1131"/>
      <c r="N142" s="1131"/>
      <c r="O142" s="1131"/>
      <c r="P142" s="1131"/>
      <c r="Q142" s="1131"/>
      <c r="R142" s="1131"/>
      <c r="S142" s="1131"/>
      <c r="T142" s="1131"/>
      <c r="U142" s="1131"/>
      <c r="V142" s="602"/>
      <c r="W142" s="602"/>
      <c r="X142" s="602"/>
      <c r="Y142" s="602"/>
      <c r="Z142" s="602"/>
    </row>
    <row r="143" spans="1:26" ht="15.75" customHeight="1">
      <c r="A143" s="602"/>
      <c r="B143" s="1237"/>
      <c r="C143" s="1237"/>
      <c r="D143" s="1120"/>
      <c r="E143" s="1238"/>
      <c r="F143" s="1238"/>
      <c r="G143" s="1238"/>
      <c r="H143" s="1238"/>
      <c r="I143" s="1238"/>
      <c r="J143" s="1349"/>
      <c r="K143" s="1153" t="s">
        <v>2848</v>
      </c>
      <c r="L143" s="1153" t="s">
        <v>2102</v>
      </c>
      <c r="M143" s="1153" t="s">
        <v>3109</v>
      </c>
      <c r="N143" s="1154" t="s">
        <v>2110</v>
      </c>
      <c r="O143" s="1155" t="s">
        <v>2115</v>
      </c>
      <c r="P143" s="1155" t="s">
        <v>2104</v>
      </c>
      <c r="Q143" s="1139"/>
      <c r="R143" s="1139"/>
      <c r="S143" s="1139"/>
      <c r="T143" s="1140"/>
      <c r="U143" s="1140"/>
      <c r="V143" s="602"/>
      <c r="W143" s="602"/>
      <c r="X143" s="602"/>
      <c r="Y143" s="602"/>
      <c r="Z143" s="602"/>
    </row>
    <row r="144" spans="1:26" ht="15.75" customHeight="1">
      <c r="A144" s="602"/>
      <c r="B144" s="1237"/>
      <c r="C144" s="1237"/>
      <c r="D144" s="1120"/>
      <c r="E144" s="1352"/>
      <c r="F144" s="1353"/>
      <c r="G144" s="1345"/>
      <c r="H144" s="1321"/>
      <c r="I144" s="1346"/>
      <c r="J144" s="1349"/>
      <c r="K144" s="1141"/>
      <c r="L144" s="1141"/>
      <c r="M144" s="1141"/>
      <c r="N144" s="1141"/>
      <c r="O144" s="1141"/>
      <c r="P144" s="1142"/>
      <c r="Q144" s="1142"/>
      <c r="R144" s="1142"/>
      <c r="S144" s="1142"/>
      <c r="T144" s="1142"/>
      <c r="U144" s="1142"/>
      <c r="V144" s="602"/>
      <c r="W144" s="602"/>
      <c r="X144" s="602"/>
      <c r="Y144" s="602"/>
      <c r="Z144" s="602"/>
    </row>
    <row r="145" spans="1:26" ht="15.75" customHeight="1">
      <c r="A145" s="602"/>
      <c r="B145" s="1238"/>
      <c r="C145" s="1238"/>
      <c r="D145" s="1120"/>
      <c r="E145" s="1238"/>
      <c r="F145" s="1238"/>
      <c r="G145" s="1238"/>
      <c r="H145" s="1238"/>
      <c r="I145" s="1238"/>
      <c r="J145" s="1350"/>
      <c r="K145" s="1325" t="s">
        <v>3111</v>
      </c>
      <c r="L145" s="1235"/>
      <c r="M145" s="1325" t="s">
        <v>2140</v>
      </c>
      <c r="N145" s="1235"/>
      <c r="O145" s="1323" t="s">
        <v>3112</v>
      </c>
      <c r="P145" s="1198"/>
      <c r="Q145" s="1143"/>
      <c r="R145" s="1143"/>
      <c r="S145" s="1143"/>
      <c r="T145" s="1143"/>
      <c r="U145" s="1143"/>
      <c r="V145" s="602"/>
      <c r="W145" s="602"/>
      <c r="X145" s="602"/>
      <c r="Y145" s="602"/>
      <c r="Z145" s="602"/>
    </row>
    <row r="146" spans="1:26" ht="15.75" customHeight="1">
      <c r="A146" s="602"/>
      <c r="B146" s="602"/>
      <c r="C146" s="602"/>
      <c r="D146" s="602"/>
      <c r="E146" s="602"/>
      <c r="F146" s="602"/>
      <c r="G146" s="602"/>
      <c r="H146" s="602"/>
      <c r="I146" s="602"/>
      <c r="J146" s="602"/>
      <c r="K146" s="1125" t="s">
        <v>1849</v>
      </c>
      <c r="L146" s="1125" t="s">
        <v>1915</v>
      </c>
      <c r="M146" s="1125" t="s">
        <v>1849</v>
      </c>
      <c r="N146" s="1125" t="s">
        <v>1915</v>
      </c>
      <c r="O146" s="1144" t="s">
        <v>1849</v>
      </c>
      <c r="P146" s="1144" t="s">
        <v>1915</v>
      </c>
      <c r="Q146" s="1135"/>
      <c r="R146" s="1135"/>
      <c r="S146" s="602"/>
      <c r="T146" s="602"/>
      <c r="U146" s="602"/>
      <c r="V146" s="602"/>
      <c r="W146" s="602"/>
      <c r="X146" s="602"/>
      <c r="Y146" s="602"/>
      <c r="Z146" s="602"/>
    </row>
    <row r="147" spans="1:26" ht="15.75" customHeight="1">
      <c r="A147" s="602"/>
      <c r="B147" s="602"/>
      <c r="C147" s="602"/>
      <c r="D147" s="602"/>
      <c r="E147" s="602"/>
      <c r="F147" s="602"/>
      <c r="G147" s="602"/>
      <c r="H147" s="602"/>
      <c r="I147" s="602"/>
      <c r="J147" s="602"/>
      <c r="K147" s="1123"/>
      <c r="L147" s="1123"/>
      <c r="M147" s="1123"/>
      <c r="N147" s="1123"/>
      <c r="O147" s="1135"/>
      <c r="P147" s="1135"/>
      <c r="Q147" s="1135"/>
      <c r="R147" s="1135"/>
      <c r="S147" s="602"/>
      <c r="T147" s="602"/>
      <c r="U147" s="602"/>
      <c r="V147" s="602"/>
      <c r="W147" s="602"/>
      <c r="X147" s="602"/>
      <c r="Y147" s="602"/>
      <c r="Z147" s="602"/>
    </row>
    <row r="148" spans="1:26" ht="15.75" customHeight="1">
      <c r="A148" s="602"/>
      <c r="B148" s="602"/>
      <c r="C148" s="602"/>
      <c r="D148" s="602"/>
      <c r="E148" s="602"/>
      <c r="F148" s="602"/>
      <c r="G148" s="602"/>
      <c r="H148" s="602"/>
      <c r="I148" s="602"/>
      <c r="J148" s="602"/>
      <c r="K148" s="1123"/>
      <c r="L148" s="1123"/>
      <c r="M148" s="1123"/>
      <c r="N148" s="1123"/>
      <c r="O148" s="1135"/>
      <c r="P148" s="1135"/>
      <c r="Q148" s="1135"/>
      <c r="R148" s="1135"/>
      <c r="S148" s="602"/>
      <c r="T148" s="602"/>
      <c r="U148" s="602"/>
      <c r="V148" s="602"/>
      <c r="W148" s="602"/>
      <c r="X148" s="602"/>
      <c r="Y148" s="602"/>
      <c r="Z148" s="602"/>
    </row>
    <row r="149" spans="1:26" ht="15.75" customHeight="1">
      <c r="A149" s="602"/>
      <c r="B149" s="602"/>
      <c r="C149" s="602"/>
      <c r="D149" s="602"/>
      <c r="E149" s="602"/>
      <c r="F149" s="602"/>
      <c r="G149" s="602"/>
      <c r="H149" s="602"/>
      <c r="I149" s="602"/>
      <c r="J149" s="602"/>
      <c r="K149" s="1123"/>
      <c r="L149" s="1123"/>
      <c r="M149" s="1123"/>
      <c r="N149" s="1123"/>
      <c r="O149" s="1135"/>
      <c r="P149" s="1135"/>
      <c r="Q149" s="1135"/>
      <c r="R149" s="1135"/>
      <c r="S149" s="602"/>
      <c r="T149" s="602"/>
      <c r="U149" s="602"/>
      <c r="V149" s="602"/>
      <c r="W149" s="602"/>
      <c r="X149" s="602"/>
      <c r="Y149" s="602"/>
      <c r="Z149" s="602"/>
    </row>
    <row r="150" spans="1:26" ht="15.75" customHeight="1">
      <c r="A150" s="602"/>
      <c r="B150" s="602"/>
      <c r="C150" s="602"/>
      <c r="D150" s="602"/>
      <c r="E150" s="602"/>
      <c r="F150" s="602"/>
      <c r="G150" s="602"/>
      <c r="H150" s="602"/>
      <c r="I150" s="602"/>
      <c r="J150" s="602"/>
      <c r="K150" s="1123"/>
      <c r="L150" s="1123"/>
      <c r="M150" s="1123"/>
      <c r="N150" s="1123"/>
      <c r="O150" s="1135"/>
      <c r="P150" s="1135"/>
      <c r="Q150" s="1135"/>
      <c r="R150" s="1135"/>
      <c r="S150" s="602"/>
      <c r="T150" s="602"/>
      <c r="U150" s="602"/>
      <c r="V150" s="602"/>
      <c r="W150" s="602"/>
      <c r="X150" s="602"/>
      <c r="Y150" s="602"/>
      <c r="Z150" s="602"/>
    </row>
    <row r="151" spans="1:26" ht="15.75" customHeight="1">
      <c r="A151" s="602"/>
      <c r="B151" s="602"/>
      <c r="C151" s="602"/>
      <c r="D151" s="602"/>
      <c r="E151" s="602"/>
      <c r="F151" s="602"/>
      <c r="G151" s="602"/>
      <c r="H151" s="602"/>
      <c r="I151" s="602"/>
      <c r="J151" s="602"/>
      <c r="K151" s="602"/>
      <c r="L151" s="602"/>
      <c r="M151" s="602"/>
      <c r="N151" s="602"/>
      <c r="O151" s="602"/>
      <c r="P151" s="602"/>
      <c r="Q151" s="602"/>
      <c r="R151" s="602"/>
      <c r="S151" s="602"/>
      <c r="T151" s="602"/>
      <c r="U151" s="602"/>
      <c r="V151" s="602"/>
      <c r="W151" s="602"/>
      <c r="X151" s="602"/>
      <c r="Y151" s="602"/>
      <c r="Z151" s="602"/>
    </row>
    <row r="152" spans="1:26" ht="15.75" customHeight="1">
      <c r="A152" s="602"/>
      <c r="B152" s="602"/>
      <c r="C152" s="602"/>
      <c r="D152" s="602"/>
      <c r="E152" s="602"/>
      <c r="F152" s="602"/>
      <c r="G152" s="602"/>
      <c r="H152" s="602"/>
      <c r="I152" s="602"/>
      <c r="J152" s="602"/>
      <c r="K152" s="602"/>
      <c r="L152" s="602"/>
      <c r="M152" s="602"/>
      <c r="N152" s="602"/>
      <c r="O152" s="602"/>
      <c r="P152" s="602"/>
      <c r="Q152" s="602"/>
      <c r="R152" s="602"/>
      <c r="S152" s="602"/>
      <c r="T152" s="602"/>
      <c r="U152" s="602"/>
      <c r="V152" s="602"/>
      <c r="W152" s="602"/>
      <c r="X152" s="602"/>
      <c r="Y152" s="602"/>
      <c r="Z152" s="602"/>
    </row>
    <row r="153" spans="1:26" ht="15.75" customHeight="1">
      <c r="A153" s="602"/>
      <c r="B153" s="602"/>
      <c r="C153" s="602"/>
      <c r="D153" s="602"/>
      <c r="E153" s="602"/>
      <c r="F153" s="602"/>
      <c r="G153" s="602"/>
      <c r="H153" s="602"/>
      <c r="I153" s="602"/>
      <c r="J153" s="602"/>
      <c r="K153" s="602"/>
      <c r="L153" s="602"/>
      <c r="M153" s="602"/>
      <c r="N153" s="602"/>
      <c r="O153" s="602"/>
      <c r="P153" s="602"/>
      <c r="Q153" s="602"/>
      <c r="R153" s="602"/>
      <c r="S153" s="602"/>
      <c r="T153" s="602"/>
      <c r="U153" s="602"/>
      <c r="V153" s="602"/>
      <c r="W153" s="602"/>
      <c r="X153" s="602"/>
      <c r="Y153" s="602"/>
      <c r="Z153" s="602"/>
    </row>
    <row r="154" spans="1:26" ht="15.75" customHeight="1">
      <c r="A154" s="602"/>
      <c r="B154" s="602"/>
      <c r="C154" s="602"/>
      <c r="D154" s="602"/>
      <c r="E154" s="602"/>
      <c r="F154" s="602"/>
      <c r="G154" s="602"/>
      <c r="H154" s="602"/>
      <c r="I154" s="602"/>
      <c r="J154" s="602"/>
      <c r="K154" s="602"/>
      <c r="L154" s="602"/>
      <c r="M154" s="602"/>
      <c r="N154" s="602"/>
      <c r="O154" s="602"/>
      <c r="P154" s="602"/>
      <c r="Q154" s="602"/>
      <c r="R154" s="602"/>
      <c r="S154" s="602"/>
      <c r="T154" s="602"/>
      <c r="U154" s="602"/>
      <c r="V154" s="602"/>
      <c r="W154" s="602"/>
      <c r="X154" s="602"/>
      <c r="Y154" s="602"/>
      <c r="Z154" s="602"/>
    </row>
    <row r="155" spans="1:26" ht="15.75" customHeight="1">
      <c r="A155" s="602"/>
      <c r="B155" s="602"/>
      <c r="C155" s="602"/>
      <c r="D155" s="602"/>
      <c r="E155" s="602"/>
      <c r="F155" s="602"/>
      <c r="G155" s="602"/>
      <c r="H155" s="602"/>
      <c r="I155" s="602"/>
      <c r="J155" s="602"/>
      <c r="K155" s="602"/>
      <c r="L155" s="602"/>
      <c r="M155" s="602"/>
      <c r="N155" s="602"/>
      <c r="O155" s="602"/>
      <c r="P155" s="602"/>
      <c r="Q155" s="602"/>
      <c r="R155" s="602"/>
      <c r="S155" s="602"/>
      <c r="T155" s="602"/>
      <c r="U155" s="602"/>
      <c r="V155" s="602"/>
      <c r="W155" s="602"/>
      <c r="X155" s="602"/>
      <c r="Y155" s="602"/>
      <c r="Z155" s="602"/>
    </row>
    <row r="156" spans="1:26" ht="15.75" customHeight="1">
      <c r="A156" s="602"/>
      <c r="B156" s="602"/>
      <c r="C156" s="602"/>
      <c r="D156" s="602"/>
      <c r="E156" s="602"/>
      <c r="F156" s="602"/>
      <c r="G156" s="602"/>
      <c r="H156" s="602"/>
      <c r="I156" s="602"/>
      <c r="J156" s="602"/>
      <c r="K156" s="602"/>
      <c r="L156" s="602"/>
      <c r="M156" s="602"/>
      <c r="N156" s="602"/>
      <c r="O156" s="602"/>
      <c r="P156" s="602"/>
      <c r="Q156" s="602"/>
      <c r="R156" s="602"/>
      <c r="S156" s="602"/>
      <c r="T156" s="602"/>
      <c r="U156" s="602"/>
      <c r="V156" s="602"/>
      <c r="W156" s="602"/>
      <c r="X156" s="602"/>
      <c r="Y156" s="602"/>
      <c r="Z156" s="602"/>
    </row>
    <row r="157" spans="1:26" ht="15.75" customHeight="1">
      <c r="A157" s="602"/>
      <c r="B157" s="602"/>
      <c r="C157" s="602"/>
      <c r="D157" s="602"/>
      <c r="E157" s="602"/>
      <c r="F157" s="602"/>
      <c r="G157" s="602"/>
      <c r="H157" s="602"/>
      <c r="I157" s="602"/>
      <c r="J157" s="602"/>
      <c r="K157" s="602"/>
      <c r="L157" s="602"/>
      <c r="M157" s="602"/>
      <c r="N157" s="602"/>
      <c r="O157" s="602"/>
      <c r="P157" s="602"/>
      <c r="Q157" s="602"/>
      <c r="R157" s="602"/>
      <c r="S157" s="602"/>
      <c r="T157" s="602"/>
      <c r="U157" s="602"/>
      <c r="V157" s="602"/>
      <c r="W157" s="602"/>
      <c r="X157" s="602"/>
      <c r="Y157" s="602"/>
      <c r="Z157" s="602"/>
    </row>
    <row r="158" spans="1:26" ht="15.75" customHeight="1">
      <c r="A158" s="602"/>
      <c r="B158" s="602"/>
      <c r="C158" s="602"/>
      <c r="D158" s="602"/>
      <c r="E158" s="602"/>
      <c r="F158" s="602"/>
      <c r="G158" s="602"/>
      <c r="H158" s="602"/>
      <c r="I158" s="602"/>
      <c r="J158" s="602"/>
      <c r="K158" s="602"/>
      <c r="L158" s="602"/>
      <c r="M158" s="602"/>
      <c r="N158" s="602"/>
      <c r="O158" s="602"/>
      <c r="P158" s="602"/>
      <c r="Q158" s="602"/>
      <c r="R158" s="602"/>
      <c r="S158" s="602"/>
      <c r="T158" s="602"/>
      <c r="U158" s="602"/>
      <c r="V158" s="602"/>
      <c r="W158" s="602"/>
      <c r="X158" s="602"/>
      <c r="Y158" s="602"/>
      <c r="Z158" s="602"/>
    </row>
    <row r="159" spans="1:26" ht="15.75" customHeight="1">
      <c r="A159" s="602"/>
      <c r="B159" s="602"/>
      <c r="C159" s="602"/>
      <c r="D159" s="602"/>
      <c r="E159" s="602"/>
      <c r="F159" s="602"/>
      <c r="G159" s="602"/>
      <c r="H159" s="602"/>
      <c r="I159" s="602"/>
      <c r="J159" s="602"/>
      <c r="K159" s="602"/>
      <c r="L159" s="602"/>
      <c r="M159" s="602"/>
      <c r="N159" s="602"/>
      <c r="O159" s="602"/>
      <c r="P159" s="602"/>
      <c r="Q159" s="602"/>
      <c r="R159" s="602"/>
      <c r="S159" s="602"/>
      <c r="T159" s="602"/>
      <c r="U159" s="602"/>
      <c r="V159" s="602"/>
      <c r="W159" s="602"/>
      <c r="X159" s="602"/>
      <c r="Y159" s="602"/>
      <c r="Z159" s="602"/>
    </row>
    <row r="160" spans="1:26" ht="15.75" customHeight="1">
      <c r="A160" s="602"/>
      <c r="B160" s="602"/>
      <c r="C160" s="602"/>
      <c r="D160" s="602"/>
      <c r="E160" s="602"/>
      <c r="F160" s="602"/>
      <c r="G160" s="602"/>
      <c r="H160" s="602"/>
      <c r="I160" s="602"/>
      <c r="J160" s="602"/>
      <c r="K160" s="602"/>
      <c r="L160" s="602"/>
      <c r="M160" s="602"/>
      <c r="N160" s="602"/>
      <c r="O160" s="602"/>
      <c r="P160" s="602"/>
      <c r="Q160" s="602"/>
      <c r="R160" s="602"/>
      <c r="S160" s="602"/>
      <c r="T160" s="602"/>
      <c r="U160" s="602"/>
      <c r="V160" s="602"/>
      <c r="W160" s="602"/>
      <c r="X160" s="602"/>
      <c r="Y160" s="602"/>
      <c r="Z160" s="602"/>
    </row>
    <row r="161" spans="1:26" ht="15.75" customHeight="1">
      <c r="A161" s="602"/>
      <c r="B161" s="602"/>
      <c r="C161" s="602"/>
      <c r="D161" s="602"/>
      <c r="E161" s="602"/>
      <c r="F161" s="602"/>
      <c r="G161" s="602"/>
      <c r="H161" s="602"/>
      <c r="I161" s="602"/>
      <c r="J161" s="602"/>
      <c r="K161" s="602"/>
      <c r="L161" s="602"/>
      <c r="M161" s="602"/>
      <c r="N161" s="602"/>
      <c r="O161" s="602"/>
      <c r="P161" s="602"/>
      <c r="Q161" s="602"/>
      <c r="R161" s="602"/>
      <c r="S161" s="602"/>
      <c r="T161" s="602"/>
      <c r="U161" s="602"/>
      <c r="V161" s="602"/>
      <c r="W161" s="602"/>
      <c r="X161" s="602"/>
      <c r="Y161" s="602"/>
      <c r="Z161" s="602"/>
    </row>
    <row r="162" spans="1:26" ht="15.75" customHeight="1">
      <c r="A162" s="602"/>
      <c r="B162" s="602"/>
      <c r="C162" s="602"/>
      <c r="D162" s="602"/>
      <c r="E162" s="602"/>
      <c r="F162" s="602"/>
      <c r="G162" s="602"/>
      <c r="H162" s="602"/>
      <c r="I162" s="602"/>
      <c r="J162" s="602"/>
      <c r="K162" s="602"/>
      <c r="L162" s="602"/>
      <c r="M162" s="602"/>
      <c r="N162" s="602"/>
      <c r="O162" s="602"/>
      <c r="P162" s="602"/>
      <c r="Q162" s="602"/>
      <c r="R162" s="602"/>
      <c r="S162" s="602"/>
      <c r="T162" s="602"/>
      <c r="U162" s="602"/>
      <c r="V162" s="602"/>
      <c r="W162" s="602"/>
      <c r="X162" s="602"/>
      <c r="Y162" s="602"/>
      <c r="Z162" s="602"/>
    </row>
    <row r="163" spans="1:26" ht="15.75" customHeight="1">
      <c r="A163" s="602"/>
      <c r="B163" s="602"/>
      <c r="C163" s="602"/>
      <c r="D163" s="602"/>
      <c r="E163" s="602"/>
      <c r="F163" s="602"/>
      <c r="G163" s="602"/>
      <c r="H163" s="602"/>
      <c r="I163" s="602"/>
      <c r="J163" s="602"/>
      <c r="K163" s="602"/>
      <c r="L163" s="602"/>
      <c r="M163" s="602"/>
      <c r="N163" s="602"/>
      <c r="O163" s="602"/>
      <c r="P163" s="602"/>
      <c r="Q163" s="602"/>
      <c r="R163" s="602"/>
      <c r="S163" s="602"/>
      <c r="T163" s="602"/>
      <c r="U163" s="602"/>
      <c r="V163" s="602"/>
      <c r="W163" s="602"/>
      <c r="X163" s="602"/>
      <c r="Y163" s="602"/>
      <c r="Z163" s="602"/>
    </row>
    <row r="164" spans="1:26" ht="15.75" customHeight="1">
      <c r="A164" s="602"/>
      <c r="B164" s="602"/>
      <c r="C164" s="602"/>
      <c r="D164" s="602"/>
      <c r="E164" s="602"/>
      <c r="F164" s="602"/>
      <c r="G164" s="602"/>
      <c r="H164" s="602"/>
      <c r="I164" s="602"/>
      <c r="J164" s="602"/>
      <c r="K164" s="602"/>
      <c r="L164" s="602"/>
      <c r="M164" s="602"/>
      <c r="N164" s="602"/>
      <c r="O164" s="602"/>
      <c r="P164" s="602"/>
      <c r="Q164" s="602"/>
      <c r="R164" s="602"/>
      <c r="S164" s="602"/>
      <c r="T164" s="602"/>
      <c r="U164" s="602"/>
      <c r="V164" s="602"/>
      <c r="W164" s="602"/>
      <c r="X164" s="602"/>
      <c r="Y164" s="602"/>
      <c r="Z164" s="602"/>
    </row>
    <row r="165" spans="1:26" ht="15.75" customHeight="1">
      <c r="A165" s="602"/>
      <c r="B165" s="602"/>
      <c r="C165" s="602"/>
      <c r="D165" s="602"/>
      <c r="E165" s="602"/>
      <c r="F165" s="602"/>
      <c r="G165" s="602"/>
      <c r="H165" s="602"/>
      <c r="I165" s="602"/>
      <c r="J165" s="602"/>
      <c r="K165" s="602"/>
      <c r="L165" s="602"/>
      <c r="M165" s="602"/>
      <c r="N165" s="602"/>
      <c r="O165" s="602"/>
      <c r="P165" s="602"/>
      <c r="Q165" s="602"/>
      <c r="R165" s="602"/>
      <c r="S165" s="602"/>
      <c r="T165" s="602"/>
      <c r="U165" s="602"/>
      <c r="V165" s="602"/>
      <c r="W165" s="602"/>
      <c r="X165" s="602"/>
      <c r="Y165" s="602"/>
      <c r="Z165" s="602"/>
    </row>
    <row r="166" spans="1:26" ht="15.75" customHeight="1">
      <c r="A166" s="602"/>
      <c r="B166" s="602"/>
      <c r="C166" s="602"/>
      <c r="D166" s="602"/>
      <c r="E166" s="602"/>
      <c r="F166" s="602"/>
      <c r="G166" s="602"/>
      <c r="H166" s="602"/>
      <c r="I166" s="602"/>
      <c r="J166" s="602"/>
      <c r="K166" s="602"/>
      <c r="L166" s="602"/>
      <c r="M166" s="602"/>
      <c r="N166" s="602"/>
      <c r="O166" s="602"/>
      <c r="P166" s="602"/>
      <c r="Q166" s="602"/>
      <c r="R166" s="602"/>
      <c r="S166" s="602"/>
      <c r="T166" s="602"/>
      <c r="U166" s="602"/>
      <c r="V166" s="602"/>
      <c r="W166" s="602"/>
      <c r="X166" s="602"/>
      <c r="Y166" s="602"/>
      <c r="Z166" s="602"/>
    </row>
    <row r="167" spans="1:26" ht="15.75" customHeight="1">
      <c r="A167" s="602"/>
      <c r="B167" s="602"/>
      <c r="C167" s="602"/>
      <c r="D167" s="602"/>
      <c r="E167" s="602"/>
      <c r="F167" s="602"/>
      <c r="G167" s="602"/>
      <c r="H167" s="602"/>
      <c r="I167" s="602"/>
      <c r="J167" s="602"/>
      <c r="K167" s="602"/>
      <c r="L167" s="602"/>
      <c r="M167" s="602"/>
      <c r="N167" s="602"/>
      <c r="O167" s="602"/>
      <c r="P167" s="602"/>
      <c r="Q167" s="602"/>
      <c r="R167" s="602"/>
      <c r="S167" s="602"/>
      <c r="T167" s="602"/>
      <c r="U167" s="602"/>
      <c r="V167" s="602"/>
      <c r="W167" s="602"/>
      <c r="X167" s="602"/>
      <c r="Y167" s="602"/>
      <c r="Z167" s="602"/>
    </row>
    <row r="168" spans="1:26" ht="15.75" customHeight="1">
      <c r="A168" s="602"/>
      <c r="B168" s="602"/>
      <c r="C168" s="602"/>
      <c r="D168" s="602"/>
      <c r="E168" s="602"/>
      <c r="F168" s="602"/>
      <c r="G168" s="602"/>
      <c r="H168" s="602"/>
      <c r="I168" s="602"/>
      <c r="J168" s="602"/>
      <c r="K168" s="602"/>
      <c r="L168" s="602"/>
      <c r="M168" s="602"/>
      <c r="N168" s="602"/>
      <c r="O168" s="602"/>
      <c r="P168" s="602"/>
      <c r="Q168" s="602"/>
      <c r="R168" s="602"/>
      <c r="S168" s="602"/>
      <c r="T168" s="602"/>
      <c r="U168" s="602"/>
      <c r="V168" s="602"/>
      <c r="W168" s="602"/>
      <c r="X168" s="602"/>
      <c r="Y168" s="602"/>
      <c r="Z168" s="602"/>
    </row>
    <row r="169" spans="1:26" ht="15.75" customHeight="1">
      <c r="A169" s="602"/>
      <c r="B169" s="602"/>
      <c r="C169" s="602"/>
      <c r="D169" s="602"/>
      <c r="E169" s="602"/>
      <c r="F169" s="602"/>
      <c r="G169" s="602"/>
      <c r="H169" s="602"/>
      <c r="I169" s="602"/>
      <c r="J169" s="602"/>
      <c r="K169" s="602"/>
      <c r="L169" s="602"/>
      <c r="M169" s="602"/>
      <c r="N169" s="602"/>
      <c r="O169" s="602"/>
      <c r="P169" s="602"/>
      <c r="Q169" s="602"/>
      <c r="R169" s="602"/>
      <c r="S169" s="602"/>
      <c r="T169" s="602"/>
      <c r="U169" s="602"/>
      <c r="V169" s="602"/>
      <c r="W169" s="602"/>
      <c r="X169" s="602"/>
      <c r="Y169" s="602"/>
      <c r="Z169" s="602"/>
    </row>
    <row r="170" spans="1:26" ht="15.75" customHeight="1">
      <c r="A170" s="602"/>
      <c r="B170" s="602"/>
      <c r="C170" s="602"/>
      <c r="D170" s="602"/>
      <c r="E170" s="602"/>
      <c r="F170" s="602"/>
      <c r="G170" s="602"/>
      <c r="H170" s="602"/>
      <c r="I170" s="602"/>
      <c r="J170" s="602"/>
      <c r="K170" s="602"/>
      <c r="L170" s="602"/>
      <c r="M170" s="602"/>
      <c r="N170" s="602"/>
      <c r="O170" s="602"/>
      <c r="P170" s="602"/>
      <c r="Q170" s="602"/>
      <c r="R170" s="602"/>
      <c r="S170" s="602"/>
      <c r="T170" s="602"/>
      <c r="U170" s="602"/>
      <c r="V170" s="602"/>
      <c r="W170" s="602"/>
      <c r="X170" s="602"/>
      <c r="Y170" s="602"/>
      <c r="Z170" s="602"/>
    </row>
    <row r="171" spans="1:26" ht="15.75" customHeight="1">
      <c r="A171" s="602"/>
      <c r="B171" s="602"/>
      <c r="C171" s="602"/>
      <c r="D171" s="602"/>
      <c r="E171" s="602"/>
      <c r="F171" s="602"/>
      <c r="G171" s="602"/>
      <c r="H171" s="602"/>
      <c r="I171" s="602"/>
      <c r="J171" s="602"/>
      <c r="K171" s="602"/>
      <c r="L171" s="602"/>
      <c r="M171" s="602"/>
      <c r="N171" s="602"/>
      <c r="O171" s="602"/>
      <c r="P171" s="602"/>
      <c r="Q171" s="602"/>
      <c r="R171" s="602"/>
      <c r="S171" s="602"/>
      <c r="T171" s="602"/>
      <c r="U171" s="602"/>
      <c r="V171" s="602"/>
      <c r="W171" s="602"/>
      <c r="X171" s="602"/>
      <c r="Y171" s="602"/>
      <c r="Z171" s="602"/>
    </row>
    <row r="172" spans="1:26" ht="15.75" customHeight="1">
      <c r="A172" s="602"/>
      <c r="B172" s="602"/>
      <c r="C172" s="602"/>
      <c r="D172" s="602"/>
      <c r="E172" s="602"/>
      <c r="F172" s="602"/>
      <c r="G172" s="602"/>
      <c r="H172" s="602"/>
      <c r="I172" s="602"/>
      <c r="J172" s="602"/>
      <c r="K172" s="602"/>
      <c r="L172" s="602"/>
      <c r="M172" s="602"/>
      <c r="N172" s="602"/>
      <c r="O172" s="602"/>
      <c r="P172" s="602"/>
      <c r="Q172" s="602"/>
      <c r="R172" s="602"/>
      <c r="S172" s="602"/>
      <c r="T172" s="602"/>
      <c r="U172" s="602"/>
      <c r="V172" s="602"/>
      <c r="W172" s="602"/>
      <c r="X172" s="602"/>
      <c r="Y172" s="602"/>
      <c r="Z172" s="602"/>
    </row>
    <row r="173" spans="1:26" ht="15.75" customHeight="1">
      <c r="A173" s="602"/>
      <c r="B173" s="602"/>
      <c r="C173" s="602"/>
      <c r="D173" s="602"/>
      <c r="E173" s="602"/>
      <c r="F173" s="602"/>
      <c r="G173" s="602"/>
      <c r="H173" s="602"/>
      <c r="I173" s="602"/>
      <c r="J173" s="602"/>
      <c r="K173" s="602"/>
      <c r="L173" s="602"/>
      <c r="M173" s="602"/>
      <c r="N173" s="602"/>
      <c r="O173" s="602"/>
      <c r="P173" s="602"/>
      <c r="Q173" s="602"/>
      <c r="R173" s="602"/>
      <c r="S173" s="602"/>
      <c r="T173" s="602"/>
      <c r="U173" s="602"/>
      <c r="V173" s="602"/>
      <c r="W173" s="602"/>
      <c r="X173" s="602"/>
      <c r="Y173" s="602"/>
      <c r="Z173" s="602"/>
    </row>
    <row r="174" spans="1:26" ht="15.75" customHeight="1">
      <c r="A174" s="602"/>
      <c r="B174" s="602"/>
      <c r="C174" s="602"/>
      <c r="D174" s="602"/>
      <c r="E174" s="602"/>
      <c r="F174" s="602"/>
      <c r="G174" s="602"/>
      <c r="H174" s="602"/>
      <c r="I174" s="602"/>
      <c r="J174" s="602"/>
      <c r="K174" s="602"/>
      <c r="L174" s="602"/>
      <c r="M174" s="602"/>
      <c r="N174" s="602"/>
      <c r="O174" s="602"/>
      <c r="P174" s="602"/>
      <c r="Q174" s="602"/>
      <c r="R174" s="602"/>
      <c r="S174" s="602"/>
      <c r="T174" s="602"/>
      <c r="U174" s="602"/>
      <c r="V174" s="602"/>
      <c r="W174" s="602"/>
      <c r="X174" s="602"/>
      <c r="Y174" s="602"/>
      <c r="Z174" s="602"/>
    </row>
    <row r="175" spans="1:26" ht="15.75" customHeight="1">
      <c r="A175" s="602"/>
      <c r="B175" s="602"/>
      <c r="C175" s="602"/>
      <c r="D175" s="602"/>
      <c r="E175" s="602"/>
      <c r="F175" s="602"/>
      <c r="G175" s="602"/>
      <c r="H175" s="602"/>
      <c r="I175" s="602"/>
      <c r="J175" s="602"/>
      <c r="K175" s="602"/>
      <c r="L175" s="602"/>
      <c r="M175" s="602"/>
      <c r="N175" s="602"/>
      <c r="O175" s="602"/>
      <c r="P175" s="602"/>
      <c r="Q175" s="602"/>
      <c r="R175" s="602"/>
      <c r="S175" s="602"/>
      <c r="T175" s="602"/>
      <c r="U175" s="602"/>
      <c r="V175" s="602"/>
      <c r="W175" s="602"/>
      <c r="X175" s="602"/>
      <c r="Y175" s="602"/>
      <c r="Z175" s="602"/>
    </row>
    <row r="176" spans="1:26" ht="15.75" customHeight="1">
      <c r="A176" s="602"/>
      <c r="B176" s="602"/>
      <c r="C176" s="602"/>
      <c r="D176" s="602"/>
      <c r="E176" s="602"/>
      <c r="F176" s="602"/>
      <c r="G176" s="602"/>
      <c r="H176" s="602"/>
      <c r="I176" s="602"/>
      <c r="J176" s="602"/>
      <c r="K176" s="602"/>
      <c r="L176" s="602"/>
      <c r="M176" s="602"/>
      <c r="N176" s="602"/>
      <c r="O176" s="602"/>
      <c r="P176" s="602"/>
      <c r="Q176" s="602"/>
      <c r="R176" s="602"/>
      <c r="S176" s="602"/>
      <c r="T176" s="602"/>
      <c r="U176" s="602"/>
      <c r="V176" s="602"/>
      <c r="W176" s="602"/>
      <c r="X176" s="602"/>
      <c r="Y176" s="602"/>
      <c r="Z176" s="602"/>
    </row>
    <row r="177" spans="1:26" ht="15.75" customHeight="1">
      <c r="A177" s="602"/>
      <c r="B177" s="602"/>
      <c r="C177" s="602"/>
      <c r="D177" s="602"/>
      <c r="E177" s="602"/>
      <c r="F177" s="602"/>
      <c r="G177" s="602"/>
      <c r="H177" s="602"/>
      <c r="I177" s="602"/>
      <c r="J177" s="602"/>
      <c r="K177" s="602"/>
      <c r="L177" s="602"/>
      <c r="M177" s="602"/>
      <c r="N177" s="602"/>
      <c r="O177" s="602"/>
      <c r="P177" s="602"/>
      <c r="Q177" s="602"/>
      <c r="R177" s="602"/>
      <c r="S177" s="602"/>
      <c r="T177" s="602"/>
      <c r="U177" s="602"/>
      <c r="V177" s="602"/>
      <c r="W177" s="602"/>
      <c r="X177" s="602"/>
      <c r="Y177" s="602"/>
      <c r="Z177" s="602"/>
    </row>
    <row r="178" spans="1:26" ht="15.75" customHeight="1">
      <c r="A178" s="602"/>
      <c r="B178" s="602"/>
      <c r="C178" s="602"/>
      <c r="D178" s="602"/>
      <c r="E178" s="602"/>
      <c r="F178" s="602"/>
      <c r="G178" s="602"/>
      <c r="H178" s="602"/>
      <c r="I178" s="602"/>
      <c r="J178" s="602"/>
      <c r="K178" s="602"/>
      <c r="L178" s="602"/>
      <c r="M178" s="602"/>
      <c r="N178" s="602"/>
      <c r="O178" s="602"/>
      <c r="P178" s="602"/>
      <c r="Q178" s="602"/>
      <c r="R178" s="602"/>
      <c r="S178" s="602"/>
      <c r="T178" s="602"/>
      <c r="U178" s="602"/>
      <c r="V178" s="602"/>
      <c r="W178" s="602"/>
      <c r="X178" s="602"/>
      <c r="Y178" s="602"/>
      <c r="Z178" s="602"/>
    </row>
    <row r="179" spans="1:26" ht="15.75" customHeight="1">
      <c r="A179" s="602"/>
      <c r="B179" s="602"/>
      <c r="C179" s="602"/>
      <c r="D179" s="602"/>
      <c r="E179" s="602"/>
      <c r="F179" s="602"/>
      <c r="G179" s="602"/>
      <c r="H179" s="602"/>
      <c r="I179" s="602"/>
      <c r="J179" s="602"/>
      <c r="K179" s="602"/>
      <c r="L179" s="602"/>
      <c r="M179" s="602"/>
      <c r="N179" s="602"/>
      <c r="O179" s="602"/>
      <c r="P179" s="602"/>
      <c r="Q179" s="602"/>
      <c r="R179" s="602"/>
      <c r="S179" s="602"/>
      <c r="T179" s="602"/>
      <c r="U179" s="602"/>
      <c r="V179" s="602"/>
      <c r="W179" s="602"/>
      <c r="X179" s="602"/>
      <c r="Y179" s="602"/>
      <c r="Z179" s="602"/>
    </row>
    <row r="180" spans="1:26" ht="15.75" customHeight="1">
      <c r="A180" s="602"/>
      <c r="B180" s="602"/>
      <c r="C180" s="602"/>
      <c r="D180" s="602"/>
      <c r="E180" s="602"/>
      <c r="F180" s="602"/>
      <c r="G180" s="602"/>
      <c r="H180" s="602"/>
      <c r="I180" s="602"/>
      <c r="J180" s="602"/>
      <c r="K180" s="602"/>
      <c r="L180" s="602"/>
      <c r="M180" s="602"/>
      <c r="N180" s="602"/>
      <c r="O180" s="602"/>
      <c r="P180" s="602"/>
      <c r="Q180" s="602"/>
      <c r="R180" s="602"/>
      <c r="S180" s="602"/>
      <c r="T180" s="602"/>
      <c r="U180" s="602"/>
      <c r="V180" s="602"/>
      <c r="W180" s="602"/>
      <c r="X180" s="602"/>
      <c r="Y180" s="602"/>
      <c r="Z180" s="602"/>
    </row>
    <row r="181" spans="1:26" ht="15.75" customHeight="1">
      <c r="A181" s="602"/>
      <c r="B181" s="602"/>
      <c r="C181" s="602"/>
      <c r="D181" s="602"/>
      <c r="E181" s="602"/>
      <c r="F181" s="602"/>
      <c r="G181" s="602"/>
      <c r="H181" s="602"/>
      <c r="I181" s="602"/>
      <c r="J181" s="602"/>
      <c r="K181" s="602"/>
      <c r="L181" s="602"/>
      <c r="M181" s="602"/>
      <c r="N181" s="602"/>
      <c r="O181" s="602"/>
      <c r="P181" s="602"/>
      <c r="Q181" s="602"/>
      <c r="R181" s="602"/>
      <c r="S181" s="602"/>
      <c r="T181" s="602"/>
      <c r="U181" s="602"/>
      <c r="V181" s="602"/>
      <c r="W181" s="602"/>
      <c r="X181" s="602"/>
      <c r="Y181" s="602"/>
      <c r="Z181" s="602"/>
    </row>
    <row r="182" spans="1:26" ht="15.75" customHeight="1">
      <c r="A182" s="602"/>
      <c r="B182" s="602"/>
      <c r="C182" s="602"/>
      <c r="D182" s="602"/>
      <c r="E182" s="602"/>
      <c r="F182" s="602"/>
      <c r="G182" s="602"/>
      <c r="H182" s="602"/>
      <c r="I182" s="602"/>
      <c r="J182" s="602"/>
      <c r="K182" s="602"/>
      <c r="L182" s="602"/>
      <c r="M182" s="602"/>
      <c r="N182" s="602"/>
      <c r="O182" s="602"/>
      <c r="P182" s="602"/>
      <c r="Q182" s="602"/>
      <c r="R182" s="602"/>
      <c r="S182" s="602"/>
      <c r="T182" s="602"/>
      <c r="U182" s="602"/>
      <c r="V182" s="602"/>
      <c r="W182" s="602"/>
      <c r="X182" s="602"/>
      <c r="Y182" s="602"/>
      <c r="Z182" s="602"/>
    </row>
    <row r="183" spans="1:26" ht="15.75" customHeight="1">
      <c r="A183" s="602"/>
      <c r="B183" s="602"/>
      <c r="C183" s="602"/>
      <c r="D183" s="602"/>
      <c r="E183" s="602"/>
      <c r="F183" s="602"/>
      <c r="G183" s="602"/>
      <c r="H183" s="602"/>
      <c r="I183" s="602"/>
      <c r="J183" s="602"/>
      <c r="K183" s="602"/>
      <c r="L183" s="602"/>
      <c r="M183" s="602"/>
      <c r="N183" s="602"/>
      <c r="O183" s="602"/>
      <c r="P183" s="602"/>
      <c r="Q183" s="602"/>
      <c r="R183" s="602"/>
      <c r="S183" s="602"/>
      <c r="T183" s="602"/>
      <c r="U183" s="602"/>
      <c r="V183" s="602"/>
      <c r="W183" s="602"/>
      <c r="X183" s="602"/>
      <c r="Y183" s="602"/>
      <c r="Z183" s="602"/>
    </row>
    <row r="184" spans="1:26" ht="15.75" customHeight="1">
      <c r="A184" s="602"/>
      <c r="B184" s="602"/>
      <c r="C184" s="602"/>
      <c r="D184" s="602"/>
      <c r="E184" s="602"/>
      <c r="F184" s="602"/>
      <c r="G184" s="602"/>
      <c r="H184" s="602"/>
      <c r="I184" s="602"/>
      <c r="J184" s="602"/>
      <c r="K184" s="602"/>
      <c r="L184" s="602"/>
      <c r="M184" s="602"/>
      <c r="N184" s="602"/>
      <c r="O184" s="602"/>
      <c r="P184" s="602"/>
      <c r="Q184" s="602"/>
      <c r="R184" s="602"/>
      <c r="S184" s="602"/>
      <c r="T184" s="602"/>
      <c r="U184" s="602"/>
      <c r="V184" s="602"/>
      <c r="W184" s="602"/>
      <c r="X184" s="602"/>
      <c r="Y184" s="602"/>
      <c r="Z184" s="602"/>
    </row>
    <row r="185" spans="1:26" ht="15.75" customHeight="1">
      <c r="A185" s="602"/>
      <c r="B185" s="602"/>
      <c r="C185" s="602"/>
      <c r="D185" s="602"/>
      <c r="E185" s="602"/>
      <c r="F185" s="602"/>
      <c r="G185" s="602"/>
      <c r="H185" s="602"/>
      <c r="I185" s="602"/>
      <c r="J185" s="602"/>
      <c r="K185" s="602"/>
      <c r="L185" s="602"/>
      <c r="M185" s="602"/>
      <c r="N185" s="602"/>
      <c r="O185" s="602"/>
      <c r="P185" s="602"/>
      <c r="Q185" s="602"/>
      <c r="R185" s="602"/>
      <c r="S185" s="602"/>
      <c r="T185" s="602"/>
      <c r="U185" s="602"/>
      <c r="V185" s="602"/>
      <c r="W185" s="602"/>
      <c r="X185" s="602"/>
      <c r="Y185" s="602"/>
      <c r="Z185" s="602"/>
    </row>
    <row r="186" spans="1:26" ht="15.75" customHeight="1">
      <c r="A186" s="602"/>
      <c r="B186" s="602"/>
      <c r="C186" s="602"/>
      <c r="D186" s="602"/>
      <c r="E186" s="602"/>
      <c r="F186" s="602"/>
      <c r="G186" s="602"/>
      <c r="H186" s="602"/>
      <c r="I186" s="602"/>
      <c r="J186" s="602"/>
      <c r="K186" s="602"/>
      <c r="L186" s="602"/>
      <c r="M186" s="602"/>
      <c r="N186" s="602"/>
      <c r="O186" s="602"/>
      <c r="P186" s="602"/>
      <c r="Q186" s="602"/>
      <c r="R186" s="602"/>
      <c r="S186" s="602"/>
      <c r="T186" s="602"/>
      <c r="U186" s="602"/>
      <c r="V186" s="602"/>
      <c r="W186" s="602"/>
      <c r="X186" s="602"/>
      <c r="Y186" s="602"/>
      <c r="Z186" s="602"/>
    </row>
    <row r="187" spans="1:26" ht="15.75" customHeight="1">
      <c r="A187" s="602"/>
      <c r="B187" s="602"/>
      <c r="C187" s="602"/>
      <c r="D187" s="602"/>
      <c r="E187" s="602"/>
      <c r="F187" s="602"/>
      <c r="G187" s="602"/>
      <c r="H187" s="602"/>
      <c r="I187" s="602"/>
      <c r="J187" s="602"/>
      <c r="K187" s="602"/>
      <c r="L187" s="602"/>
      <c r="M187" s="602"/>
      <c r="N187" s="602"/>
      <c r="O187" s="602"/>
      <c r="P187" s="602"/>
      <c r="Q187" s="602"/>
      <c r="R187" s="602"/>
      <c r="S187" s="602"/>
      <c r="T187" s="602"/>
      <c r="U187" s="602"/>
      <c r="V187" s="602"/>
      <c r="W187" s="602"/>
      <c r="X187" s="602"/>
      <c r="Y187" s="602"/>
      <c r="Z187" s="602"/>
    </row>
    <row r="188" spans="1:26" ht="15.75" customHeight="1">
      <c r="A188" s="602"/>
      <c r="B188" s="602"/>
      <c r="C188" s="602"/>
      <c r="D188" s="602"/>
      <c r="E188" s="602"/>
      <c r="F188" s="602"/>
      <c r="G188" s="602"/>
      <c r="H188" s="602"/>
      <c r="I188" s="602"/>
      <c r="J188" s="602"/>
      <c r="K188" s="602"/>
      <c r="L188" s="602"/>
      <c r="M188" s="602"/>
      <c r="N188" s="602"/>
      <c r="O188" s="602"/>
      <c r="P188" s="602"/>
      <c r="Q188" s="602"/>
      <c r="R188" s="602"/>
      <c r="S188" s="602"/>
      <c r="T188" s="602"/>
      <c r="U188" s="602"/>
      <c r="V188" s="602"/>
      <c r="W188" s="602"/>
      <c r="X188" s="602"/>
      <c r="Y188" s="602"/>
      <c r="Z188" s="602"/>
    </row>
    <row r="189" spans="1:26" ht="15.75" customHeight="1">
      <c r="A189" s="602"/>
      <c r="B189" s="602"/>
      <c r="C189" s="602"/>
      <c r="D189" s="602"/>
      <c r="E189" s="602"/>
      <c r="F189" s="602"/>
      <c r="G189" s="602"/>
      <c r="H189" s="602"/>
      <c r="I189" s="602"/>
      <c r="J189" s="602"/>
      <c r="K189" s="602"/>
      <c r="L189" s="602"/>
      <c r="M189" s="602"/>
      <c r="N189" s="602"/>
      <c r="O189" s="602"/>
      <c r="P189" s="602"/>
      <c r="Q189" s="602"/>
      <c r="R189" s="602"/>
      <c r="S189" s="602"/>
      <c r="T189" s="602"/>
      <c r="U189" s="602"/>
      <c r="V189" s="602"/>
      <c r="W189" s="602"/>
      <c r="X189" s="602"/>
      <c r="Y189" s="602"/>
      <c r="Z189" s="602"/>
    </row>
    <row r="190" spans="1:26" ht="15.75" customHeight="1">
      <c r="A190" s="602"/>
      <c r="B190" s="602"/>
      <c r="C190" s="602"/>
      <c r="D190" s="602"/>
      <c r="E190" s="602"/>
      <c r="F190" s="602"/>
      <c r="G190" s="602"/>
      <c r="H190" s="602"/>
      <c r="I190" s="602"/>
      <c r="J190" s="602"/>
      <c r="K190" s="602"/>
      <c r="L190" s="602"/>
      <c r="M190" s="602"/>
      <c r="N190" s="602"/>
      <c r="O190" s="602"/>
      <c r="P190" s="602"/>
      <c r="Q190" s="602"/>
      <c r="R190" s="602"/>
      <c r="S190" s="602"/>
      <c r="T190" s="602"/>
      <c r="U190" s="602"/>
      <c r="V190" s="602"/>
      <c r="W190" s="602"/>
      <c r="X190" s="602"/>
      <c r="Y190" s="602"/>
      <c r="Z190" s="602"/>
    </row>
    <row r="191" spans="1:26" ht="15.75" customHeight="1">
      <c r="A191" s="602"/>
      <c r="B191" s="602"/>
      <c r="C191" s="602"/>
      <c r="D191" s="602"/>
      <c r="E191" s="602"/>
      <c r="F191" s="602"/>
      <c r="G191" s="602"/>
      <c r="H191" s="602"/>
      <c r="I191" s="602"/>
      <c r="J191" s="602"/>
      <c r="K191" s="602"/>
      <c r="L191" s="602"/>
      <c r="M191" s="602"/>
      <c r="N191" s="602"/>
      <c r="O191" s="602"/>
      <c r="P191" s="602"/>
      <c r="Q191" s="602"/>
      <c r="R191" s="602"/>
      <c r="S191" s="602"/>
      <c r="T191" s="602"/>
      <c r="U191" s="602"/>
      <c r="V191" s="602"/>
      <c r="W191" s="602"/>
      <c r="X191" s="602"/>
      <c r="Y191" s="602"/>
      <c r="Z191" s="602"/>
    </row>
    <row r="192" spans="1:26" ht="15.75" customHeight="1">
      <c r="A192" s="602"/>
      <c r="B192" s="602"/>
      <c r="C192" s="602"/>
      <c r="D192" s="602"/>
      <c r="E192" s="602"/>
      <c r="F192" s="602"/>
      <c r="G192" s="602"/>
      <c r="H192" s="602"/>
      <c r="I192" s="602"/>
      <c r="J192" s="602"/>
      <c r="K192" s="602"/>
      <c r="L192" s="602"/>
      <c r="M192" s="602"/>
      <c r="N192" s="602"/>
      <c r="O192" s="602"/>
      <c r="P192" s="602"/>
      <c r="Q192" s="602"/>
      <c r="R192" s="602"/>
      <c r="S192" s="602"/>
      <c r="T192" s="602"/>
      <c r="U192" s="602"/>
      <c r="V192" s="602"/>
      <c r="W192" s="602"/>
      <c r="X192" s="602"/>
      <c r="Y192" s="602"/>
      <c r="Z192" s="602"/>
    </row>
    <row r="193" spans="1:26" ht="15.75" customHeight="1">
      <c r="A193" s="602"/>
      <c r="B193" s="602"/>
      <c r="C193" s="602"/>
      <c r="D193" s="602"/>
      <c r="E193" s="602"/>
      <c r="F193" s="602"/>
      <c r="G193" s="602"/>
      <c r="H193" s="602"/>
      <c r="I193" s="602"/>
      <c r="J193" s="602"/>
      <c r="K193" s="602"/>
      <c r="L193" s="602"/>
      <c r="M193" s="602"/>
      <c r="N193" s="602"/>
      <c r="O193" s="602"/>
      <c r="P193" s="602"/>
      <c r="Q193" s="602"/>
      <c r="R193" s="602"/>
      <c r="S193" s="602"/>
      <c r="T193" s="602"/>
      <c r="U193" s="602"/>
      <c r="V193" s="602"/>
      <c r="W193" s="602"/>
      <c r="X193" s="602"/>
      <c r="Y193" s="602"/>
      <c r="Z193" s="602"/>
    </row>
    <row r="194" spans="1:26" ht="15.75" customHeight="1">
      <c r="A194" s="602"/>
      <c r="B194" s="602"/>
      <c r="C194" s="602"/>
      <c r="D194" s="602"/>
      <c r="E194" s="602"/>
      <c r="F194" s="602"/>
      <c r="G194" s="602"/>
      <c r="H194" s="602"/>
      <c r="I194" s="602"/>
      <c r="J194" s="602"/>
      <c r="K194" s="602"/>
      <c r="L194" s="602"/>
      <c r="M194" s="602"/>
      <c r="N194" s="602"/>
      <c r="O194" s="602"/>
      <c r="P194" s="602"/>
      <c r="Q194" s="602"/>
      <c r="R194" s="602"/>
      <c r="S194" s="602"/>
      <c r="T194" s="602"/>
      <c r="U194" s="602"/>
      <c r="V194" s="602"/>
      <c r="W194" s="602"/>
      <c r="X194" s="602"/>
      <c r="Y194" s="602"/>
      <c r="Z194" s="602"/>
    </row>
    <row r="195" spans="1:26" ht="15.75" customHeight="1">
      <c r="A195" s="602"/>
      <c r="B195" s="602"/>
      <c r="C195" s="602"/>
      <c r="D195" s="602"/>
      <c r="E195" s="602"/>
      <c r="F195" s="602"/>
      <c r="G195" s="602"/>
      <c r="H195" s="602"/>
      <c r="I195" s="602"/>
      <c r="J195" s="602"/>
      <c r="K195" s="602"/>
      <c r="L195" s="602"/>
      <c r="M195" s="602"/>
      <c r="N195" s="602"/>
      <c r="O195" s="602"/>
      <c r="P195" s="602"/>
      <c r="Q195" s="602"/>
      <c r="R195" s="602"/>
      <c r="S195" s="602"/>
      <c r="T195" s="602"/>
      <c r="U195" s="602"/>
      <c r="V195" s="602"/>
      <c r="W195" s="602"/>
      <c r="X195" s="602"/>
      <c r="Y195" s="602"/>
      <c r="Z195" s="602"/>
    </row>
    <row r="196" spans="1:26" ht="15.75" customHeight="1">
      <c r="A196" s="602"/>
      <c r="B196" s="602"/>
      <c r="C196" s="602"/>
      <c r="D196" s="602"/>
      <c r="E196" s="602"/>
      <c r="F196" s="602"/>
      <c r="G196" s="602"/>
      <c r="H196" s="602"/>
      <c r="I196" s="602"/>
      <c r="J196" s="602"/>
      <c r="K196" s="602"/>
      <c r="L196" s="602"/>
      <c r="M196" s="602"/>
      <c r="N196" s="602"/>
      <c r="O196" s="602"/>
      <c r="P196" s="602"/>
      <c r="Q196" s="602"/>
      <c r="R196" s="602"/>
      <c r="S196" s="602"/>
      <c r="T196" s="602"/>
      <c r="U196" s="602"/>
      <c r="V196" s="602"/>
      <c r="W196" s="602"/>
      <c r="X196" s="602"/>
      <c r="Y196" s="602"/>
      <c r="Z196" s="602"/>
    </row>
    <row r="197" spans="1:26" ht="15.75" customHeight="1">
      <c r="A197" s="602"/>
      <c r="B197" s="602"/>
      <c r="C197" s="602"/>
      <c r="D197" s="602"/>
      <c r="E197" s="602"/>
      <c r="F197" s="602"/>
      <c r="G197" s="602"/>
      <c r="H197" s="602"/>
      <c r="I197" s="602"/>
      <c r="J197" s="602"/>
      <c r="K197" s="602"/>
      <c r="L197" s="602"/>
      <c r="M197" s="602"/>
      <c r="N197" s="602"/>
      <c r="O197" s="602"/>
      <c r="P197" s="602"/>
      <c r="Q197" s="602"/>
      <c r="R197" s="602"/>
      <c r="S197" s="602"/>
      <c r="T197" s="602"/>
      <c r="U197" s="602"/>
      <c r="V197" s="602"/>
      <c r="W197" s="602"/>
      <c r="X197" s="602"/>
      <c r="Y197" s="602"/>
      <c r="Z197" s="602"/>
    </row>
    <row r="198" spans="1:26" ht="15.75" customHeight="1">
      <c r="A198" s="602"/>
      <c r="B198" s="602"/>
      <c r="C198" s="602"/>
      <c r="D198" s="602"/>
      <c r="E198" s="602"/>
      <c r="F198" s="602"/>
      <c r="G198" s="602"/>
      <c r="H198" s="602"/>
      <c r="I198" s="602"/>
      <c r="J198" s="602"/>
      <c r="K198" s="602"/>
      <c r="L198" s="602"/>
      <c r="M198" s="602"/>
      <c r="N198" s="602"/>
      <c r="O198" s="602"/>
      <c r="P198" s="602"/>
      <c r="Q198" s="602"/>
      <c r="R198" s="602"/>
      <c r="S198" s="602"/>
      <c r="T198" s="602"/>
      <c r="U198" s="602"/>
      <c r="V198" s="602"/>
      <c r="W198" s="602"/>
      <c r="X198" s="602"/>
      <c r="Y198" s="602"/>
      <c r="Z198" s="602"/>
    </row>
    <row r="199" spans="1:26" ht="15.75" customHeight="1">
      <c r="A199" s="602"/>
      <c r="B199" s="602"/>
      <c r="C199" s="602"/>
      <c r="D199" s="602"/>
      <c r="E199" s="602"/>
      <c r="F199" s="602"/>
      <c r="G199" s="602"/>
      <c r="H199" s="602"/>
      <c r="I199" s="602"/>
      <c r="J199" s="602"/>
      <c r="K199" s="602"/>
      <c r="L199" s="602"/>
      <c r="M199" s="602"/>
      <c r="N199" s="602"/>
      <c r="O199" s="602"/>
      <c r="P199" s="602"/>
      <c r="Q199" s="602"/>
      <c r="R199" s="602"/>
      <c r="S199" s="602"/>
      <c r="T199" s="602"/>
      <c r="U199" s="602"/>
      <c r="V199" s="602"/>
      <c r="W199" s="602"/>
      <c r="X199" s="602"/>
      <c r="Y199" s="602"/>
      <c r="Z199" s="602"/>
    </row>
    <row r="200" spans="1:26" ht="15.75" customHeight="1">
      <c r="A200" s="602"/>
      <c r="B200" s="602"/>
      <c r="C200" s="602"/>
      <c r="D200" s="602"/>
      <c r="E200" s="602"/>
      <c r="F200" s="602"/>
      <c r="G200" s="602"/>
      <c r="H200" s="602"/>
      <c r="I200" s="602"/>
      <c r="J200" s="602"/>
      <c r="K200" s="602"/>
      <c r="L200" s="602"/>
      <c r="M200" s="602"/>
      <c r="N200" s="602"/>
      <c r="O200" s="602"/>
      <c r="P200" s="602"/>
      <c r="Q200" s="602"/>
      <c r="R200" s="602"/>
      <c r="S200" s="602"/>
      <c r="T200" s="602"/>
      <c r="U200" s="602"/>
      <c r="V200" s="602"/>
      <c r="W200" s="602"/>
      <c r="X200" s="602"/>
      <c r="Y200" s="602"/>
      <c r="Z200" s="602"/>
    </row>
    <row r="201" spans="1:26" ht="15.75" customHeight="1">
      <c r="A201" s="602"/>
      <c r="B201" s="602"/>
      <c r="C201" s="602"/>
      <c r="D201" s="602"/>
      <c r="E201" s="602"/>
      <c r="F201" s="602"/>
      <c r="G201" s="602"/>
      <c r="H201" s="602"/>
      <c r="I201" s="602"/>
      <c r="J201" s="602"/>
      <c r="K201" s="602"/>
      <c r="L201" s="602"/>
      <c r="M201" s="602"/>
      <c r="N201" s="602"/>
      <c r="O201" s="602"/>
      <c r="P201" s="602"/>
      <c r="Q201" s="602"/>
      <c r="R201" s="602"/>
      <c r="S201" s="602"/>
      <c r="T201" s="602"/>
      <c r="U201" s="602"/>
      <c r="V201" s="602"/>
      <c r="W201" s="602"/>
      <c r="X201" s="602"/>
      <c r="Y201" s="602"/>
      <c r="Z201" s="602"/>
    </row>
    <row r="202" spans="1:26" ht="15.75" customHeight="1">
      <c r="A202" s="602"/>
      <c r="B202" s="602"/>
      <c r="C202" s="602"/>
      <c r="D202" s="602"/>
      <c r="E202" s="602"/>
      <c r="F202" s="602"/>
      <c r="G202" s="602"/>
      <c r="H202" s="602"/>
      <c r="I202" s="602"/>
      <c r="J202" s="602"/>
      <c r="K202" s="602"/>
      <c r="L202" s="602"/>
      <c r="M202" s="602"/>
      <c r="N202" s="602"/>
      <c r="O202" s="602"/>
      <c r="P202" s="602"/>
      <c r="Q202" s="602"/>
      <c r="R202" s="602"/>
      <c r="S202" s="602"/>
      <c r="T202" s="602"/>
      <c r="U202" s="602"/>
      <c r="V202" s="602"/>
      <c r="W202" s="602"/>
      <c r="X202" s="602"/>
      <c r="Y202" s="602"/>
      <c r="Z202" s="602"/>
    </row>
    <row r="203" spans="1:26" ht="15.75" customHeight="1">
      <c r="A203" s="602"/>
      <c r="B203" s="602"/>
      <c r="C203" s="602"/>
      <c r="D203" s="602"/>
      <c r="E203" s="602"/>
      <c r="F203" s="602"/>
      <c r="G203" s="602"/>
      <c r="H203" s="602"/>
      <c r="I203" s="602"/>
      <c r="J203" s="602"/>
      <c r="K203" s="602"/>
      <c r="L203" s="602"/>
      <c r="M203" s="602"/>
      <c r="N203" s="602"/>
      <c r="O203" s="602"/>
      <c r="P203" s="602"/>
      <c r="Q203" s="602"/>
      <c r="R203" s="602"/>
      <c r="S203" s="602"/>
      <c r="T203" s="602"/>
      <c r="U203" s="602"/>
      <c r="V203" s="602"/>
      <c r="W203" s="602"/>
      <c r="X203" s="602"/>
      <c r="Y203" s="602"/>
      <c r="Z203" s="602"/>
    </row>
    <row r="204" spans="1:26" ht="15.75" customHeight="1">
      <c r="A204" s="602"/>
      <c r="B204" s="602"/>
      <c r="C204" s="602"/>
      <c r="D204" s="602"/>
      <c r="E204" s="602"/>
      <c r="F204" s="602"/>
      <c r="G204" s="602"/>
      <c r="H204" s="602"/>
      <c r="I204" s="602"/>
      <c r="J204" s="602"/>
      <c r="K204" s="602"/>
      <c r="L204" s="602"/>
      <c r="M204" s="602"/>
      <c r="N204" s="602"/>
      <c r="O204" s="602"/>
      <c r="P204" s="602"/>
      <c r="Q204" s="602"/>
      <c r="R204" s="602"/>
      <c r="S204" s="602"/>
      <c r="T204" s="602"/>
      <c r="U204" s="602"/>
      <c r="V204" s="602"/>
      <c r="W204" s="602"/>
      <c r="X204" s="602"/>
      <c r="Y204" s="602"/>
      <c r="Z204" s="602"/>
    </row>
    <row r="205" spans="1:26" ht="15.75" customHeight="1">
      <c r="A205" s="602"/>
      <c r="B205" s="602"/>
      <c r="C205" s="602"/>
      <c r="D205" s="602"/>
      <c r="E205" s="602"/>
      <c r="F205" s="602"/>
      <c r="G205" s="602"/>
      <c r="H205" s="602"/>
      <c r="I205" s="602"/>
      <c r="J205" s="602"/>
      <c r="K205" s="602"/>
      <c r="L205" s="602"/>
      <c r="M205" s="602"/>
      <c r="N205" s="602"/>
      <c r="O205" s="602"/>
      <c r="P205" s="602"/>
      <c r="Q205" s="602"/>
      <c r="R205" s="602"/>
      <c r="S205" s="602"/>
      <c r="T205" s="602"/>
      <c r="U205" s="602"/>
      <c r="V205" s="602"/>
      <c r="W205" s="602"/>
      <c r="X205" s="602"/>
      <c r="Y205" s="602"/>
      <c r="Z205" s="602"/>
    </row>
    <row r="206" spans="1:26" ht="15.75" customHeight="1">
      <c r="A206" s="602"/>
      <c r="B206" s="602"/>
      <c r="C206" s="602"/>
      <c r="D206" s="602"/>
      <c r="E206" s="602"/>
      <c r="F206" s="602"/>
      <c r="G206" s="602"/>
      <c r="H206" s="602"/>
      <c r="I206" s="602"/>
      <c r="J206" s="602"/>
      <c r="K206" s="602"/>
      <c r="L206" s="602"/>
      <c r="M206" s="602"/>
      <c r="N206" s="602"/>
      <c r="O206" s="602"/>
      <c r="P206" s="602"/>
      <c r="Q206" s="602"/>
      <c r="R206" s="602"/>
      <c r="S206" s="602"/>
      <c r="T206" s="602"/>
      <c r="U206" s="602"/>
      <c r="V206" s="602"/>
      <c r="W206" s="602"/>
      <c r="X206" s="602"/>
      <c r="Y206" s="602"/>
      <c r="Z206" s="602"/>
    </row>
    <row r="207" spans="1:26" ht="15.75" customHeight="1">
      <c r="A207" s="602"/>
      <c r="B207" s="602"/>
      <c r="C207" s="602"/>
      <c r="D207" s="602"/>
      <c r="E207" s="602"/>
      <c r="F207" s="602"/>
      <c r="G207" s="602"/>
      <c r="H207" s="602"/>
      <c r="I207" s="602"/>
      <c r="J207" s="602"/>
      <c r="K207" s="602"/>
      <c r="L207" s="602"/>
      <c r="M207" s="602"/>
      <c r="N207" s="602"/>
      <c r="O207" s="602"/>
      <c r="P207" s="602"/>
      <c r="Q207" s="602"/>
      <c r="R207" s="602"/>
      <c r="S207" s="602"/>
      <c r="T207" s="602"/>
      <c r="U207" s="602"/>
      <c r="V207" s="602"/>
      <c r="W207" s="602"/>
      <c r="X207" s="602"/>
      <c r="Y207" s="602"/>
      <c r="Z207" s="602"/>
    </row>
    <row r="208" spans="1:26" ht="15.75" customHeight="1">
      <c r="A208" s="602"/>
      <c r="B208" s="602"/>
      <c r="C208" s="602"/>
      <c r="D208" s="602"/>
      <c r="E208" s="602"/>
      <c r="F208" s="602"/>
      <c r="G208" s="602"/>
      <c r="H208" s="602"/>
      <c r="I208" s="602"/>
      <c r="J208" s="602"/>
      <c r="K208" s="602"/>
      <c r="L208" s="602"/>
      <c r="M208" s="602"/>
      <c r="N208" s="602"/>
      <c r="O208" s="602"/>
      <c r="P208" s="602"/>
      <c r="Q208" s="602"/>
      <c r="R208" s="602"/>
      <c r="S208" s="602"/>
      <c r="T208" s="602"/>
      <c r="U208" s="602"/>
      <c r="V208" s="602"/>
      <c r="W208" s="602"/>
      <c r="X208" s="602"/>
      <c r="Y208" s="602"/>
      <c r="Z208" s="602"/>
    </row>
    <row r="209" spans="1:26" ht="15.75" customHeight="1">
      <c r="A209" s="602"/>
      <c r="B209" s="602"/>
      <c r="C209" s="602"/>
      <c r="D209" s="602"/>
      <c r="E209" s="602"/>
      <c r="F209" s="602"/>
      <c r="G209" s="602"/>
      <c r="H209" s="602"/>
      <c r="I209" s="602"/>
      <c r="J209" s="602"/>
      <c r="K209" s="602"/>
      <c r="L209" s="602"/>
      <c r="M209" s="602"/>
      <c r="N209" s="602"/>
      <c r="O209" s="602"/>
      <c r="P209" s="602"/>
      <c r="Q209" s="602"/>
      <c r="R209" s="602"/>
      <c r="S209" s="602"/>
      <c r="T209" s="602"/>
      <c r="U209" s="602"/>
      <c r="V209" s="602"/>
      <c r="W209" s="602"/>
      <c r="X209" s="602"/>
      <c r="Y209" s="602"/>
      <c r="Z209" s="602"/>
    </row>
    <row r="210" spans="1:26" ht="15.75" customHeight="1">
      <c r="A210" s="602"/>
      <c r="B210" s="602"/>
      <c r="C210" s="602"/>
      <c r="D210" s="602"/>
      <c r="E210" s="602"/>
      <c r="F210" s="602"/>
      <c r="G210" s="602"/>
      <c r="H210" s="602"/>
      <c r="I210" s="602"/>
      <c r="J210" s="602"/>
      <c r="K210" s="602"/>
      <c r="L210" s="602"/>
      <c r="M210" s="602"/>
      <c r="N210" s="602"/>
      <c r="O210" s="602"/>
      <c r="P210" s="602"/>
      <c r="Q210" s="602"/>
      <c r="R210" s="602"/>
      <c r="S210" s="602"/>
      <c r="T210" s="602"/>
      <c r="U210" s="602"/>
      <c r="V210" s="602"/>
      <c r="W210" s="602"/>
      <c r="X210" s="602"/>
      <c r="Y210" s="602"/>
      <c r="Z210" s="602"/>
    </row>
    <row r="211" spans="1:26" ht="15.75" customHeight="1">
      <c r="A211" s="602"/>
      <c r="B211" s="602"/>
      <c r="C211" s="602"/>
      <c r="D211" s="602"/>
      <c r="E211" s="602"/>
      <c r="F211" s="602"/>
      <c r="G211" s="602"/>
      <c r="H211" s="602"/>
      <c r="I211" s="602"/>
      <c r="J211" s="602"/>
      <c r="K211" s="602"/>
      <c r="L211" s="602"/>
      <c r="M211" s="602"/>
      <c r="N211" s="602"/>
      <c r="O211" s="602"/>
      <c r="P211" s="602"/>
      <c r="Q211" s="602"/>
      <c r="R211" s="602"/>
      <c r="S211" s="602"/>
      <c r="T211" s="602"/>
      <c r="U211" s="602"/>
      <c r="V211" s="602"/>
      <c r="W211" s="602"/>
      <c r="X211" s="602"/>
      <c r="Y211" s="602"/>
      <c r="Z211" s="602"/>
    </row>
    <row r="212" spans="1:26" ht="15.75" customHeight="1">
      <c r="A212" s="602"/>
      <c r="B212" s="602"/>
      <c r="C212" s="602"/>
      <c r="D212" s="602"/>
      <c r="E212" s="602"/>
      <c r="F212" s="602"/>
      <c r="G212" s="602"/>
      <c r="H212" s="602"/>
      <c r="I212" s="602"/>
      <c r="J212" s="602"/>
      <c r="K212" s="602"/>
      <c r="L212" s="602"/>
      <c r="M212" s="602"/>
      <c r="N212" s="602"/>
      <c r="O212" s="602"/>
      <c r="P212" s="602"/>
      <c r="Q212" s="602"/>
      <c r="R212" s="602"/>
      <c r="S212" s="602"/>
      <c r="T212" s="602"/>
      <c r="U212" s="602"/>
      <c r="V212" s="602"/>
      <c r="W212" s="602"/>
      <c r="X212" s="602"/>
      <c r="Y212" s="602"/>
      <c r="Z212" s="602"/>
    </row>
    <row r="213" spans="1:26" ht="15.75" customHeight="1">
      <c r="A213" s="602"/>
      <c r="B213" s="602"/>
      <c r="C213" s="602"/>
      <c r="D213" s="602"/>
      <c r="E213" s="602"/>
      <c r="F213" s="602"/>
      <c r="G213" s="602"/>
      <c r="H213" s="602"/>
      <c r="I213" s="602"/>
      <c r="J213" s="602"/>
      <c r="K213" s="602"/>
      <c r="L213" s="602"/>
      <c r="M213" s="602"/>
      <c r="N213" s="602"/>
      <c r="O213" s="602"/>
      <c r="P213" s="602"/>
      <c r="Q213" s="602"/>
      <c r="R213" s="602"/>
      <c r="S213" s="602"/>
      <c r="T213" s="602"/>
      <c r="U213" s="602"/>
      <c r="V213" s="602"/>
      <c r="W213" s="602"/>
      <c r="X213" s="602"/>
      <c r="Y213" s="602"/>
      <c r="Z213" s="602"/>
    </row>
    <row r="214" spans="1:26" ht="15.75" customHeight="1">
      <c r="A214" s="602"/>
      <c r="B214" s="602"/>
      <c r="C214" s="602"/>
      <c r="D214" s="602"/>
      <c r="E214" s="602"/>
      <c r="F214" s="602"/>
      <c r="G214" s="602"/>
      <c r="H214" s="602"/>
      <c r="I214" s="602"/>
      <c r="J214" s="602"/>
      <c r="K214" s="602"/>
      <c r="L214" s="602"/>
      <c r="M214" s="602"/>
      <c r="N214" s="602"/>
      <c r="O214" s="602"/>
      <c r="P214" s="602"/>
      <c r="Q214" s="602"/>
      <c r="R214" s="602"/>
      <c r="S214" s="602"/>
      <c r="T214" s="602"/>
      <c r="U214" s="602"/>
      <c r="V214" s="602"/>
      <c r="W214" s="602"/>
      <c r="X214" s="602"/>
      <c r="Y214" s="602"/>
      <c r="Z214" s="602"/>
    </row>
    <row r="215" spans="1:26" ht="15.75" customHeight="1">
      <c r="A215" s="602"/>
      <c r="B215" s="602"/>
      <c r="C215" s="602"/>
      <c r="D215" s="602"/>
      <c r="E215" s="602"/>
      <c r="F215" s="602"/>
      <c r="G215" s="602"/>
      <c r="H215" s="602"/>
      <c r="I215" s="602"/>
      <c r="J215" s="602"/>
      <c r="K215" s="602"/>
      <c r="L215" s="602"/>
      <c r="M215" s="602"/>
      <c r="N215" s="602"/>
      <c r="O215" s="602"/>
      <c r="P215" s="602"/>
      <c r="Q215" s="602"/>
      <c r="R215" s="602"/>
      <c r="S215" s="602"/>
      <c r="T215" s="602"/>
      <c r="U215" s="602"/>
      <c r="V215" s="602"/>
      <c r="W215" s="602"/>
      <c r="X215" s="602"/>
      <c r="Y215" s="602"/>
      <c r="Z215" s="602"/>
    </row>
    <row r="216" spans="1:26" ht="15.75" customHeight="1">
      <c r="A216" s="602"/>
      <c r="B216" s="602"/>
      <c r="C216" s="602"/>
      <c r="D216" s="602"/>
      <c r="E216" s="602"/>
      <c r="F216" s="602"/>
      <c r="G216" s="602"/>
      <c r="H216" s="602"/>
      <c r="I216" s="602"/>
      <c r="J216" s="602"/>
      <c r="K216" s="602"/>
      <c r="L216" s="602"/>
      <c r="M216" s="602"/>
      <c r="N216" s="602"/>
      <c r="O216" s="602"/>
      <c r="P216" s="602"/>
      <c r="Q216" s="602"/>
      <c r="R216" s="602"/>
      <c r="S216" s="602"/>
      <c r="T216" s="602"/>
      <c r="U216" s="602"/>
      <c r="V216" s="602"/>
      <c r="W216" s="602"/>
      <c r="X216" s="602"/>
      <c r="Y216" s="602"/>
      <c r="Z216" s="602"/>
    </row>
    <row r="217" spans="1:26" ht="15.75" customHeight="1">
      <c r="A217" s="602"/>
      <c r="B217" s="602"/>
      <c r="C217" s="602"/>
      <c r="D217" s="602"/>
      <c r="E217" s="602"/>
      <c r="F217" s="602"/>
      <c r="G217" s="602"/>
      <c r="H217" s="602"/>
      <c r="I217" s="602"/>
      <c r="J217" s="602"/>
      <c r="K217" s="602"/>
      <c r="L217" s="602"/>
      <c r="M217" s="602"/>
      <c r="N217" s="602"/>
      <c r="O217" s="602"/>
      <c r="P217" s="602"/>
      <c r="Q217" s="602"/>
      <c r="R217" s="602"/>
      <c r="S217" s="602"/>
      <c r="T217" s="602"/>
      <c r="U217" s="602"/>
      <c r="V217" s="602"/>
      <c r="W217" s="602"/>
      <c r="X217" s="602"/>
      <c r="Y217" s="602"/>
      <c r="Z217" s="602"/>
    </row>
    <row r="218" spans="1:26" ht="15.75" customHeight="1">
      <c r="A218" s="602"/>
      <c r="B218" s="602"/>
      <c r="C218" s="602"/>
      <c r="D218" s="602"/>
      <c r="E218" s="602"/>
      <c r="F218" s="602"/>
      <c r="G218" s="602"/>
      <c r="H218" s="602"/>
      <c r="I218" s="602"/>
      <c r="J218" s="602"/>
      <c r="K218" s="602"/>
      <c r="L218" s="602"/>
      <c r="M218" s="602"/>
      <c r="N218" s="602"/>
      <c r="O218" s="602"/>
      <c r="P218" s="602"/>
      <c r="Q218" s="602"/>
      <c r="R218" s="602"/>
      <c r="S218" s="602"/>
      <c r="T218" s="602"/>
      <c r="U218" s="602"/>
      <c r="V218" s="602"/>
      <c r="W218" s="602"/>
      <c r="X218" s="602"/>
      <c r="Y218" s="602"/>
      <c r="Z218" s="602"/>
    </row>
    <row r="219" spans="1:26" ht="15.75" customHeight="1">
      <c r="A219" s="602"/>
      <c r="B219" s="602"/>
      <c r="C219" s="602"/>
      <c r="D219" s="602"/>
      <c r="E219" s="602"/>
      <c r="F219" s="602"/>
      <c r="G219" s="602"/>
      <c r="H219" s="602"/>
      <c r="I219" s="602"/>
      <c r="J219" s="602"/>
      <c r="K219" s="602"/>
      <c r="L219" s="602"/>
      <c r="M219" s="602"/>
      <c r="N219" s="602"/>
      <c r="O219" s="602"/>
      <c r="P219" s="602"/>
      <c r="Q219" s="602"/>
      <c r="R219" s="602"/>
      <c r="S219" s="602"/>
      <c r="T219" s="602"/>
      <c r="U219" s="602"/>
      <c r="V219" s="602"/>
      <c r="W219" s="602"/>
      <c r="X219" s="602"/>
      <c r="Y219" s="602"/>
      <c r="Z219" s="602"/>
    </row>
    <row r="220" spans="1:26" ht="15.75" customHeight="1">
      <c r="A220" s="602"/>
      <c r="B220" s="602"/>
      <c r="C220" s="602"/>
      <c r="D220" s="602"/>
      <c r="E220" s="602"/>
      <c r="F220" s="602"/>
      <c r="G220" s="602"/>
      <c r="H220" s="602"/>
      <c r="I220" s="602"/>
      <c r="J220" s="602"/>
      <c r="K220" s="602"/>
      <c r="L220" s="602"/>
      <c r="M220" s="602"/>
      <c r="N220" s="602"/>
      <c r="O220" s="602"/>
      <c r="P220" s="602"/>
      <c r="Q220" s="602"/>
      <c r="R220" s="602"/>
      <c r="S220" s="602"/>
      <c r="T220" s="602"/>
      <c r="U220" s="602"/>
      <c r="V220" s="602"/>
      <c r="W220" s="602"/>
      <c r="X220" s="602"/>
      <c r="Y220" s="602"/>
      <c r="Z220" s="602"/>
    </row>
    <row r="221" spans="1:26" ht="15.75" customHeight="1">
      <c r="A221" s="602"/>
      <c r="B221" s="602"/>
      <c r="C221" s="602"/>
      <c r="D221" s="602"/>
      <c r="E221" s="602"/>
      <c r="F221" s="602"/>
      <c r="G221" s="602"/>
      <c r="H221" s="602"/>
      <c r="I221" s="602"/>
      <c r="J221" s="602"/>
      <c r="K221" s="602"/>
      <c r="L221" s="602"/>
      <c r="M221" s="602"/>
      <c r="N221" s="602"/>
      <c r="O221" s="602"/>
      <c r="P221" s="602"/>
      <c r="Q221" s="602"/>
      <c r="R221" s="602"/>
      <c r="S221" s="602"/>
      <c r="T221" s="602"/>
      <c r="U221" s="602"/>
      <c r="V221" s="602"/>
      <c r="W221" s="602"/>
      <c r="X221" s="602"/>
      <c r="Y221" s="602"/>
      <c r="Z221" s="602"/>
    </row>
    <row r="222" spans="1:26" ht="15.75" customHeight="1">
      <c r="A222" s="602"/>
      <c r="B222" s="602"/>
      <c r="C222" s="602"/>
      <c r="D222" s="602"/>
      <c r="E222" s="602"/>
      <c r="F222" s="602"/>
      <c r="G222" s="602"/>
      <c r="H222" s="602"/>
      <c r="I222" s="602"/>
      <c r="J222" s="602"/>
      <c r="K222" s="602"/>
      <c r="L222" s="602"/>
      <c r="M222" s="602"/>
      <c r="N222" s="602"/>
      <c r="O222" s="602"/>
      <c r="P222" s="602"/>
      <c r="Q222" s="602"/>
      <c r="R222" s="602"/>
      <c r="S222" s="602"/>
      <c r="T222" s="602"/>
      <c r="U222" s="602"/>
      <c r="V222" s="602"/>
      <c r="W222" s="602"/>
      <c r="X222" s="602"/>
      <c r="Y222" s="602"/>
      <c r="Z222" s="602"/>
    </row>
    <row r="223" spans="1:26" ht="15.75" customHeight="1">
      <c r="A223" s="602"/>
      <c r="B223" s="602"/>
      <c r="C223" s="602"/>
      <c r="D223" s="602"/>
      <c r="E223" s="602"/>
      <c r="F223" s="602"/>
      <c r="G223" s="602"/>
      <c r="H223" s="602"/>
      <c r="I223" s="602"/>
      <c r="J223" s="602"/>
      <c r="K223" s="602"/>
      <c r="L223" s="602"/>
      <c r="M223" s="602"/>
      <c r="N223" s="602"/>
      <c r="O223" s="602"/>
      <c r="P223" s="602"/>
      <c r="Q223" s="602"/>
      <c r="R223" s="602"/>
      <c r="S223" s="602"/>
      <c r="T223" s="602"/>
      <c r="U223" s="602"/>
      <c r="V223" s="602"/>
      <c r="W223" s="602"/>
      <c r="X223" s="602"/>
      <c r="Y223" s="602"/>
      <c r="Z223" s="602"/>
    </row>
    <row r="224" spans="1:26" ht="15.75" customHeight="1">
      <c r="A224" s="602"/>
      <c r="B224" s="602"/>
      <c r="C224" s="602"/>
      <c r="D224" s="602"/>
      <c r="E224" s="602"/>
      <c r="F224" s="602"/>
      <c r="G224" s="602"/>
      <c r="H224" s="602"/>
      <c r="I224" s="602"/>
      <c r="J224" s="602"/>
      <c r="K224" s="602"/>
      <c r="L224" s="602"/>
      <c r="M224" s="602"/>
      <c r="N224" s="602"/>
      <c r="O224" s="602"/>
      <c r="P224" s="602"/>
      <c r="Q224" s="602"/>
      <c r="R224" s="602"/>
      <c r="S224" s="602"/>
      <c r="T224" s="602"/>
      <c r="U224" s="602"/>
      <c r="V224" s="602"/>
      <c r="W224" s="602"/>
      <c r="X224" s="602"/>
      <c r="Y224" s="602"/>
      <c r="Z224" s="602"/>
    </row>
    <row r="225" spans="1:26" ht="15.75" customHeight="1">
      <c r="A225" s="602"/>
      <c r="B225" s="602"/>
      <c r="C225" s="602"/>
      <c r="D225" s="602"/>
      <c r="E225" s="602"/>
      <c r="F225" s="602"/>
      <c r="G225" s="602"/>
      <c r="H225" s="602"/>
      <c r="I225" s="602"/>
      <c r="J225" s="602"/>
      <c r="K225" s="602"/>
      <c r="L225" s="602"/>
      <c r="M225" s="602"/>
      <c r="N225" s="602"/>
      <c r="O225" s="602"/>
      <c r="P225" s="602"/>
      <c r="Q225" s="602"/>
      <c r="R225" s="602"/>
      <c r="S225" s="602"/>
      <c r="T225" s="602"/>
      <c r="U225" s="602"/>
      <c r="V225" s="602"/>
      <c r="W225" s="602"/>
      <c r="X225" s="602"/>
      <c r="Y225" s="602"/>
      <c r="Z225" s="602"/>
    </row>
    <row r="226" spans="1:26" ht="15.75" customHeight="1">
      <c r="A226" s="602"/>
      <c r="B226" s="602"/>
      <c r="C226" s="602"/>
      <c r="D226" s="602"/>
      <c r="E226" s="602"/>
      <c r="F226" s="602"/>
      <c r="G226" s="602"/>
      <c r="H226" s="602"/>
      <c r="I226" s="602"/>
      <c r="J226" s="602"/>
      <c r="K226" s="602"/>
      <c r="L226" s="602"/>
      <c r="M226" s="602"/>
      <c r="N226" s="602"/>
      <c r="O226" s="602"/>
      <c r="P226" s="602"/>
      <c r="Q226" s="602"/>
      <c r="R226" s="602"/>
      <c r="S226" s="602"/>
      <c r="T226" s="602"/>
      <c r="U226" s="602"/>
      <c r="V226" s="602"/>
      <c r="W226" s="602"/>
      <c r="X226" s="602"/>
      <c r="Y226" s="602"/>
      <c r="Z226" s="602"/>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7:D145" xr:uid="{00000000-0009-0000-0000-00000A000000}"/>
  <mergeCells count="372">
    <mergeCell ref="K97:L97"/>
    <mergeCell ref="M97:N97"/>
    <mergeCell ref="O97:P97"/>
    <mergeCell ref="G100:G102"/>
    <mergeCell ref="H100:H102"/>
    <mergeCell ref="G91:G92"/>
    <mergeCell ref="G104:G106"/>
    <mergeCell ref="G107:G109"/>
    <mergeCell ref="E86:E88"/>
    <mergeCell ref="J90:J107"/>
    <mergeCell ref="F91:F92"/>
    <mergeCell ref="H91:H92"/>
    <mergeCell ref="I91:I92"/>
    <mergeCell ref="I95:I96"/>
    <mergeCell ref="I100:I102"/>
    <mergeCell ref="F107:F109"/>
    <mergeCell ref="G97:G99"/>
    <mergeCell ref="G95:G96"/>
    <mergeCell ref="H95:H96"/>
    <mergeCell ref="J71:J88"/>
    <mergeCell ref="G89:G90"/>
    <mergeCell ref="H89:H90"/>
    <mergeCell ref="E89:E90"/>
    <mergeCell ref="E97:E99"/>
    <mergeCell ref="Q110:R110"/>
    <mergeCell ref="H104:H106"/>
    <mergeCell ref="I104:I106"/>
    <mergeCell ref="H107:H109"/>
    <mergeCell ref="I107:I109"/>
    <mergeCell ref="M107:N107"/>
    <mergeCell ref="O107:P107"/>
    <mergeCell ref="Q107:R107"/>
    <mergeCell ref="K103:L103"/>
    <mergeCell ref="K104:L104"/>
    <mergeCell ref="M104:N104"/>
    <mergeCell ref="O104:P104"/>
    <mergeCell ref="K107:L107"/>
    <mergeCell ref="B128:B145"/>
    <mergeCell ref="C128:C145"/>
    <mergeCell ref="B80:B102"/>
    <mergeCell ref="C80:C102"/>
    <mergeCell ref="E100:E102"/>
    <mergeCell ref="F100:F102"/>
    <mergeCell ref="B104:B126"/>
    <mergeCell ref="C104:C126"/>
    <mergeCell ref="F104:F106"/>
    <mergeCell ref="E134:E136"/>
    <mergeCell ref="E137:E138"/>
    <mergeCell ref="E139:E141"/>
    <mergeCell ref="E142:E143"/>
    <mergeCell ref="E144:E145"/>
    <mergeCell ref="F137:F138"/>
    <mergeCell ref="F139:F141"/>
    <mergeCell ref="F142:F143"/>
    <mergeCell ref="F144:F145"/>
    <mergeCell ref="E124:E126"/>
    <mergeCell ref="F124:F126"/>
    <mergeCell ref="E128:E130"/>
    <mergeCell ref="F128:F130"/>
    <mergeCell ref="E131:E133"/>
    <mergeCell ref="F131:F133"/>
    <mergeCell ref="F134:F136"/>
    <mergeCell ref="F62:F64"/>
    <mergeCell ref="E65:E66"/>
    <mergeCell ref="F65:F66"/>
    <mergeCell ref="E67:E68"/>
    <mergeCell ref="F67:F68"/>
    <mergeCell ref="E69:E70"/>
    <mergeCell ref="F69:F70"/>
    <mergeCell ref="E71:E72"/>
    <mergeCell ref="F71:F72"/>
    <mergeCell ref="E73:E75"/>
    <mergeCell ref="F73:F75"/>
    <mergeCell ref="F115:F116"/>
    <mergeCell ref="F117:F118"/>
    <mergeCell ref="F110:F112"/>
    <mergeCell ref="E110:E112"/>
    <mergeCell ref="E119:E120"/>
    <mergeCell ref="F119:F120"/>
    <mergeCell ref="E121:E123"/>
    <mergeCell ref="E113:E114"/>
    <mergeCell ref="E115:E116"/>
    <mergeCell ref="E117:E118"/>
    <mergeCell ref="B56:B78"/>
    <mergeCell ref="C56:C78"/>
    <mergeCell ref="E56:E58"/>
    <mergeCell ref="F56:F58"/>
    <mergeCell ref="F59:F61"/>
    <mergeCell ref="E104:E106"/>
    <mergeCell ref="E107:E109"/>
    <mergeCell ref="F97:F99"/>
    <mergeCell ref="F95:F96"/>
    <mergeCell ref="E62:E64"/>
    <mergeCell ref="E76:E78"/>
    <mergeCell ref="F76:F78"/>
    <mergeCell ref="E80:E82"/>
    <mergeCell ref="F80:F82"/>
    <mergeCell ref="E83:E85"/>
    <mergeCell ref="F83:F85"/>
    <mergeCell ref="F86:F88"/>
    <mergeCell ref="F89:F90"/>
    <mergeCell ref="E91:E92"/>
    <mergeCell ref="E93:E94"/>
    <mergeCell ref="F93:F94"/>
    <mergeCell ref="G110:G112"/>
    <mergeCell ref="F113:F114"/>
    <mergeCell ref="G113:G114"/>
    <mergeCell ref="G115:G116"/>
    <mergeCell ref="G117:G118"/>
    <mergeCell ref="H115:H116"/>
    <mergeCell ref="I115:I116"/>
    <mergeCell ref="M121:N121"/>
    <mergeCell ref="O121:P121"/>
    <mergeCell ref="H113:H114"/>
    <mergeCell ref="F121:F123"/>
    <mergeCell ref="K110:L110"/>
    <mergeCell ref="M110:N110"/>
    <mergeCell ref="O110:P110"/>
    <mergeCell ref="H117:H118"/>
    <mergeCell ref="I117:I118"/>
    <mergeCell ref="G119:G120"/>
    <mergeCell ref="H119:H120"/>
    <mergeCell ref="I119:I120"/>
    <mergeCell ref="G121:G123"/>
    <mergeCell ref="H121:H123"/>
    <mergeCell ref="Q134:R134"/>
    <mergeCell ref="I121:I123"/>
    <mergeCell ref="K121:L121"/>
    <mergeCell ref="G124:G126"/>
    <mergeCell ref="K127:L127"/>
    <mergeCell ref="K128:L128"/>
    <mergeCell ref="K131:L131"/>
    <mergeCell ref="K134:L134"/>
    <mergeCell ref="H134:H136"/>
    <mergeCell ref="G131:G133"/>
    <mergeCell ref="G134:G136"/>
    <mergeCell ref="M128:N128"/>
    <mergeCell ref="O128:P128"/>
    <mergeCell ref="M131:N131"/>
    <mergeCell ref="O131:P131"/>
    <mergeCell ref="Q131:R131"/>
    <mergeCell ref="G128:G130"/>
    <mergeCell ref="H128:H130"/>
    <mergeCell ref="I128:I130"/>
    <mergeCell ref="H131:H133"/>
    <mergeCell ref="M145:N145"/>
    <mergeCell ref="O145:P145"/>
    <mergeCell ref="H93:H94"/>
    <mergeCell ref="I93:I94"/>
    <mergeCell ref="J109:J126"/>
    <mergeCell ref="H110:H112"/>
    <mergeCell ref="I110:I112"/>
    <mergeCell ref="I113:I114"/>
    <mergeCell ref="J128:J145"/>
    <mergeCell ref="I131:I133"/>
    <mergeCell ref="I137:I138"/>
    <mergeCell ref="H139:H141"/>
    <mergeCell ref="I139:I141"/>
    <mergeCell ref="H142:H143"/>
    <mergeCell ref="I142:I143"/>
    <mergeCell ref="H144:H145"/>
    <mergeCell ref="I144:I145"/>
    <mergeCell ref="K145:L145"/>
    <mergeCell ref="H124:H126"/>
    <mergeCell ref="I124:I126"/>
    <mergeCell ref="M134:N134"/>
    <mergeCell ref="O134:P134"/>
    <mergeCell ref="H97:H99"/>
    <mergeCell ref="I97:I99"/>
    <mergeCell ref="G93:G94"/>
    <mergeCell ref="E95:E96"/>
    <mergeCell ref="G137:G138"/>
    <mergeCell ref="G139:G141"/>
    <mergeCell ref="G142:G143"/>
    <mergeCell ref="G144:G145"/>
    <mergeCell ref="I134:I136"/>
    <mergeCell ref="H137:H138"/>
    <mergeCell ref="F8:F10"/>
    <mergeCell ref="G8:G10"/>
    <mergeCell ref="H8:H10"/>
    <mergeCell ref="I8:I10"/>
    <mergeCell ref="F35:F37"/>
    <mergeCell ref="G35:G37"/>
    <mergeCell ref="H35:H37"/>
    <mergeCell ref="I35:I37"/>
    <mergeCell ref="I71:I72"/>
    <mergeCell ref="I73:I75"/>
    <mergeCell ref="I76:I78"/>
    <mergeCell ref="I80:I82"/>
    <mergeCell ref="I83:I85"/>
    <mergeCell ref="I86:I88"/>
    <mergeCell ref="I89:I90"/>
    <mergeCell ref="G65:G66"/>
    <mergeCell ref="G67:G68"/>
    <mergeCell ref="G69:G70"/>
    <mergeCell ref="K7:L7"/>
    <mergeCell ref="K8:L8"/>
    <mergeCell ref="M8:N8"/>
    <mergeCell ref="O8:P8"/>
    <mergeCell ref="E11:E13"/>
    <mergeCell ref="F11:F13"/>
    <mergeCell ref="G11:G13"/>
    <mergeCell ref="H11:H13"/>
    <mergeCell ref="I11:I13"/>
    <mergeCell ref="K11:L11"/>
    <mergeCell ref="M11:N11"/>
    <mergeCell ref="O11:P11"/>
    <mergeCell ref="O25:P25"/>
    <mergeCell ref="E21:E22"/>
    <mergeCell ref="F21:F22"/>
    <mergeCell ref="E8:E10"/>
    <mergeCell ref="E19:E20"/>
    <mergeCell ref="G21:G22"/>
    <mergeCell ref="H21:H22"/>
    <mergeCell ref="E25:E27"/>
    <mergeCell ref="F25:F27"/>
    <mergeCell ref="G25:G27"/>
    <mergeCell ref="E17:E18"/>
    <mergeCell ref="F17:F18"/>
    <mergeCell ref="G17:G18"/>
    <mergeCell ref="H17:H18"/>
    <mergeCell ref="F19:F20"/>
    <mergeCell ref="G19:G20"/>
    <mergeCell ref="H19:H20"/>
    <mergeCell ref="Q11:R11"/>
    <mergeCell ref="M14:N14"/>
    <mergeCell ref="O14:P14"/>
    <mergeCell ref="Q14:R14"/>
    <mergeCell ref="E14:E16"/>
    <mergeCell ref="F14:F16"/>
    <mergeCell ref="G14:G16"/>
    <mergeCell ref="H14:H16"/>
    <mergeCell ref="I14:I16"/>
    <mergeCell ref="K14:L14"/>
    <mergeCell ref="I19:I20"/>
    <mergeCell ref="M25:N25"/>
    <mergeCell ref="E28:E30"/>
    <mergeCell ref="F28:F30"/>
    <mergeCell ref="G28:G30"/>
    <mergeCell ref="H28:H30"/>
    <mergeCell ref="M35:N35"/>
    <mergeCell ref="M38:N38"/>
    <mergeCell ref="O38:P38"/>
    <mergeCell ref="H25:H27"/>
    <mergeCell ref="E23:E24"/>
    <mergeCell ref="F23:F24"/>
    <mergeCell ref="Q38:R38"/>
    <mergeCell ref="I25:I27"/>
    <mergeCell ref="K25:L25"/>
    <mergeCell ref="K31:L31"/>
    <mergeCell ref="M32:N32"/>
    <mergeCell ref="O32:P32"/>
    <mergeCell ref="O35:P35"/>
    <mergeCell ref="Q35:R35"/>
    <mergeCell ref="E32:E34"/>
    <mergeCell ref="F32:F34"/>
    <mergeCell ref="G32:G34"/>
    <mergeCell ref="H32:H34"/>
    <mergeCell ref="I32:I34"/>
    <mergeCell ref="K32:L32"/>
    <mergeCell ref="K35:L35"/>
    <mergeCell ref="K38:L38"/>
    <mergeCell ref="E35:E37"/>
    <mergeCell ref="E38:E40"/>
    <mergeCell ref="F38:F40"/>
    <mergeCell ref="G38:G40"/>
    <mergeCell ref="H38:H40"/>
    <mergeCell ref="I38:I40"/>
    <mergeCell ref="E41:E42"/>
    <mergeCell ref="F41:F42"/>
    <mergeCell ref="G41:G42"/>
    <mergeCell ref="H41:H42"/>
    <mergeCell ref="I41:I42"/>
    <mergeCell ref="E43:E44"/>
    <mergeCell ref="F43:F44"/>
    <mergeCell ref="G43:G44"/>
    <mergeCell ref="H43:H44"/>
    <mergeCell ref="I43:I44"/>
    <mergeCell ref="E45:E46"/>
    <mergeCell ref="F45:F46"/>
    <mergeCell ref="G45:G46"/>
    <mergeCell ref="H45:H46"/>
    <mergeCell ref="I45:I46"/>
    <mergeCell ref="E47:E48"/>
    <mergeCell ref="F47:F48"/>
    <mergeCell ref="G47:G48"/>
    <mergeCell ref="H47:H48"/>
    <mergeCell ref="I47:I48"/>
    <mergeCell ref="E49:E51"/>
    <mergeCell ref="F49:F51"/>
    <mergeCell ref="O59:P59"/>
    <mergeCell ref="Q59:R59"/>
    <mergeCell ref="E59:E61"/>
    <mergeCell ref="E52:E54"/>
    <mergeCell ref="F52:F54"/>
    <mergeCell ref="Q62:R62"/>
    <mergeCell ref="G49:G51"/>
    <mergeCell ref="H49:H51"/>
    <mergeCell ref="M49:N49"/>
    <mergeCell ref="O49:P49"/>
    <mergeCell ref="M56:N56"/>
    <mergeCell ref="O56:P56"/>
    <mergeCell ref="M59:N59"/>
    <mergeCell ref="G52:G54"/>
    <mergeCell ref="H52:H54"/>
    <mergeCell ref="G56:G58"/>
    <mergeCell ref="H56:H58"/>
    <mergeCell ref="G59:G61"/>
    <mergeCell ref="H59:H61"/>
    <mergeCell ref="H62:H64"/>
    <mergeCell ref="G62:G64"/>
    <mergeCell ref="K59:L59"/>
    <mergeCell ref="G71:G72"/>
    <mergeCell ref="H71:H72"/>
    <mergeCell ref="K80:L80"/>
    <mergeCell ref="M80:N80"/>
    <mergeCell ref="O80:P80"/>
    <mergeCell ref="G80:G82"/>
    <mergeCell ref="G86:G88"/>
    <mergeCell ref="H86:H88"/>
    <mergeCell ref="G73:G75"/>
    <mergeCell ref="H73:H75"/>
    <mergeCell ref="G76:G78"/>
    <mergeCell ref="H76:H78"/>
    <mergeCell ref="K79:L79"/>
    <mergeCell ref="H80:H82"/>
    <mergeCell ref="K83:L83"/>
    <mergeCell ref="O86:P86"/>
    <mergeCell ref="M73:N73"/>
    <mergeCell ref="Q86:R86"/>
    <mergeCell ref="G83:G85"/>
    <mergeCell ref="H83:H85"/>
    <mergeCell ref="M83:N83"/>
    <mergeCell ref="O83:P83"/>
    <mergeCell ref="Q83:R83"/>
    <mergeCell ref="K86:L86"/>
    <mergeCell ref="M86:N86"/>
    <mergeCell ref="B3:L3"/>
    <mergeCell ref="B4:L4"/>
    <mergeCell ref="B5:L5"/>
    <mergeCell ref="B8:B30"/>
    <mergeCell ref="C8:C30"/>
    <mergeCell ref="J8:J30"/>
    <mergeCell ref="I17:I18"/>
    <mergeCell ref="I28:I30"/>
    <mergeCell ref="I21:I22"/>
    <mergeCell ref="G23:G24"/>
    <mergeCell ref="H23:H24"/>
    <mergeCell ref="I23:I24"/>
    <mergeCell ref="B32:B54"/>
    <mergeCell ref="C32:C54"/>
    <mergeCell ref="J32:J49"/>
    <mergeCell ref="K56:L56"/>
    <mergeCell ref="H69:H70"/>
    <mergeCell ref="M62:N62"/>
    <mergeCell ref="O62:P62"/>
    <mergeCell ref="O73:P73"/>
    <mergeCell ref="I49:I51"/>
    <mergeCell ref="K49:L49"/>
    <mergeCell ref="J51:J69"/>
    <mergeCell ref="I52:I54"/>
    <mergeCell ref="K55:L55"/>
    <mergeCell ref="I56:I58"/>
    <mergeCell ref="I59:I61"/>
    <mergeCell ref="K73:L73"/>
    <mergeCell ref="I62:I64"/>
    <mergeCell ref="K62:L62"/>
    <mergeCell ref="H65:H66"/>
    <mergeCell ref="H67:H68"/>
    <mergeCell ref="I65:I66"/>
    <mergeCell ref="I67:I68"/>
    <mergeCell ref="I69:I70"/>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Z1000"/>
  <sheetViews>
    <sheetView showGridLines="0" workbookViewId="0"/>
  </sheetViews>
  <sheetFormatPr defaultColWidth="11.23046875" defaultRowHeight="15" customHeight="1"/>
  <cols>
    <col min="1" max="26" width="11.23046875" customWidth="1"/>
  </cols>
  <sheetData>
    <row r="1" spans="2:26" ht="14.5">
      <c r="B1" s="175"/>
      <c r="C1" s="175"/>
      <c r="D1" s="175"/>
      <c r="E1" s="175"/>
      <c r="F1" s="175"/>
      <c r="G1" s="175"/>
      <c r="H1" s="175"/>
      <c r="I1" s="175"/>
      <c r="J1" s="175"/>
      <c r="K1" s="175"/>
      <c r="L1" s="175"/>
      <c r="M1" s="175"/>
      <c r="N1" s="175"/>
      <c r="O1" s="175"/>
      <c r="P1" s="175"/>
      <c r="Q1" s="175"/>
      <c r="R1" s="175"/>
      <c r="S1" s="175"/>
      <c r="T1" s="175"/>
      <c r="U1" s="175"/>
      <c r="V1" s="175"/>
      <c r="W1" s="175"/>
      <c r="X1" s="175"/>
      <c r="Y1" s="175"/>
      <c r="Z1" s="175"/>
    </row>
    <row r="2" spans="2:26" ht="14.5">
      <c r="B2" s="175"/>
      <c r="C2" s="175"/>
      <c r="D2" s="175"/>
      <c r="E2" s="175"/>
      <c r="F2" s="175"/>
      <c r="G2" s="175"/>
      <c r="H2" s="175"/>
      <c r="I2" s="175"/>
      <c r="J2" s="175"/>
      <c r="K2" s="175"/>
      <c r="L2" s="175"/>
      <c r="M2" s="175"/>
      <c r="N2" s="175"/>
      <c r="O2" s="175"/>
      <c r="P2" s="175"/>
      <c r="Q2" s="175"/>
      <c r="R2" s="175"/>
      <c r="S2" s="175"/>
      <c r="T2" s="175"/>
      <c r="U2" s="175"/>
      <c r="V2" s="175"/>
      <c r="W2" s="175"/>
      <c r="X2" s="175"/>
      <c r="Y2" s="175"/>
      <c r="Z2" s="175"/>
    </row>
    <row r="3" spans="2:26" ht="14.5">
      <c r="B3" s="175"/>
      <c r="C3" s="175"/>
      <c r="D3" s="175"/>
      <c r="E3" s="175"/>
      <c r="F3" s="175"/>
      <c r="G3" s="175"/>
      <c r="H3" s="175"/>
      <c r="I3" s="175"/>
      <c r="J3" s="175"/>
      <c r="K3" s="175"/>
      <c r="L3" s="175"/>
      <c r="M3" s="175"/>
      <c r="N3" s="175"/>
      <c r="O3" s="175"/>
      <c r="P3" s="175"/>
      <c r="Q3" s="175"/>
      <c r="R3" s="175"/>
      <c r="S3" s="175"/>
      <c r="T3" s="175"/>
      <c r="U3" s="175"/>
      <c r="V3" s="175"/>
      <c r="W3" s="175"/>
      <c r="X3" s="175"/>
      <c r="Y3" s="175"/>
      <c r="Z3" s="175"/>
    </row>
    <row r="4" spans="2:26" ht="14.5">
      <c r="B4" s="175"/>
      <c r="C4" s="175"/>
      <c r="D4" s="175"/>
      <c r="E4" s="175"/>
      <c r="F4" s="175"/>
      <c r="G4" s="175"/>
      <c r="H4" s="175"/>
      <c r="I4" s="175"/>
      <c r="J4" s="175"/>
      <c r="K4" s="175"/>
      <c r="L4" s="175"/>
      <c r="M4" s="175"/>
      <c r="N4" s="175"/>
      <c r="O4" s="175"/>
      <c r="P4" s="175"/>
      <c r="Q4" s="175"/>
      <c r="R4" s="175"/>
      <c r="S4" s="175"/>
      <c r="T4" s="175"/>
      <c r="U4" s="175"/>
      <c r="V4" s="175"/>
      <c r="W4" s="175"/>
      <c r="X4" s="175"/>
      <c r="Y4" s="175"/>
      <c r="Z4" s="175"/>
    </row>
    <row r="5" spans="2:26" ht="14.5">
      <c r="B5" s="175"/>
      <c r="C5" s="175"/>
      <c r="D5" s="175"/>
      <c r="E5" s="175"/>
      <c r="F5" s="175"/>
      <c r="G5" s="175"/>
      <c r="H5" s="175"/>
      <c r="I5" s="175"/>
      <c r="J5" s="175"/>
      <c r="K5" s="175"/>
      <c r="L5" s="175"/>
      <c r="M5" s="175"/>
      <c r="N5" s="175"/>
      <c r="O5" s="175"/>
      <c r="P5" s="175"/>
      <c r="Q5" s="175"/>
      <c r="R5" s="175"/>
      <c r="S5" s="175"/>
      <c r="T5" s="175"/>
      <c r="U5" s="175"/>
      <c r="V5" s="175"/>
      <c r="W5" s="175"/>
      <c r="X5" s="175"/>
      <c r="Y5" s="175"/>
      <c r="Z5" s="175"/>
    </row>
    <row r="6" spans="2:26" ht="14.5">
      <c r="B6" s="175"/>
      <c r="C6" s="175"/>
      <c r="D6" s="175"/>
      <c r="E6" s="175"/>
      <c r="F6" s="175"/>
      <c r="G6" s="175"/>
      <c r="H6" s="175"/>
      <c r="I6" s="175"/>
      <c r="J6" s="175"/>
      <c r="K6" s="175"/>
      <c r="L6" s="175"/>
      <c r="M6" s="175"/>
      <c r="N6" s="175"/>
      <c r="O6" s="175"/>
      <c r="P6" s="175"/>
      <c r="Q6" s="175"/>
      <c r="R6" s="175"/>
      <c r="S6" s="175"/>
      <c r="T6" s="175"/>
      <c r="U6" s="175"/>
      <c r="V6" s="175"/>
      <c r="W6" s="175"/>
      <c r="X6" s="175"/>
      <c r="Y6" s="175"/>
      <c r="Z6" s="175"/>
    </row>
    <row r="7" spans="2:26" ht="14.5">
      <c r="B7" s="175"/>
      <c r="C7" s="175"/>
      <c r="D7" s="175"/>
      <c r="E7" s="175"/>
      <c r="F7" s="175"/>
      <c r="G7" s="175"/>
      <c r="H7" s="175"/>
      <c r="I7" s="175"/>
      <c r="J7" s="175"/>
      <c r="K7" s="175"/>
      <c r="L7" s="175"/>
      <c r="M7" s="175"/>
      <c r="N7" s="175"/>
      <c r="O7" s="175"/>
      <c r="P7" s="175"/>
      <c r="Q7" s="175"/>
      <c r="R7" s="175"/>
      <c r="S7" s="175"/>
      <c r="T7" s="175"/>
      <c r="U7" s="175"/>
      <c r="V7" s="175"/>
      <c r="W7" s="175"/>
      <c r="X7" s="175"/>
      <c r="Y7" s="175"/>
      <c r="Z7" s="175"/>
    </row>
    <row r="8" spans="2:26" ht="14.5">
      <c r="B8" s="175"/>
      <c r="C8" s="175"/>
      <c r="D8" s="175"/>
      <c r="E8" s="175"/>
      <c r="F8" s="175"/>
      <c r="G8" s="175"/>
      <c r="H8" s="175"/>
      <c r="I8" s="175"/>
      <c r="J8" s="175"/>
      <c r="K8" s="175"/>
      <c r="L8" s="175"/>
      <c r="M8" s="175"/>
      <c r="N8" s="175"/>
      <c r="O8" s="175"/>
      <c r="P8" s="175"/>
      <c r="Q8" s="175"/>
      <c r="R8" s="175"/>
      <c r="S8" s="175"/>
      <c r="T8" s="175"/>
      <c r="U8" s="175"/>
      <c r="V8" s="175"/>
      <c r="W8" s="175"/>
      <c r="X8" s="175"/>
      <c r="Y8" s="175"/>
      <c r="Z8" s="175"/>
    </row>
    <row r="9" spans="2:26" ht="14.5">
      <c r="B9" s="175"/>
      <c r="C9" s="175"/>
      <c r="D9" s="175"/>
      <c r="E9" s="175"/>
      <c r="F9" s="175"/>
      <c r="G9" s="175"/>
      <c r="H9" s="175"/>
      <c r="I9" s="175"/>
      <c r="J9" s="175"/>
      <c r="K9" s="175"/>
      <c r="L9" s="175"/>
      <c r="M9" s="175"/>
      <c r="N9" s="175"/>
      <c r="O9" s="175"/>
      <c r="P9" s="175"/>
      <c r="Q9" s="175"/>
      <c r="R9" s="175"/>
      <c r="S9" s="175"/>
      <c r="T9" s="175"/>
      <c r="U9" s="175"/>
      <c r="V9" s="175"/>
      <c r="W9" s="175"/>
      <c r="X9" s="175"/>
      <c r="Y9" s="175"/>
      <c r="Z9" s="175"/>
    </row>
    <row r="10" spans="2:26" ht="14.5">
      <c r="B10" s="175"/>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row>
    <row r="11" spans="2:26" ht="14.5">
      <c r="B11" s="175"/>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row>
    <row r="12" spans="2:26" ht="14.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spans="2:26" ht="14.5">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spans="2:26" ht="14.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spans="2:26" ht="14.5">
      <c r="B15" s="175"/>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row>
    <row r="16" spans="2:26" ht="14.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row>
    <row r="17" spans="2:26" ht="14.5">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row>
    <row r="18" spans="2:26" ht="14.5">
      <c r="B18" s="175"/>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row>
    <row r="19" spans="2:26" ht="14.5">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row>
    <row r="20" spans="2:26" ht="14.5">
      <c r="B20" s="175"/>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row>
    <row r="21" spans="2:26" ht="15.75" customHeight="1">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spans="2:26" ht="15.75" customHeight="1">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spans="2:26" ht="15.75" customHeight="1">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spans="2:26" ht="15.75" customHeight="1">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spans="2:26" ht="15.75" customHeight="1">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spans="2:26" ht="15.75" customHeight="1">
      <c r="B26" s="175"/>
      <c r="C26" s="175"/>
      <c r="D26" s="175"/>
      <c r="E26" s="175"/>
      <c r="F26" s="175"/>
      <c r="G26" s="175"/>
      <c r="H26" s="175"/>
      <c r="I26" s="175"/>
      <c r="J26" s="175"/>
      <c r="K26" s="175"/>
      <c r="L26" s="175"/>
      <c r="M26" s="175"/>
      <c r="N26" s="175"/>
      <c r="O26" s="175"/>
      <c r="P26" s="175"/>
      <c r="Q26" s="175"/>
      <c r="R26" s="853"/>
      <c r="S26" s="175"/>
      <c r="T26" s="175"/>
      <c r="U26" s="175"/>
      <c r="V26" s="175"/>
      <c r="W26" s="175"/>
      <c r="X26" s="175"/>
      <c r="Y26" s="175"/>
      <c r="Z26" s="175"/>
    </row>
    <row r="27" spans="2:26" ht="15.75" customHeight="1">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spans="2:26" ht="15.75" customHeight="1">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spans="2:26" ht="15.75" customHeight="1">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spans="2:26" ht="15.75" customHeight="1">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spans="2:26" ht="15.75" customHeight="1">
      <c r="B31" s="175"/>
      <c r="C31" s="175"/>
      <c r="D31" s="175"/>
      <c r="E31" s="175"/>
      <c r="F31" s="175"/>
      <c r="G31" s="175"/>
      <c r="H31" s="175"/>
      <c r="I31" s="1161"/>
      <c r="J31" s="175"/>
      <c r="K31" s="175"/>
      <c r="L31" s="175"/>
      <c r="M31" s="175"/>
      <c r="N31" s="175"/>
      <c r="O31" s="175"/>
      <c r="P31" s="175"/>
      <c r="Q31" s="175"/>
      <c r="R31" s="175"/>
      <c r="S31" s="175"/>
      <c r="T31" s="175"/>
      <c r="U31" s="175"/>
      <c r="V31" s="175"/>
      <c r="W31" s="175"/>
      <c r="X31" s="175"/>
      <c r="Y31" s="175"/>
      <c r="Z31" s="175"/>
    </row>
    <row r="32" spans="2:26" ht="15.75" customHeight="1">
      <c r="B32" s="175"/>
      <c r="C32" s="175"/>
      <c r="D32" s="175"/>
      <c r="E32" s="175"/>
      <c r="F32" s="175"/>
      <c r="G32" s="175"/>
      <c r="H32" s="175"/>
      <c r="I32" s="175"/>
      <c r="J32" s="175"/>
      <c r="K32" s="175"/>
      <c r="L32" s="175"/>
      <c r="M32" s="175"/>
      <c r="N32" s="175"/>
      <c r="O32" s="175"/>
      <c r="P32" s="175"/>
      <c r="Q32" s="175">
        <f>Q29</f>
        <v>0</v>
      </c>
      <c r="R32" s="175"/>
      <c r="S32" s="175"/>
      <c r="T32" s="175"/>
      <c r="U32" s="175"/>
      <c r="V32" s="175"/>
      <c r="W32" s="175"/>
      <c r="X32" s="175"/>
      <c r="Y32" s="175"/>
      <c r="Z32" s="175"/>
    </row>
    <row r="33" spans="2:26" ht="15.75" customHeight="1">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spans="2:26" ht="15.75" customHeight="1">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spans="2:26" ht="15.75" customHeight="1">
      <c r="B35" s="175"/>
      <c r="C35" s="175"/>
      <c r="D35" s="175"/>
      <c r="E35" s="175"/>
      <c r="F35" s="175"/>
      <c r="G35" s="175"/>
      <c r="H35" s="175"/>
      <c r="I35" s="175"/>
      <c r="J35" s="175"/>
      <c r="K35" s="175"/>
      <c r="L35" s="175"/>
      <c r="M35" s="175"/>
      <c r="N35" s="175"/>
      <c r="O35" s="175"/>
      <c r="P35" s="175"/>
      <c r="Q35" s="175"/>
      <c r="R35" s="175"/>
      <c r="S35" s="175"/>
      <c r="T35" s="175"/>
      <c r="U35" s="175"/>
      <c r="V35" s="175"/>
      <c r="W35" s="175"/>
      <c r="X35" s="175" t="s">
        <v>3114</v>
      </c>
      <c r="Y35" s="175"/>
      <c r="Z35" s="175"/>
    </row>
    <row r="36" spans="2:26" ht="15.75" customHeight="1">
      <c r="B36" s="175"/>
      <c r="C36" s="175"/>
      <c r="D36" s="175"/>
      <c r="E36" s="175"/>
      <c r="F36" s="175"/>
      <c r="G36" s="175"/>
      <c r="H36" s="175"/>
      <c r="I36" s="175"/>
      <c r="J36" s="175"/>
      <c r="K36" s="175"/>
      <c r="L36" s="175"/>
      <c r="M36" s="175"/>
      <c r="N36" s="175"/>
      <c r="O36" s="175"/>
      <c r="P36" s="175"/>
      <c r="Q36" s="175"/>
      <c r="R36" s="175"/>
      <c r="S36" s="175"/>
      <c r="T36" s="175"/>
      <c r="U36" s="175"/>
      <c r="V36" s="175"/>
      <c r="W36" s="175" t="s">
        <v>3115</v>
      </c>
      <c r="X36" s="175"/>
      <c r="Y36" s="175"/>
      <c r="Z36" s="175"/>
    </row>
    <row r="37" spans="2:26" ht="15.75" customHeight="1">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spans="2:26" ht="15.75" customHeight="1">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spans="2:26" ht="15.75" customHeight="1">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spans="2:26" ht="15.75" customHeight="1">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spans="2:26" ht="15.75" customHeight="1">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spans="2:26" ht="15.75" customHeight="1">
      <c r="B42" s="175"/>
      <c r="C42" s="175"/>
      <c r="D42" s="175"/>
      <c r="E42" s="175"/>
      <c r="F42" s="175"/>
      <c r="G42" s="175"/>
      <c r="H42" s="175"/>
      <c r="I42" s="175"/>
      <c r="J42" s="175"/>
      <c r="K42" s="175"/>
      <c r="L42" s="175" t="s">
        <v>3116</v>
      </c>
      <c r="M42" s="175"/>
      <c r="N42" s="175"/>
      <c r="O42" s="175"/>
      <c r="P42" s="175"/>
      <c r="Q42" s="175"/>
      <c r="R42" s="175"/>
      <c r="S42" s="175"/>
      <c r="T42" s="175"/>
      <c r="U42" s="175"/>
      <c r="V42" s="175"/>
      <c r="W42" s="175"/>
      <c r="X42" s="175"/>
      <c r="Y42" s="175"/>
      <c r="Z42" s="175"/>
    </row>
    <row r="43" spans="2:26" ht="15.75" customHeight="1">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spans="2:26" ht="15.75" customHeight="1">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spans="2:26" ht="15.75" customHeight="1">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spans="2:26" ht="15.75" customHeight="1">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2:26" ht="15.75" customHeight="1">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2:26" ht="15.75" customHeight="1">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spans="2:26" ht="15.75" customHeight="1">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spans="2:26" ht="15.75" customHeight="1">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spans="2:26" ht="15.75" customHeight="1">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spans="2:26" ht="15.75" customHeight="1">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spans="2:26" ht="15.75" customHeight="1">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spans="2:26" ht="15.75" customHeight="1">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spans="2:26" ht="15.75" customHeight="1">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spans="2:26" ht="15.75" customHeight="1">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spans="2:26" ht="15.75" customHeight="1">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2:26" ht="15.75" customHeight="1">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2:26" ht="15.75" customHeight="1">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spans="2:26" ht="15.75" customHeight="1">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spans="2:26" ht="15.75" customHeight="1">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spans="2:26" ht="15.75" customHeight="1">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spans="2:26" ht="15.75" customHeight="1">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spans="2:26" ht="15.75" customHeight="1">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spans="2:26" ht="15.75" customHeight="1">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spans="2:26" ht="15.75" customHeight="1">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spans="2:26" ht="15.75" customHeight="1">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spans="2:26" ht="15.75" customHeight="1">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spans="2:26" ht="15.75" customHeight="1">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spans="2:26" ht="15.75" customHeight="1">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spans="2:26" ht="15.75" customHeight="1">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spans="2:26" ht="15.75" customHeight="1">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spans="2:26" ht="15.75" customHeight="1">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spans="2:26" ht="15.75" customHeight="1">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spans="2:26" ht="15.75" customHeight="1">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spans="2:26" ht="15.75" customHeight="1">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spans="2:26" ht="15.75" customHeight="1">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spans="2:26" ht="15.75" customHeight="1">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spans="2:26" ht="15.75" customHeight="1">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spans="2:26" ht="15.75" customHeight="1">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spans="2:26" ht="15.75" customHeight="1">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spans="2:26" ht="15.75" customHeight="1">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spans="2:26" ht="15.75" customHeight="1">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spans="2:26" ht="15.75" customHeight="1">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spans="2:26" ht="15.75" customHeight="1">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spans="2:26" ht="15.75" customHeight="1">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spans="2:26" ht="15.75" customHeight="1">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spans="2:26" ht="15.75" customHeight="1">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spans="2:26" ht="15.75" customHeight="1">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spans="2:26" ht="15.75" customHeight="1">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spans="2:26" ht="15.75" customHeight="1">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spans="2:26" ht="15.75" customHeight="1">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spans="2:26" ht="15.75" customHeight="1">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spans="2:26" ht="15.75" customHeight="1">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spans="2:26" ht="15.75" customHeight="1">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spans="2:26" ht="15.75" customHeight="1">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spans="2:26" ht="15.75" customHeight="1">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spans="2:26" ht="15.75" customHeight="1">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spans="2:26" ht="15.75" customHeight="1">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spans="2:26" ht="15.75" customHeight="1">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spans="2:26" ht="15.75" customHeight="1">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spans="2:26" ht="15.75" customHeight="1">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spans="2:26" ht="15.75" customHeight="1">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spans="2:26" ht="15.75" customHeight="1">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spans="2:26" ht="15.75" customHeight="1">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spans="2:26" ht="15.75" customHeight="1">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spans="2:26" ht="15.75" customHeight="1">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spans="2:26" ht="15.75" customHeight="1">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spans="2:26" ht="15.75" customHeight="1">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spans="2:26" ht="15.75" customHeight="1">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spans="2:26" ht="15.75" customHeight="1">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spans="2:26" ht="15.75" customHeight="1">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spans="2:26" ht="15.75" customHeight="1">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spans="2:26" ht="15.75" customHeight="1">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spans="2:26" ht="15.75" customHeight="1">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spans="2:26" ht="15.75" customHeight="1">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spans="2:26" ht="15.75" customHeight="1">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spans="2:26" ht="15.75" customHeight="1">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spans="2:26" ht="15.75" customHeight="1">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spans="2:26" ht="15.75" customHeight="1">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spans="2:26" ht="15.75" customHeight="1">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spans="2:26" ht="15.75" customHeight="1">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spans="2:26" ht="15.75" customHeight="1">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spans="2:26" ht="15.75" customHeight="1">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spans="2:26" ht="15.75" customHeight="1">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spans="2:26" ht="15.75" customHeight="1">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spans="2:26" ht="15.75" customHeight="1">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spans="2:26" ht="15.75" customHeight="1">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spans="2:26" ht="15.75" customHeight="1">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spans="2:26" ht="15.75" customHeight="1">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spans="2:26" ht="15.75" customHeight="1">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spans="2:26" ht="15.75" customHeight="1">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spans="2:26" ht="15.75" customHeight="1">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spans="2:26" ht="15.75" customHeight="1">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spans="2:26" ht="15.75" customHeight="1">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spans="2:26" ht="15.75" customHeight="1">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spans="2:26" ht="15.75" customHeight="1">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spans="2:26" ht="15.75" customHeight="1">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spans="2:26" ht="15.75" customHeight="1">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spans="2:26" ht="15.75" customHeight="1">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spans="2:26" ht="15.75" customHeight="1">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spans="2:26" ht="15.75" customHeight="1">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spans="2:26" ht="15.75" customHeight="1">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spans="2:26" ht="15.75" customHeight="1">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spans="2:26" ht="15.75" customHeight="1">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spans="2:26" ht="15.75" customHeight="1">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spans="2:26" ht="15.75" customHeight="1">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spans="2:26" ht="15.75" customHeight="1">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spans="2:26" ht="15.75" customHeight="1">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spans="2:26" ht="15.75" customHeight="1">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spans="2:26" ht="15.75" customHeight="1">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spans="2:26" ht="15.75" customHeight="1">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spans="2:26" ht="15.75" customHeight="1">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spans="2:26" ht="15.75" customHeight="1">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spans="2:26" ht="15.75" customHeight="1">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spans="2:26" ht="15.75" customHeight="1">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spans="2:26" ht="15.75" customHeight="1">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spans="2:26" ht="15.75" customHeight="1">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spans="2:26" ht="15.75" customHeight="1">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spans="2:26" ht="15.75" customHeight="1">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spans="2:26" ht="15.75" customHeight="1">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spans="2:26" ht="15.75" customHeight="1">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spans="2:26" ht="15.75" customHeight="1">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spans="2:26" ht="15.75" customHeight="1">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spans="2:26" ht="15.75" customHeight="1">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spans="2:26" ht="15.75" customHeight="1">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spans="2:26" ht="15.75" customHeight="1">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spans="2:26" ht="15.75" customHeight="1">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spans="2:26" ht="15.75" customHeight="1">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spans="2:26" ht="15.75" customHeight="1">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spans="2:26" ht="15.75" customHeight="1">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spans="2:26" ht="15.75" customHeight="1">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spans="2:26" ht="15.75" customHeight="1">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spans="2:26" ht="15.75" customHeight="1">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spans="2:26" ht="15.75" customHeight="1">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spans="2:26" ht="15.75" customHeight="1">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spans="2:26" ht="15.75" customHeight="1">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spans="2:26" ht="15.75" customHeight="1">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spans="2:26" ht="15.75" customHeight="1">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spans="2:26" ht="15.75" customHeight="1">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spans="2:26" ht="15.75" customHeight="1">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spans="2:26" ht="15.75" customHeight="1">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spans="2:26" ht="15.75" customHeight="1">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spans="2:26" ht="15.75" customHeight="1">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spans="2:26" ht="15.75" customHeight="1">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spans="2:26" ht="15.75" customHeight="1">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spans="2:26" ht="15.75" customHeight="1">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spans="2:26" ht="15.75" customHeight="1">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spans="2:26" ht="15.75" customHeight="1">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spans="2:26" ht="15.75" customHeight="1">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spans="2:26" ht="15.75" customHeight="1">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spans="2:26" ht="15.75" customHeight="1">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spans="2:26" ht="15.75" customHeight="1">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spans="2:26" ht="15.75" customHeight="1">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spans="2:26" ht="15.75" customHeight="1">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spans="2:26" ht="15.75" customHeight="1">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spans="2:26" ht="15.75" customHeight="1">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spans="2:26" ht="15.75" customHeight="1">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spans="2:26" ht="15.75" customHeight="1">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spans="2:26" ht="15.75" customHeight="1">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spans="2:26" ht="15.75" customHeight="1">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spans="2:26" ht="15.75" customHeight="1">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spans="2:26" ht="15.75" customHeight="1">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spans="2:26" ht="15.75" customHeight="1">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spans="2:26" ht="15.75" customHeight="1">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spans="2:26" ht="15.75" customHeight="1">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spans="2:26" ht="15.75" customHeight="1">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spans="2:26" ht="15.75" customHeight="1">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spans="2:26" ht="15.75" customHeight="1">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spans="2:26" ht="15.75" customHeight="1">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spans="2:26" ht="15.75" customHeight="1">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spans="2:26" ht="15.75" customHeight="1">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spans="2:26" ht="15.75" customHeight="1">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spans="2:26" ht="15.75" customHeight="1">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spans="2:26" ht="15.75" customHeight="1">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spans="2:26" ht="15.75" customHeight="1">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spans="2:26" ht="15.75" customHeight="1">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spans="2:26" ht="15.75" customHeight="1">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spans="2:26" ht="15.75" customHeight="1">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spans="2:26" ht="15.75" customHeight="1">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spans="2:26" ht="15.75" customHeight="1">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spans="2:26" ht="15.75" customHeight="1">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spans="2:26" ht="15.75" customHeight="1">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spans="2:26" ht="15.75" customHeight="1">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spans="2:26" ht="15.75" customHeight="1">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spans="2:26" ht="15.75" customHeight="1">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spans="2:26" ht="15.75" customHeight="1">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spans="2:26" ht="15.75" customHeight="1">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spans="2:26" ht="15.75" customHeight="1">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spans="2:26" ht="15.75" customHeight="1">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spans="2:26" ht="15.75" customHeight="1">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spans="2:26" ht="15.75" customHeight="1">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spans="2:26" ht="15.75" customHeight="1">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spans="2:26" ht="15.75" customHeight="1">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spans="2:26" ht="15.75" customHeight="1">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spans="2:26" ht="15.75" customHeight="1">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spans="2:26" ht="15.75" customHeight="1">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spans="2:26" ht="15.75" customHeight="1">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spans="2:26" ht="15.75" customHeight="1">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spans="2:26" ht="15.75" customHeight="1">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spans="2:26" ht="15.75" customHeight="1">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spans="2:26" ht="15.75" customHeight="1">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spans="2:26" ht="15.75" customHeight="1"/>
    <row r="244" spans="2:26" ht="15.75" customHeight="1"/>
    <row r="245" spans="2:26" ht="15.75" customHeight="1"/>
    <row r="246" spans="2:26" ht="15.75" customHeight="1"/>
    <row r="247" spans="2:26" ht="15.75" customHeight="1"/>
    <row r="248" spans="2:26" ht="15.75" customHeight="1"/>
    <row r="249" spans="2:26" ht="15.75" customHeight="1"/>
    <row r="250" spans="2:26" ht="15.75" customHeight="1"/>
    <row r="251" spans="2:26" ht="15.75" customHeight="1"/>
    <row r="252" spans="2:26" ht="15.75" customHeight="1"/>
    <row r="253" spans="2:26" ht="15.75" customHeight="1"/>
    <row r="254" spans="2:26" ht="15.75" customHeight="1"/>
    <row r="255" spans="2:26" ht="15.75" customHeight="1"/>
    <row r="256" spans="2: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1026"/>
  <sheetViews>
    <sheetView workbookViewId="0"/>
  </sheetViews>
  <sheetFormatPr defaultColWidth="11.23046875" defaultRowHeight="15" customHeight="1"/>
  <cols>
    <col min="1" max="1" width="23.3046875" customWidth="1"/>
    <col min="2" max="2" width="18.4609375" customWidth="1"/>
    <col min="3" max="3" width="14.53515625" customWidth="1"/>
    <col min="4" max="4" width="18.4609375" customWidth="1"/>
    <col min="5" max="6" width="11.23046875" customWidth="1"/>
    <col min="7" max="7" width="23.3046875" customWidth="1"/>
  </cols>
  <sheetData>
    <row r="1" spans="1:27" ht="14.5">
      <c r="A1" s="175" t="s">
        <v>3117</v>
      </c>
      <c r="B1" s="175"/>
      <c r="C1" s="175"/>
      <c r="D1" s="175"/>
      <c r="E1" s="175"/>
      <c r="F1" s="175"/>
      <c r="G1" s="175" t="str">
        <f ca="1">"Date :"&amp;" "&amp;TEXT(TODAY(),"DD MMMM YYYY")</f>
        <v>Date : 16 December 2025</v>
      </c>
      <c r="H1" s="175"/>
      <c r="I1" s="175"/>
      <c r="J1" s="175"/>
      <c r="K1" s="175"/>
      <c r="L1" s="175" t="s">
        <v>2909</v>
      </c>
      <c r="M1" s="175"/>
      <c r="N1" s="175"/>
      <c r="O1" s="175"/>
      <c r="P1" s="175"/>
      <c r="Q1" s="175"/>
      <c r="R1" s="175"/>
      <c r="S1" s="175"/>
      <c r="T1" s="175"/>
      <c r="U1" s="175"/>
      <c r="V1" s="175"/>
      <c r="W1" s="175"/>
      <c r="X1" s="175"/>
      <c r="Y1" s="175"/>
      <c r="Z1" s="175"/>
      <c r="AA1" s="175"/>
    </row>
    <row r="2" spans="1:27" ht="14.5">
      <c r="A2" s="175" t="s">
        <v>3118</v>
      </c>
      <c r="B2" s="175"/>
      <c r="C2" s="175"/>
      <c r="D2" s="175"/>
      <c r="E2" s="175"/>
      <c r="F2" s="175"/>
      <c r="G2" s="175"/>
      <c r="H2" s="175"/>
      <c r="I2" s="175"/>
      <c r="J2" s="175"/>
      <c r="K2" s="175"/>
      <c r="L2" s="175" t="s">
        <v>3119</v>
      </c>
      <c r="M2" s="175"/>
      <c r="N2" s="175"/>
      <c r="O2" s="175"/>
      <c r="P2" s="175"/>
      <c r="Q2" s="175"/>
      <c r="R2" s="175"/>
      <c r="S2" s="175"/>
      <c r="T2" s="175"/>
      <c r="U2" s="175"/>
      <c r="V2" s="175"/>
      <c r="W2" s="175"/>
      <c r="X2" s="175"/>
      <c r="Y2" s="175"/>
      <c r="Z2" s="175"/>
      <c r="AA2" s="175"/>
    </row>
    <row r="3" spans="1:27" ht="14.5">
      <c r="A3" s="175" t="s">
        <v>3120</v>
      </c>
      <c r="B3" s="175" t="s">
        <v>3121</v>
      </c>
      <c r="C3" s="175" t="s">
        <v>3122</v>
      </c>
      <c r="D3" s="175" t="s">
        <v>3123</v>
      </c>
      <c r="E3" s="175"/>
      <c r="F3" s="175"/>
      <c r="G3" s="175"/>
      <c r="H3" s="175"/>
      <c r="I3" s="175"/>
      <c r="J3" s="175" t="s">
        <v>3123</v>
      </c>
      <c r="K3" s="175"/>
      <c r="L3" s="175"/>
      <c r="M3" s="175"/>
      <c r="N3" s="175"/>
      <c r="O3" s="175"/>
      <c r="P3" s="175"/>
      <c r="Q3" s="175"/>
      <c r="R3" s="175"/>
      <c r="S3" s="175"/>
      <c r="T3" s="175"/>
      <c r="U3" s="175"/>
      <c r="V3" s="175"/>
      <c r="W3" s="175"/>
      <c r="X3" s="175"/>
      <c r="Y3" s="175"/>
      <c r="Z3" s="175"/>
      <c r="AA3" s="175"/>
    </row>
    <row r="4" spans="1:27" ht="14.5">
      <c r="A4" s="175" t="s">
        <v>3024</v>
      </c>
      <c r="B4" s="1162">
        <f>'Rekap Capaian PR'!F9</f>
        <v>2</v>
      </c>
      <c r="C4" s="1163">
        <f ca="1">'Rekap Capaian PR'!H279</f>
        <v>3</v>
      </c>
      <c r="D4" s="1164">
        <f t="shared" ref="D4:D12" ca="1" si="0">C4/B4</f>
        <v>1.5</v>
      </c>
      <c r="E4" s="175"/>
      <c r="F4" s="175"/>
      <c r="G4" s="1163">
        <v>10</v>
      </c>
      <c r="H4" s="175"/>
      <c r="I4" s="175"/>
      <c r="J4" s="1164">
        <f t="shared" ref="J4:J8" ca="1" si="1">D4</f>
        <v>1.5</v>
      </c>
      <c r="K4" s="175"/>
      <c r="L4" s="175"/>
      <c r="M4" s="175"/>
      <c r="N4" s="175"/>
      <c r="O4" s="175"/>
      <c r="P4" s="175"/>
      <c r="Q4" s="175"/>
      <c r="R4" s="175"/>
      <c r="S4" s="175"/>
      <c r="T4" s="175"/>
      <c r="U4" s="175"/>
      <c r="V4" s="175"/>
      <c r="W4" s="175"/>
      <c r="X4" s="175"/>
      <c r="Y4" s="175"/>
      <c r="Z4" s="175"/>
      <c r="AA4" s="175"/>
    </row>
    <row r="5" spans="1:27" ht="14.5">
      <c r="A5" s="175" t="s">
        <v>3020</v>
      </c>
      <c r="B5" s="1163">
        <f>'Rekap Capaian PR'!F3</f>
        <v>30</v>
      </c>
      <c r="C5" s="1165">
        <f ca="1">'Rekap Capaian PR'!H273</f>
        <v>37</v>
      </c>
      <c r="D5" s="1164">
        <f t="shared" ca="1" si="0"/>
        <v>1.2333333333333334</v>
      </c>
      <c r="E5" s="175"/>
      <c r="F5" s="175"/>
      <c r="G5" s="1163">
        <v>43</v>
      </c>
      <c r="H5" s="175"/>
      <c r="I5" s="175"/>
      <c r="J5" s="1164">
        <f t="shared" ca="1" si="1"/>
        <v>1.2333333333333334</v>
      </c>
      <c r="K5" s="175"/>
      <c r="L5" s="175"/>
      <c r="M5" s="175"/>
      <c r="N5" s="175"/>
      <c r="O5" s="175"/>
      <c r="P5" s="175"/>
      <c r="Q5" s="175"/>
      <c r="R5" s="175"/>
      <c r="S5" s="175"/>
      <c r="T5" s="175"/>
      <c r="U5" s="175"/>
      <c r="V5" s="175"/>
      <c r="W5" s="175"/>
      <c r="X5" s="175"/>
      <c r="Y5" s="175"/>
      <c r="Z5" s="175"/>
      <c r="AA5" s="175"/>
    </row>
    <row r="6" spans="1:27" ht="14.5">
      <c r="A6" s="175" t="s">
        <v>3124</v>
      </c>
      <c r="B6" s="1163">
        <f>'Rekap Capaian PR'!F6</f>
        <v>75</v>
      </c>
      <c r="C6" s="1163">
        <f ca="1">'Rekap Capaian PR'!H276</f>
        <v>67</v>
      </c>
      <c r="D6" s="1164">
        <f t="shared" ca="1" si="0"/>
        <v>0.89333333333333331</v>
      </c>
      <c r="E6" s="175"/>
      <c r="F6" s="175"/>
      <c r="G6" s="1163">
        <v>96</v>
      </c>
      <c r="H6" s="175"/>
      <c r="I6" s="175"/>
      <c r="J6" s="1164">
        <f t="shared" ca="1" si="1"/>
        <v>0.89333333333333331</v>
      </c>
      <c r="K6" s="175"/>
      <c r="L6" s="175"/>
      <c r="M6" s="175"/>
      <c r="N6" s="175"/>
      <c r="O6" s="175"/>
      <c r="P6" s="175"/>
      <c r="Q6" s="175"/>
      <c r="R6" s="175"/>
      <c r="S6" s="175"/>
      <c r="T6" s="175"/>
      <c r="U6" s="175"/>
      <c r="V6" s="175"/>
      <c r="W6" s="175"/>
      <c r="X6" s="175"/>
      <c r="Y6" s="175"/>
      <c r="Z6" s="175"/>
      <c r="AA6" s="175"/>
    </row>
    <row r="7" spans="1:27" ht="14.5">
      <c r="A7" s="175" t="s">
        <v>2106</v>
      </c>
      <c r="B7" s="1163">
        <f>'Rekap Capaian PR'!F18</f>
        <v>10</v>
      </c>
      <c r="C7" s="1163">
        <f ca="1">'Rekap Capaian PR'!H288</f>
        <v>5</v>
      </c>
      <c r="D7" s="1164">
        <f t="shared" ca="1" si="0"/>
        <v>0.5</v>
      </c>
      <c r="E7" s="175"/>
      <c r="F7" s="175"/>
      <c r="G7" s="1163">
        <v>36</v>
      </c>
      <c r="H7" s="175"/>
      <c r="I7" s="175"/>
      <c r="J7" s="1164">
        <f t="shared" ca="1" si="1"/>
        <v>0.5</v>
      </c>
      <c r="K7" s="175"/>
      <c r="L7" s="175"/>
      <c r="M7" s="175"/>
      <c r="N7" s="175"/>
      <c r="O7" s="175"/>
      <c r="P7" s="175"/>
      <c r="Q7" s="175"/>
      <c r="R7" s="175"/>
      <c r="S7" s="175"/>
      <c r="T7" s="175"/>
      <c r="U7" s="175"/>
      <c r="V7" s="175"/>
      <c r="W7" s="175"/>
      <c r="X7" s="175"/>
      <c r="Y7" s="175"/>
      <c r="Z7" s="175"/>
      <c r="AA7" s="175"/>
    </row>
    <row r="8" spans="1:27" ht="14.5">
      <c r="A8" s="175" t="s">
        <v>3125</v>
      </c>
      <c r="B8" s="1163">
        <v>5</v>
      </c>
      <c r="C8" s="1163">
        <v>8</v>
      </c>
      <c r="D8" s="1164">
        <f t="shared" si="0"/>
        <v>1.6</v>
      </c>
      <c r="E8" s="175"/>
      <c r="F8" s="175"/>
      <c r="G8" s="1163">
        <v>8</v>
      </c>
      <c r="H8" s="175"/>
      <c r="I8" s="175"/>
      <c r="J8" s="1164">
        <f t="shared" si="1"/>
        <v>1.6</v>
      </c>
      <c r="K8" s="175"/>
      <c r="L8" s="1166">
        <f ca="1">((20/100)*J4)+((18/100)*J6)+((17/100)*J5)+((15/100)*J12)+((5/100)*J10)+((10/100)*J9)+((5/100)*J7)+((5/100)*J8)+((5/100)*J11)</f>
        <v>1.1309176893630954</v>
      </c>
      <c r="M8" s="175"/>
      <c r="N8" s="175"/>
      <c r="O8" s="175"/>
      <c r="P8" s="175"/>
      <c r="Q8" s="175"/>
      <c r="R8" s="175"/>
      <c r="S8" s="175"/>
      <c r="T8" s="175"/>
      <c r="U8" s="175"/>
      <c r="V8" s="175"/>
      <c r="W8" s="175"/>
      <c r="X8" s="175"/>
      <c r="Y8" s="175"/>
      <c r="Z8" s="175"/>
      <c r="AA8" s="175"/>
    </row>
    <row r="9" spans="1:27" ht="14.5">
      <c r="A9" s="175" t="s">
        <v>3126</v>
      </c>
      <c r="B9" s="1163">
        <f>'Rekap Capaian PR'!F14</f>
        <v>5</v>
      </c>
      <c r="C9" s="1163">
        <f ca="1">'Rekap Capaian PR'!H284</f>
        <v>7</v>
      </c>
      <c r="D9" s="1164">
        <f t="shared" ca="1" si="0"/>
        <v>1.4</v>
      </c>
      <c r="E9" s="175"/>
      <c r="F9" s="175"/>
      <c r="G9" s="1163">
        <v>14</v>
      </c>
      <c r="H9" s="175"/>
      <c r="I9" s="175"/>
      <c r="J9" s="1164">
        <v>1</v>
      </c>
      <c r="K9" s="175"/>
      <c r="L9" s="175"/>
      <c r="M9" s="175"/>
      <c r="N9" s="175"/>
      <c r="O9" s="175"/>
      <c r="P9" s="175"/>
      <c r="Q9" s="175"/>
      <c r="R9" s="175"/>
      <c r="S9" s="175"/>
      <c r="T9" s="175"/>
      <c r="U9" s="175"/>
      <c r="V9" s="175"/>
      <c r="W9" s="175"/>
      <c r="X9" s="175"/>
      <c r="Y9" s="175"/>
      <c r="Z9" s="175"/>
      <c r="AA9" s="175"/>
    </row>
    <row r="10" spans="1:27" ht="14.5">
      <c r="A10" s="175" t="s">
        <v>3127</v>
      </c>
      <c r="B10" s="1163">
        <f>'Rekap Capaian PR'!F16</f>
        <v>15</v>
      </c>
      <c r="C10" s="1163">
        <f ca="1">'Rekap Capaian PR'!H286</f>
        <v>25</v>
      </c>
      <c r="D10" s="1164">
        <f t="shared" ca="1" si="0"/>
        <v>1.6666666666666667</v>
      </c>
      <c r="E10" s="1166"/>
      <c r="F10" s="175"/>
      <c r="G10" s="175"/>
      <c r="H10" s="175"/>
      <c r="I10" s="175"/>
      <c r="J10" s="1164">
        <v>1</v>
      </c>
      <c r="K10" s="175"/>
      <c r="L10" s="175"/>
      <c r="M10" s="175"/>
      <c r="N10" s="175"/>
      <c r="O10" s="175"/>
      <c r="P10" s="175"/>
      <c r="Q10" s="175"/>
      <c r="R10" s="175"/>
      <c r="S10" s="175"/>
      <c r="T10" s="175"/>
      <c r="U10" s="175"/>
      <c r="V10" s="175"/>
      <c r="W10" s="175"/>
      <c r="X10" s="175"/>
      <c r="Y10" s="175"/>
      <c r="Z10" s="175"/>
      <c r="AA10" s="175"/>
    </row>
    <row r="11" spans="1:27" ht="14.5">
      <c r="A11" s="175" t="s">
        <v>3128</v>
      </c>
      <c r="B11" s="1163">
        <f>'Rekap Capaian PR'!F293</f>
        <v>5</v>
      </c>
      <c r="C11" s="1163">
        <f ca="1">'Rekap Capaian PR'!H293</f>
        <v>6</v>
      </c>
      <c r="D11" s="1164">
        <f t="shared" ca="1" si="0"/>
        <v>1.2</v>
      </c>
      <c r="E11" s="1166"/>
      <c r="F11" s="175"/>
      <c r="G11" s="175"/>
      <c r="H11" s="175"/>
      <c r="I11" s="175"/>
      <c r="J11" s="1164">
        <f t="shared" ref="J11:J12" ca="1" si="2">D11</f>
        <v>1.2</v>
      </c>
      <c r="K11" s="175"/>
      <c r="L11" s="175"/>
      <c r="M11" s="175"/>
      <c r="N11" s="175"/>
      <c r="O11" s="175"/>
      <c r="P11" s="175"/>
      <c r="Q11" s="175"/>
      <c r="R11" s="175"/>
      <c r="S11" s="175"/>
      <c r="T11" s="175"/>
      <c r="U11" s="175"/>
      <c r="V11" s="175"/>
      <c r="W11" s="175"/>
      <c r="X11" s="175"/>
      <c r="Y11" s="175"/>
      <c r="Z11" s="175"/>
      <c r="AA11" s="175"/>
    </row>
    <row r="12" spans="1:27" ht="14.5">
      <c r="A12" s="175" t="s">
        <v>1857</v>
      </c>
      <c r="B12" s="1167">
        <f>'Rekap Capaian PR'!F12</f>
        <v>2800000000</v>
      </c>
      <c r="C12" s="1167">
        <f ca="1">'Rekap Capaian PR'!H282</f>
        <v>2715085757</v>
      </c>
      <c r="D12" s="1164">
        <f t="shared" ca="1" si="0"/>
        <v>0.96967348464285719</v>
      </c>
      <c r="E12" s="1166"/>
      <c r="F12" s="175"/>
      <c r="G12" s="175"/>
      <c r="H12" s="175"/>
      <c r="I12" s="175"/>
      <c r="J12" s="1164">
        <f t="shared" ca="1" si="2"/>
        <v>0.96967348464285719</v>
      </c>
      <c r="K12" s="175"/>
      <c r="L12" s="175"/>
      <c r="M12" s="175"/>
      <c r="N12" s="175"/>
      <c r="O12" s="175"/>
      <c r="P12" s="175"/>
      <c r="Q12" s="175"/>
      <c r="R12" s="175"/>
      <c r="S12" s="175"/>
      <c r="T12" s="175"/>
      <c r="U12" s="175"/>
      <c r="V12" s="175"/>
      <c r="W12" s="175"/>
      <c r="X12" s="175"/>
      <c r="Y12" s="175"/>
      <c r="Z12" s="175"/>
      <c r="AA12" s="175"/>
    </row>
    <row r="13" spans="1:27" ht="14.5">
      <c r="A13" s="175" t="s">
        <v>3129</v>
      </c>
      <c r="B13" s="175"/>
      <c r="C13" s="1163" t="s">
        <v>3130</v>
      </c>
      <c r="D13" s="1166"/>
      <c r="E13" s="175"/>
      <c r="F13" s="175" t="s">
        <v>1915</v>
      </c>
      <c r="G13" s="1167" t="e">
        <f>SUMIFS('[1]Dana Eks'!$O$6:$O$71,'[1]Dana Eks'!$J$6:$J$71,Master!$C$31, '[1]Dana Eks'!$K$6:$K$71,Master!$G$30, '[1]Dana Eks'!$C$6:$C$71,"&lt;&gt;")+SUMIFS('[1]Dana Eks'!$O$6:$O$71,'[1]Dana Eks'!$J$6:$J$71,Master!$C$31, '[1]Dana Eks'!$K$6:$K$71,Master!$G$30, '[1]Dana Eks'!$C$6:$C$71,"&lt;&gt;")</f>
        <v>#VALUE!</v>
      </c>
      <c r="H13" s="175"/>
      <c r="I13" s="175"/>
      <c r="J13" s="175"/>
      <c r="K13" s="175"/>
      <c r="L13" s="175"/>
      <c r="M13" s="175"/>
      <c r="N13" s="175"/>
      <c r="O13" s="175"/>
      <c r="P13" s="175"/>
      <c r="Q13" s="175"/>
      <c r="R13" s="175"/>
      <c r="S13" s="175"/>
      <c r="T13" s="175"/>
      <c r="U13" s="175"/>
      <c r="V13" s="175"/>
      <c r="W13" s="175"/>
      <c r="X13" s="175"/>
      <c r="Y13" s="175"/>
      <c r="Z13" s="175"/>
      <c r="AA13" s="175"/>
    </row>
    <row r="14" spans="1:27" ht="14.5">
      <c r="A14" s="175" t="s">
        <v>3118</v>
      </c>
      <c r="B14" s="1168">
        <f>'Rekap Capaian PR'!M248</f>
        <v>0</v>
      </c>
      <c r="C14" s="1168">
        <f ca="1">'Rekap Capaian PR'!M273</f>
        <v>0.92922297977513202</v>
      </c>
      <c r="D14" s="1168">
        <f ca="1">SUM(D4:D12)/9</f>
        <v>1.2181118686640211</v>
      </c>
      <c r="E14" s="1169"/>
      <c r="F14" s="175" t="s">
        <v>1859</v>
      </c>
      <c r="G14" s="1167" t="e">
        <f>SUMIFS('[1]Dana Eks'!$O$6:$O$71,'[1]Dana Eks'!$J$6:$J$71,Master!$C$29, '[1]Dana Eks'!$M$6:$M$71,Master!$A$39, '[1]Dana Eks'!$C$6:$C$71,"&lt;&gt;")+SUMIFS('[1]Dana Eks'!$O$6:$O$71,'[1]Dana Eks'!$J$6:$J$71,Master!$C$31, '[1]Dana Eks'!$M$6:$M$71,Master!$A$39, '[1]Dana Eks'!$C$6:$C$71,"&lt;&gt;")</f>
        <v>#VALUE!</v>
      </c>
      <c r="H14" s="175"/>
      <c r="I14" s="175"/>
      <c r="J14" s="175"/>
      <c r="K14" s="175"/>
      <c r="L14" s="175"/>
      <c r="M14" s="175"/>
      <c r="N14" s="175"/>
      <c r="O14" s="175"/>
      <c r="P14" s="175"/>
      <c r="Q14" s="175"/>
      <c r="R14" s="175"/>
      <c r="S14" s="175"/>
      <c r="T14" s="175"/>
      <c r="U14" s="175"/>
      <c r="V14" s="175"/>
      <c r="W14" s="175"/>
      <c r="X14" s="175"/>
      <c r="Y14" s="175"/>
      <c r="Z14" s="175"/>
      <c r="AA14" s="175"/>
    </row>
    <row r="15" spans="1:27" ht="14.5">
      <c r="A15" s="175" t="s">
        <v>3129</v>
      </c>
      <c r="B15" s="1168">
        <f>100%-B14</f>
        <v>1</v>
      </c>
      <c r="C15" s="1170">
        <f ca="1">B15-C14</f>
        <v>7.0777020224867981E-2</v>
      </c>
      <c r="D15" s="175"/>
      <c r="E15" s="175"/>
      <c r="F15" s="175" t="s">
        <v>1878</v>
      </c>
      <c r="G15" s="1167" t="e">
        <f>SUMIFS('[1]Dana Eks'!$O$6:$O$71,'[1]Dana Eks'!$J$6:$J$71,Master!$C$29, '[1]Dana Eks'!$M$6:$M$71,Master!$A$38, '[1]Dana Eks'!$C$6:$C$71,"&lt;&gt;")+SUMIFS('[1]Dana Eks'!$O$6:$O$71,'[1]Dana Eks'!$J$6:$J$71,Master!$C$31, '[1]Dana Eks'!$M$6:$M$71,Master!$A$38, '[1]Dana Eks'!$C$6:$C$71,"&lt;&gt;")</f>
        <v>#VALUE!</v>
      </c>
      <c r="H15" s="175"/>
      <c r="I15" s="175"/>
      <c r="J15" s="175"/>
      <c r="K15" s="175"/>
      <c r="L15" s="175"/>
      <c r="M15" s="175"/>
      <c r="N15" s="175"/>
      <c r="O15" s="175"/>
      <c r="P15" s="175"/>
      <c r="Q15" s="175"/>
      <c r="R15" s="175"/>
      <c r="S15" s="175"/>
      <c r="T15" s="175"/>
      <c r="U15" s="175"/>
      <c r="V15" s="175"/>
      <c r="W15" s="175"/>
      <c r="X15" s="175"/>
      <c r="Y15" s="175"/>
      <c r="Z15" s="175"/>
      <c r="AA15" s="175"/>
    </row>
    <row r="16" spans="1:27" ht="14.5">
      <c r="A16" s="17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row>
    <row r="17" spans="1:27" ht="14.5">
      <c r="A17" s="175"/>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row>
    <row r="18" spans="1:27" ht="14.5">
      <c r="A18" s="175"/>
      <c r="B18" s="175"/>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row>
    <row r="19" spans="1:27" ht="14.5">
      <c r="A19" s="175" t="s">
        <v>3120</v>
      </c>
      <c r="B19" s="175" t="s">
        <v>3122</v>
      </c>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c r="AA19" s="175"/>
    </row>
    <row r="20" spans="1:27" ht="14.5">
      <c r="A20" s="175" t="s">
        <v>3131</v>
      </c>
      <c r="B20" s="1163">
        <f>SITASI!AJ126</f>
        <v>1234</v>
      </c>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c r="AA20" s="175"/>
    </row>
    <row r="21" spans="1:27" ht="14.5">
      <c r="A21" s="175" t="s">
        <v>3132</v>
      </c>
      <c r="B21" s="1163">
        <v>9</v>
      </c>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c r="AA21" s="175"/>
    </row>
    <row r="22" spans="1:27" ht="15.75" customHeight="1">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c r="AA22" s="175"/>
    </row>
    <row r="23" spans="1:27" ht="15.75" customHeight="1">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c r="AA23" s="175"/>
    </row>
    <row r="24" spans="1:27" ht="15.75" customHeight="1">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row>
    <row r="25" spans="1:27" ht="15.75"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row>
    <row r="26" spans="1:27" ht="15.75" customHeight="1">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row>
    <row r="27" spans="1:27" ht="15.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row>
    <row r="28" spans="1:27" ht="15.75" customHeight="1">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row>
    <row r="29" spans="1:27" ht="15.75" customHeight="1">
      <c r="A29" s="175" t="s">
        <v>3133</v>
      </c>
      <c r="B29" s="175"/>
      <c r="C29" s="175"/>
      <c r="D29" s="175"/>
      <c r="E29" s="175"/>
      <c r="F29" s="175"/>
      <c r="G29" s="175"/>
      <c r="H29" s="175"/>
      <c r="I29" s="175"/>
      <c r="J29" s="175"/>
      <c r="K29" s="175"/>
      <c r="L29" s="175" t="s">
        <v>3134</v>
      </c>
      <c r="M29" s="175"/>
      <c r="N29" s="175"/>
      <c r="O29" s="175"/>
      <c r="P29" s="175"/>
      <c r="Q29" s="175"/>
      <c r="R29" s="175"/>
      <c r="S29" s="175"/>
      <c r="T29" s="175"/>
      <c r="U29" s="175"/>
      <c r="V29" s="175"/>
      <c r="W29" s="175"/>
      <c r="X29" s="175"/>
      <c r="Y29" s="175"/>
      <c r="Z29" s="175"/>
      <c r="AA29" s="175"/>
    </row>
    <row r="30" spans="1:27" ht="15.75" customHeight="1">
      <c r="A30" s="175" t="s">
        <v>3135</v>
      </c>
      <c r="B30" s="175" t="s">
        <v>140</v>
      </c>
      <c r="C30" s="175" t="s">
        <v>36</v>
      </c>
      <c r="D30" s="175"/>
      <c r="E30" s="175"/>
      <c r="F30" s="175"/>
      <c r="G30" s="175"/>
      <c r="H30" s="175"/>
      <c r="I30" s="175"/>
      <c r="J30" s="175"/>
      <c r="K30" s="175"/>
      <c r="L30" s="175"/>
      <c r="M30" s="175" t="s">
        <v>3133</v>
      </c>
      <c r="N30" s="175"/>
      <c r="O30" s="175"/>
      <c r="P30" s="175"/>
      <c r="Q30" s="175"/>
      <c r="R30" s="175"/>
      <c r="S30" s="175"/>
      <c r="T30" s="175"/>
      <c r="U30" s="175"/>
      <c r="V30" s="175"/>
      <c r="W30" s="175"/>
      <c r="X30" s="175"/>
      <c r="Y30" s="175"/>
      <c r="Z30" s="175"/>
      <c r="AA30" s="175"/>
    </row>
    <row r="31" spans="1:27" ht="15.75" customHeight="1">
      <c r="A31" s="175" t="e">
        <f t="shared" ref="A31:A34" si="3">#REF!</f>
        <v>#REF!</v>
      </c>
      <c r="B31" s="1163">
        <f>COUNTIFS(PI!$S$6:$S$200, Master!$A$23, PI!$C$6:$C$200, "&lt;&gt;", PI!$R$6:$R$200, Master!$A$14)</f>
        <v>0</v>
      </c>
      <c r="C31" s="1163">
        <f>COUNTIFS(PI!$S$6:$S$200, Master!$A$24, PI!$C$6:$C$200, "&lt;&gt;", PI!$R$6:$R$200, Master!$A$14)</f>
        <v>0</v>
      </c>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row>
    <row r="32" spans="1:27" ht="15.75" customHeight="1">
      <c r="A32" s="175" t="e">
        <f t="shared" si="3"/>
        <v>#REF!</v>
      </c>
      <c r="B32" s="1163">
        <f>COUNTIFS(PI!$S$6:$S$200, Master!$A$23, PI!$C$6:$C$200, "&lt;&gt;", PI!$R$6:$R$200, Master!$A$15)</f>
        <v>0</v>
      </c>
      <c r="C32" s="1163">
        <f>COUNTIFS(PI!$S$6:$S$200, Master!$A$24, PI!$C$6:$C$200, "&lt;&gt;", PI!$R$6:$R$200, Master!$A$15)</f>
        <v>0</v>
      </c>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row>
    <row r="33" spans="1:27" ht="15.75" customHeight="1">
      <c r="A33" s="175" t="e">
        <f t="shared" si="3"/>
        <v>#REF!</v>
      </c>
      <c r="B33" s="1163">
        <f>COUNTIFS(PI!$S$6:$S$200, Master!$A$23, PI!$C$6:$C$200, "&lt;&gt;", PI!$R$6:$R$200, Master!$A$17)</f>
        <v>0</v>
      </c>
      <c r="C33" s="1163">
        <f>COUNTIFS(PI!$S$6:$S$200, Master!$A$24, PI!$C$6:$C$200, "&lt;&gt;", PI!$R$6:$R$200, Master!$A$17)</f>
        <v>0</v>
      </c>
      <c r="D33" s="175"/>
      <c r="E33" s="175"/>
      <c r="F33" s="175"/>
      <c r="G33" s="175"/>
      <c r="H33" s="175"/>
      <c r="I33" s="175"/>
      <c r="J33" s="175"/>
      <c r="K33" s="175"/>
      <c r="L33" s="175"/>
      <c r="M33" s="175"/>
      <c r="N33" s="175"/>
      <c r="O33" s="175"/>
      <c r="P33" s="175"/>
      <c r="Q33" s="175"/>
      <c r="R33" s="175"/>
      <c r="S33" s="175"/>
      <c r="T33" s="175"/>
      <c r="U33" s="175"/>
      <c r="V33" s="175"/>
      <c r="W33" s="175"/>
      <c r="X33" s="175"/>
      <c r="Y33" s="175"/>
      <c r="Z33" s="175"/>
      <c r="AA33" s="175"/>
    </row>
    <row r="34" spans="1:27" ht="15.75" customHeight="1">
      <c r="A34" s="175" t="e">
        <f t="shared" si="3"/>
        <v>#REF!</v>
      </c>
      <c r="B34" s="1163">
        <f>COUNTIFS(PI!$S$6:$S$200, Master!$A$23, PI!$C$6:$C$200, "&lt;&gt;", PI!$R$6:$R$200, Master!$A$16)</f>
        <v>0</v>
      </c>
      <c r="C34" s="1163">
        <f>COUNTIFS(PI!$S$6:$S$200, Master!$A$24, PI!$C$6:$C$200, "&lt;&gt;", PI!$R$6:$R$200, Master!$A$16)</f>
        <v>0</v>
      </c>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row>
    <row r="35" spans="1:27" ht="15.75" customHeight="1">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c r="AA35" s="175"/>
    </row>
    <row r="36" spans="1:27" ht="15.75"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c r="AA36" s="175"/>
    </row>
    <row r="37" spans="1:27" ht="15.75" customHeight="1">
      <c r="A37" s="175" t="s">
        <v>3024</v>
      </c>
      <c r="B37" s="175" t="s">
        <v>3136</v>
      </c>
      <c r="C37" s="175" t="s">
        <v>3137</v>
      </c>
      <c r="D37" s="175"/>
      <c r="E37" s="175"/>
      <c r="F37" s="175"/>
      <c r="G37" s="175"/>
      <c r="H37" s="175"/>
      <c r="I37" s="175"/>
      <c r="J37" s="175"/>
      <c r="K37" s="175"/>
      <c r="L37" s="175"/>
      <c r="M37" s="175" t="s">
        <v>3024</v>
      </c>
      <c r="N37" s="175"/>
      <c r="O37" s="175"/>
      <c r="P37" s="175"/>
      <c r="Q37" s="175"/>
      <c r="R37" s="175"/>
      <c r="S37" s="175"/>
      <c r="T37" s="175"/>
      <c r="U37" s="175"/>
      <c r="V37" s="175"/>
      <c r="W37" s="175"/>
      <c r="X37" s="175"/>
      <c r="Y37" s="175"/>
      <c r="Z37" s="175"/>
      <c r="AA37" s="175"/>
    </row>
    <row r="38" spans="1:27" ht="15.75" customHeight="1">
      <c r="A38" s="175" t="s">
        <v>3138</v>
      </c>
      <c r="B38" s="1163">
        <f>COUNTIFS(PWRP!$R$6:$R$53,Master!$G$21, PWRP!$Q$6:$Q$53,Master!$C$20, PWRP!$C$6:$C$53,"&lt;&gt;")</f>
        <v>0</v>
      </c>
      <c r="C38" s="1163">
        <f>COUNTIFS(PWRP!$R$6:$R$53,Master!$G$20, PWRP!$Q$6:$Q$53,Master!$C$20, PWRP!$C$6:$C$53,"&lt;&gt;")+B38</f>
        <v>0</v>
      </c>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5"/>
    </row>
    <row r="39" spans="1:27" ht="15.75" customHeight="1">
      <c r="A39" s="175" t="s">
        <v>3139</v>
      </c>
      <c r="B39" s="1163">
        <f>COUNTIFS(PWRP!$R$6:$R$53,Master!$G$21, PWRP!$Q$6:$Q$53,Master!$C$21, PWRP!$C$6:$C$53,"&lt;&gt;")</f>
        <v>0</v>
      </c>
      <c r="C39" s="1163">
        <f>COUNTIFS(PWRP!$R$6:$R$53,Master!$G$20, PWRP!$Q$6:$Q$53,Master!$C$21, PWRP!$C$6:$C$53,"&lt;&gt;")+B39</f>
        <v>0</v>
      </c>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row>
    <row r="40" spans="1:27" ht="15.75" customHeight="1">
      <c r="A40" s="175" t="s">
        <v>3140</v>
      </c>
      <c r="B40" s="1163">
        <f>COUNTIFS(PWRP!$R$6:$R$53,Master!$G$21, PWRP!$Q$6:$Q$53,Master!$C$22, PWRP!$C$6:$C$53,"&lt;&gt;")</f>
        <v>0</v>
      </c>
      <c r="C40" s="1163">
        <f>COUNTIFS(PWRP!$R$6:$R$53,Master!$G$20, PWRP!$Q$6:$Q$53,Master!$C$22, PWRP!$C$6:$C$53,"&lt;&gt;")+B40</f>
        <v>0</v>
      </c>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5"/>
    </row>
    <row r="41" spans="1:27" ht="15.75" customHeight="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5"/>
    </row>
    <row r="42" spans="1:27" ht="15.75" customHeight="1">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row>
    <row r="43" spans="1:27" ht="15.7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row>
    <row r="44" spans="1:27" ht="15.75" customHeight="1">
      <c r="A44" s="175" t="s">
        <v>3020</v>
      </c>
      <c r="B44" s="175" t="s">
        <v>3141</v>
      </c>
      <c r="C44" s="175" t="s">
        <v>2180</v>
      </c>
      <c r="D44" s="175"/>
      <c r="E44" s="175"/>
      <c r="F44" s="175"/>
      <c r="G44" s="175"/>
      <c r="H44" s="175"/>
      <c r="I44" s="175"/>
      <c r="J44" s="175"/>
      <c r="K44" s="175"/>
      <c r="L44" s="175"/>
      <c r="M44" s="175" t="s">
        <v>3020</v>
      </c>
      <c r="N44" s="175"/>
      <c r="O44" s="175"/>
      <c r="P44" s="175"/>
      <c r="Q44" s="175"/>
      <c r="R44" s="175"/>
      <c r="S44" s="175"/>
      <c r="T44" s="175"/>
      <c r="U44" s="175"/>
      <c r="V44" s="175"/>
      <c r="W44" s="175"/>
      <c r="X44" s="175"/>
      <c r="Y44" s="175"/>
      <c r="Z44" s="175"/>
      <c r="AA44" s="175"/>
    </row>
    <row r="45" spans="1:27" ht="15.75" customHeight="1">
      <c r="A45" s="175" t="s">
        <v>3086</v>
      </c>
      <c r="B45" s="1163">
        <f>COUNTIFS(KI!$S$6:$S$70,Master!$A$7, KI!$R$6:$R$70,Master!$A$4, KI!$C$6:$C$70,"&lt;&gt;")</f>
        <v>0</v>
      </c>
      <c r="C45" s="1163">
        <f>COUNTIFS(KI!$S$6:$S$70,Master!$A$7, KI!$R$6:$R$70,Master!$A$5, KI!$C$6:$C$70,"&lt;&gt;")</f>
        <v>0</v>
      </c>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row>
    <row r="46" spans="1:27" ht="15.75" customHeight="1">
      <c r="A46" s="175" t="s">
        <v>3087</v>
      </c>
      <c r="B46" s="1163">
        <f>COUNTIFS(KI!$S$6:$S$70,Master!$A$8, KI!$R$6:$R$70,Master!$A$4, KI!$C$6:$C$70,"&lt;&gt;")</f>
        <v>0</v>
      </c>
      <c r="C46" s="1163">
        <f>COUNTIFS(KI!$S$6:$S$70,Master!$A$8, KI!$R$6:$R$70,Master!$A$5, KI!$C$6:$C$70,"&lt;&gt;")</f>
        <v>0</v>
      </c>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row>
    <row r="47" spans="1:27" ht="15.75" customHeight="1">
      <c r="A47" s="175" t="s">
        <v>3088</v>
      </c>
      <c r="B47" s="1163">
        <f>COUNTIFS(KI!$S$6:$S$70,Master!$A$9, KI!$R$6:$R$70,Master!$A$4, KI!$C$6:$C$70,"&lt;&gt;")</f>
        <v>0</v>
      </c>
      <c r="C47" s="1163">
        <f>COUNTIFS(KI!$S$6:$S$70,Master!$A$9, KI!$R$6:$R$70,Master!$A$5, KI!$C$6:$C$70,"&lt;&gt;")</f>
        <v>0</v>
      </c>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row>
    <row r="48" spans="1:27" ht="15.7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row>
    <row r="49" spans="1:27" ht="15.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row>
    <row r="50" spans="1:27" ht="15.75" customHeight="1">
      <c r="A50" s="175" t="s">
        <v>3131</v>
      </c>
      <c r="B50" s="175"/>
      <c r="C50" s="175"/>
      <c r="D50" s="175"/>
      <c r="E50" s="175"/>
      <c r="F50" s="175"/>
      <c r="G50" s="175"/>
      <c r="H50" s="175"/>
      <c r="I50" s="175"/>
      <c r="J50" s="175"/>
      <c r="K50" s="175"/>
      <c r="L50" s="175"/>
      <c r="M50" s="175" t="s">
        <v>3131</v>
      </c>
      <c r="N50" s="175"/>
      <c r="O50" s="175"/>
      <c r="P50" s="175"/>
      <c r="Q50" s="175"/>
      <c r="R50" s="175"/>
      <c r="S50" s="175"/>
      <c r="T50" s="175"/>
      <c r="U50" s="175"/>
      <c r="V50" s="175"/>
      <c r="W50" s="175"/>
      <c r="X50" s="175"/>
      <c r="Y50" s="175"/>
      <c r="Z50" s="175"/>
      <c r="AA50" s="175"/>
    </row>
    <row r="51" spans="1:27" ht="15.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row>
    <row r="52" spans="1:27" ht="15.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row>
    <row r="53" spans="1:27" ht="15.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row>
    <row r="54" spans="1:27" ht="15.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row>
    <row r="55" spans="1:27" ht="15.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row>
    <row r="56" spans="1:27" ht="15.75" customHeight="1">
      <c r="A56" s="175" t="s">
        <v>1857</v>
      </c>
      <c r="B56" s="175"/>
      <c r="C56" s="175"/>
      <c r="D56" s="175"/>
      <c r="E56" s="175"/>
      <c r="F56" s="175"/>
      <c r="G56" s="175"/>
      <c r="H56" s="175"/>
      <c r="I56" s="175"/>
      <c r="J56" s="175"/>
      <c r="K56" s="175"/>
      <c r="L56" s="175"/>
      <c r="M56" s="175" t="s">
        <v>1857</v>
      </c>
      <c r="N56" s="175"/>
      <c r="O56" s="175"/>
      <c r="P56" s="175"/>
      <c r="Q56" s="175"/>
      <c r="R56" s="175"/>
      <c r="S56" s="175"/>
      <c r="T56" s="175"/>
      <c r="U56" s="175"/>
      <c r="V56" s="175"/>
      <c r="W56" s="175"/>
      <c r="X56" s="175"/>
      <c r="Y56" s="175"/>
      <c r="Z56" s="175"/>
      <c r="AA56" s="175"/>
    </row>
    <row r="57" spans="1:27" ht="15.75" customHeight="1">
      <c r="A57" s="175" t="s">
        <v>3101</v>
      </c>
      <c r="B57" s="1167" t="e">
        <f>SUMIFS('[1]Dana Eks'!$O$6:$O$71,'[1]Dana Eks'!$J$6:$J$71,Master!$C$29, '[1]Dana Eks'!$C$6:$C$71,"&lt;&gt;", '[1]Dana Eks'!$L$6:$L$71,Master!$A$29)+SUMIFS('[1]Dana Eks'!$O$6:$O$71,'[1]Dana Eks'!$J$6:$J$71,Master!$C$31, '[1]Dana Eks'!$C$6:$C$71,"&lt;&gt;", '[1]Dana Eks'!$L$6:$L$71,Master!$A$29)</f>
        <v>#VALUE!</v>
      </c>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row>
    <row r="58" spans="1:27" ht="15.75" customHeight="1">
      <c r="A58" s="175" t="s">
        <v>3102</v>
      </c>
      <c r="B58" s="1167" t="e">
        <f>SUMIFS('[1]Dana Eks'!$O$6:$O$71,'[1]Dana Eks'!$J$6:$J$71,Master!$C$29, '[1]Dana Eks'!$C$6:$C$71,"&lt;&gt;", '[1]Dana Eks'!$L$6:$L$71,Master!$A$30)+SUMIFS('[1]Dana Eks'!$O$6:$O$71,'[1]Dana Eks'!$J$6:$J$71,Master!$C$31, '[1]Dana Eks'!$C$6:$C$71,"&lt;&gt;", '[1]Dana Eks'!$L$6:$L$71,Master!$A$30)</f>
        <v>#VALUE!</v>
      </c>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row>
    <row r="59" spans="1:27" ht="15.75" customHeight="1">
      <c r="A59" s="175" t="s">
        <v>3142</v>
      </c>
      <c r="B59" s="1167" t="e">
        <f>SUMIFS('[1]Dana Eks'!$O$6:$O$71,'[1]Dana Eks'!$J$6:$J$71,Master!$C$29, '[1]Dana Eks'!$C$6:$C$71,"&lt;&gt;", '[1]Dana Eks'!$L$6:$L$71,Master!$A$31)+SUMIFS('[1]Dana Eks'!$O$6:$O$71,'[1]Dana Eks'!$J$6:$J$71,Master!$C$31, '[1]Dana Eks'!$C$6:$C$71,"&lt;&gt;", '[1]Dana Eks'!$L$6:$L$71,Master!$A$31)</f>
        <v>#VALUE!</v>
      </c>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row>
    <row r="60" spans="1:27" ht="15.75" customHeight="1">
      <c r="A60" s="175" t="s">
        <v>3104</v>
      </c>
      <c r="B60" s="1167" t="e">
        <f>SUMIFS('[1]Dana Eks'!$O$6:$O$71,'[1]Dana Eks'!$J$6:$J$71,Master!$C$29, '[1]Dana Eks'!$C$6:$C$71,"&lt;&gt;", '[1]Dana Eks'!$L$6:$L$71,Master!$A$32)+SUMIFS('[1]Dana Eks'!$O$6:$O$71,'[1]Dana Eks'!$J$6:$J$71,Master!$C$31, '[1]Dana Eks'!$C$6:$C$71,"&lt;&gt;", '[1]Dana Eks'!$L$6:$L$71,Master!$A$32)</f>
        <v>#VALUE!</v>
      </c>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row>
    <row r="61" spans="1:27" ht="15.75" customHeight="1">
      <c r="A61" s="175" t="s">
        <v>2140</v>
      </c>
      <c r="B61" s="1167" t="e">
        <f>SUMIFS('[1]Dana Eks'!$O$6:$O$71,'[1]Dana Eks'!$J$6:$J$71,Master!$C$29, '[1]Dana Eks'!$C$6:$C$71,"&lt;&gt;", '[1]Dana Eks'!$L$6:$L$71,Master!$A$33)+SUMIFS('[1]Dana Eks'!$O$6:$O$71,'[1]Dana Eks'!$J$6:$J$71,Master!$C$31, '[1]Dana Eks'!$C$6:$C$71,"&lt;&gt;", '[1]Dana Eks'!$L$6:$L$71,Master!$A$33)</f>
        <v>#VALUE!</v>
      </c>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row>
    <row r="62" spans="1:27" ht="15.75" customHeight="1">
      <c r="A62" s="175" t="s">
        <v>1858</v>
      </c>
      <c r="B62" s="1167" t="e">
        <f>SUMIFS('[1]Dana Eks'!$O$6:$O$71,'[1]Dana Eks'!$J$6:$J$71,Master!$C$29, '[1]Dana Eks'!$C$6:$C$71,"&lt;&gt;", '[1]Dana Eks'!$L$6:$L$71,Master!$A$34)+SUMIFS('[1]Dana Eks'!$O$6:$O$71,'[1]Dana Eks'!$J$6:$J$71,Master!$C$31, '[1]Dana Eks'!$C$6:$C$71,"&lt;&gt;", '[1]Dana Eks'!$L$6:$L$71,Master!$A$34)</f>
        <v>#VALUE!</v>
      </c>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row>
    <row r="63" spans="1:27" ht="15.75" customHeight="1">
      <c r="A63" s="175" t="s">
        <v>3107</v>
      </c>
      <c r="B63" s="1167" t="e">
        <f>SUMIFS('[1]Dana Eks'!$O$6:$O$71,'[1]Dana Eks'!$J$6:$J$71,Master!$C$29, '[1]Dana Eks'!$C$6:$C$71,"&lt;&gt;", '[1]Dana Eks'!$L$6:$L$71,Master!$A$36)+SUMIFS('[1]Dana Eks'!$O$6:$O$71,'[1]Dana Eks'!$J$6:$J$71,Master!$C$31, '[1]Dana Eks'!$C$6:$C$71,"&lt;&gt;", '[1]Dana Eks'!$L$6:$L$71,Master!$A$36)</f>
        <v>#VALUE!</v>
      </c>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row>
    <row r="64" spans="1:27" ht="15.75" customHeight="1">
      <c r="A64" s="175" t="s">
        <v>3096</v>
      </c>
      <c r="B64" s="1167" t="e">
        <f>SUMIFS('[1]Dana Eks'!$O$6:$O$71,'[1]Dana Eks'!$J$6:$J$71,Master!$C$29, '[1]Dana Eks'!$K$6:$K$71,Master!$G$29, '[1]Dana Eks'!$C$6:$C$71,"&lt;&gt;")+SUMIFS('[1]Dana Eks'!$O$6:$O$71,'[1]Dana Eks'!$J$6:$J$71,Master!$C$29, '[1]Dana Eks'!$K$6:$K$71,Master!$G$30, '[1]Dana Eks'!$C$6:$C$71,"&lt;&gt;")</f>
        <v>#VALUE!</v>
      </c>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row>
    <row r="65" spans="1:27" ht="15.75" customHeight="1">
      <c r="A65" s="175" t="s">
        <v>3097</v>
      </c>
      <c r="B65" s="1167" t="e">
        <f>SUMIFS('[1]Dana Eks'!$O$6:$O$71,'[1]Dana Eks'!$J$6:$J$71,Master!$C$31, '[1]Dana Eks'!$K$6:$K$71,Master!$G$29, '[1]Dana Eks'!$C$6:$C$71,"&lt;&gt;")+SUMIFS('[1]Dana Eks'!$O$6:$O$71,'[1]Dana Eks'!$J$6:$J$71,Master!$C$31, '[1]Dana Eks'!$K$6:$K$71,Master!$G$30, '[1]Dana Eks'!$C$6:$C$71,"&lt;&gt;")</f>
        <v>#VALUE!</v>
      </c>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row>
    <row r="66" spans="1:27" ht="15.75" customHeight="1">
      <c r="A66" s="175" t="s">
        <v>3098</v>
      </c>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spans="1:27" ht="15.75" customHeight="1">
      <c r="A67" s="175" t="s">
        <v>3099</v>
      </c>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row>
    <row r="68" spans="1:27" ht="15.75" customHeight="1">
      <c r="A68" s="175" t="s">
        <v>3143</v>
      </c>
      <c r="B68" s="175"/>
      <c r="C68" s="175"/>
      <c r="D68" s="175"/>
      <c r="E68" s="175" t="s">
        <v>2848</v>
      </c>
      <c r="F68" s="175" t="s">
        <v>2102</v>
      </c>
      <c r="G68" s="175" t="s">
        <v>3144</v>
      </c>
      <c r="H68" s="175" t="s">
        <v>3145</v>
      </c>
      <c r="I68" s="175"/>
      <c r="J68" s="175"/>
      <c r="K68" s="175"/>
      <c r="L68" s="175"/>
      <c r="M68" s="175" t="s">
        <v>3143</v>
      </c>
      <c r="N68" s="175"/>
      <c r="O68" s="175"/>
      <c r="P68" s="175"/>
      <c r="Q68" s="175"/>
      <c r="R68" s="175"/>
      <c r="S68" s="175"/>
      <c r="T68" s="175"/>
      <c r="U68" s="175"/>
      <c r="V68" s="175"/>
      <c r="W68" s="175"/>
      <c r="X68" s="175"/>
      <c r="Y68" s="175"/>
      <c r="Z68" s="175"/>
      <c r="AA68" s="175"/>
    </row>
    <row r="69" spans="1:27" ht="15.75" customHeight="1">
      <c r="A69" s="175" t="s">
        <v>2848</v>
      </c>
      <c r="B69" s="1163">
        <f>COUNTIFS('SDM IPTEK'!$F$6:$F$61,Master!$C$43, 'SDM IPTEK'!$C$6:$C$61,"&lt;&gt;")</f>
        <v>0</v>
      </c>
      <c r="C69" s="175"/>
      <c r="D69" s="175"/>
      <c r="E69" s="1163">
        <v>40</v>
      </c>
      <c r="F69" s="1163">
        <v>36</v>
      </c>
      <c r="G69" s="1163">
        <v>22</v>
      </c>
      <c r="H69" s="1163">
        <v>54</v>
      </c>
      <c r="I69" s="175"/>
      <c r="J69" s="175"/>
      <c r="K69" s="175"/>
      <c r="L69" s="175"/>
      <c r="M69" s="175"/>
      <c r="N69" s="175"/>
      <c r="O69" s="175"/>
      <c r="P69" s="175"/>
      <c r="Q69" s="175"/>
      <c r="R69" s="175"/>
      <c r="S69" s="175"/>
      <c r="T69" s="175"/>
      <c r="U69" s="175"/>
      <c r="V69" s="175"/>
      <c r="W69" s="175"/>
      <c r="X69" s="175"/>
      <c r="Y69" s="175"/>
      <c r="Z69" s="175"/>
      <c r="AA69" s="175"/>
    </row>
    <row r="70" spans="1:27" ht="15.75" customHeight="1">
      <c r="A70" s="175" t="s">
        <v>2102</v>
      </c>
      <c r="B70" s="1163">
        <f>COUNTIFS('SDM IPTEK'!$F$6:$F$61,Master!$C$44, 'SDM IPTEK'!$C$6:$C$61,"&lt;&gt;")</f>
        <v>0</v>
      </c>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row>
    <row r="71" spans="1:27" ht="15.75" customHeight="1">
      <c r="A71" s="175" t="s">
        <v>3146</v>
      </c>
      <c r="B71" s="1163">
        <f>COUNTIFS('SDM IPTEK'!$H$6:$H$61,Master!$A$45, 'SDM IPTEK'!$C$6:$C$61,"&lt;&gt;")</f>
        <v>0</v>
      </c>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row>
    <row r="72" spans="1:27" ht="15.75" customHeight="1">
      <c r="A72" s="175" t="s">
        <v>3147</v>
      </c>
      <c r="B72" s="1163">
        <f>COUNTIFS('SDM IPTEK'!$H$6:$H$61,Master!$A$46, 'SDM IPTEK'!$C$6:$C$61,"&lt;&gt;")</f>
        <v>0</v>
      </c>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row>
    <row r="73" spans="1:27"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row>
    <row r="74" spans="1:27"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row>
    <row r="75" spans="1:27" ht="15.75" customHeight="1">
      <c r="A75" s="175" t="s">
        <v>3148</v>
      </c>
      <c r="B75" s="175"/>
      <c r="C75" s="175"/>
      <c r="D75" s="175"/>
      <c r="E75" s="175"/>
      <c r="F75" s="175"/>
      <c r="G75" s="175"/>
      <c r="H75" s="175"/>
      <c r="I75" s="175"/>
      <c r="J75" s="175"/>
      <c r="K75" s="175"/>
      <c r="L75" s="175"/>
      <c r="M75" s="175" t="s">
        <v>3148</v>
      </c>
      <c r="N75" s="175"/>
      <c r="O75" s="175"/>
      <c r="P75" s="175"/>
      <c r="Q75" s="175"/>
      <c r="R75" s="175"/>
      <c r="S75" s="175"/>
      <c r="T75" s="175"/>
      <c r="U75" s="175"/>
      <c r="V75" s="175"/>
      <c r="W75" s="175"/>
      <c r="X75" s="175"/>
      <c r="Y75" s="175"/>
      <c r="Z75" s="175"/>
      <c r="AA75" s="175"/>
    </row>
    <row r="76" spans="1:27"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row>
    <row r="77" spans="1:27"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row>
    <row r="78" spans="1:27"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row>
    <row r="79" spans="1:27" ht="15.75" customHeight="1">
      <c r="A79" s="175"/>
      <c r="B79" s="175"/>
      <c r="C79" s="175"/>
      <c r="D79" s="175"/>
      <c r="E79" s="175"/>
      <c r="F79" s="175"/>
      <c r="G79" s="175"/>
      <c r="H79" s="175"/>
      <c r="I79" s="175"/>
      <c r="J79" s="175"/>
      <c r="K79" s="175"/>
      <c r="L79" s="175" t="s">
        <v>3149</v>
      </c>
      <c r="M79" s="175"/>
      <c r="N79" s="175"/>
      <c r="O79" s="175"/>
      <c r="P79" s="175"/>
      <c r="Q79" s="175"/>
      <c r="R79" s="175"/>
      <c r="S79" s="175"/>
      <c r="T79" s="175"/>
      <c r="U79" s="175"/>
      <c r="V79" s="175"/>
      <c r="W79" s="175"/>
      <c r="X79" s="175"/>
      <c r="Y79" s="175"/>
      <c r="Z79" s="175"/>
      <c r="AA79" s="175"/>
    </row>
    <row r="80" spans="1:27" ht="15.75" customHeight="1">
      <c r="A80" s="175" t="s">
        <v>3149</v>
      </c>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row>
    <row r="81" spans="1:27"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row>
    <row r="82" spans="1:27"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row>
    <row r="83" spans="1:27"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row>
    <row r="84" spans="1:27"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row>
    <row r="85" spans="1:27"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row>
    <row r="86" spans="1:27"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row>
    <row r="87" spans="1:27"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row>
    <row r="88" spans="1:27"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row>
    <row r="89" spans="1:27"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row>
    <row r="90" spans="1:27"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row>
    <row r="91" spans="1:27"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row>
    <row r="92" spans="1:27"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row>
    <row r="93" spans="1:27"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row>
    <row r="94" spans="1:27"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row>
    <row r="95" spans="1:27"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row>
    <row r="96" spans="1:27"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row>
    <row r="97" spans="1:27"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row>
    <row r="98" spans="1:27"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row>
    <row r="99" spans="1:27"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row>
    <row r="100" spans="1:27"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row>
    <row r="101" spans="1:27"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row>
    <row r="102" spans="1:27"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row>
    <row r="103" spans="1:27"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row>
    <row r="104" spans="1:27"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row>
    <row r="105" spans="1:27"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row>
    <row r="106" spans="1:27"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row>
    <row r="107" spans="1:27"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row>
    <row r="108" spans="1:27"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row>
    <row r="109" spans="1:27"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row>
    <row r="110" spans="1:27"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row>
    <row r="111" spans="1:27"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row>
    <row r="112" spans="1:27"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row>
    <row r="113" spans="1:27"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row>
    <row r="114" spans="1:27"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row>
    <row r="115" spans="1:27"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row>
    <row r="116" spans="1:27"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row>
    <row r="117" spans="1:27"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row>
    <row r="118" spans="1:27"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row>
    <row r="119" spans="1:27"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row>
    <row r="120" spans="1:27"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row>
    <row r="121" spans="1:27"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row>
    <row r="122" spans="1:27"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row>
    <row r="123" spans="1:27"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row>
    <row r="124" spans="1:27"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row>
    <row r="125" spans="1:27"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row>
    <row r="126" spans="1:27"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row>
    <row r="127" spans="1:27"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row>
    <row r="128" spans="1:27"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row>
    <row r="129" spans="1:27"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row>
    <row r="130" spans="1:27"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row>
    <row r="131" spans="1:27"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row>
    <row r="132" spans="1:27"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row>
    <row r="133" spans="1:27"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row>
    <row r="134" spans="1:27"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row>
    <row r="135" spans="1:27"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row>
    <row r="136" spans="1:27"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row>
    <row r="137" spans="1:27"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row>
    <row r="138" spans="1:27"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row>
    <row r="139" spans="1:27"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row>
    <row r="140" spans="1:27"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row>
    <row r="141" spans="1:27"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row>
    <row r="142" spans="1:27"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row>
    <row r="143" spans="1:27"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row>
    <row r="144" spans="1:27"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row>
    <row r="145" spans="1:27"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row>
    <row r="146" spans="1:27"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row>
    <row r="147" spans="1:27"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row>
    <row r="148" spans="1:27"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row>
    <row r="149" spans="1:27"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row>
    <row r="150" spans="1:27"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row>
    <row r="151" spans="1:27"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row>
    <row r="152" spans="1:27"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row>
    <row r="153" spans="1:27"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row>
    <row r="154" spans="1:27"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row>
    <row r="155" spans="1:27"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row>
    <row r="156" spans="1:27"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row>
    <row r="157" spans="1:27"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row>
    <row r="158" spans="1:27"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row>
    <row r="159" spans="1:27"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row>
    <row r="160" spans="1:27"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row>
    <row r="161" spans="1:27"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row>
    <row r="162" spans="1:27"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row>
    <row r="163" spans="1:27"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row>
    <row r="164" spans="1:27"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row>
    <row r="165" spans="1:27"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row>
    <row r="166" spans="1:27"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row>
    <row r="167" spans="1:27"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row>
    <row r="168" spans="1:27"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row>
    <row r="169" spans="1:27"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row>
    <row r="170" spans="1:27"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row>
    <row r="171" spans="1:27"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row>
    <row r="172" spans="1:27"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row>
    <row r="173" spans="1:27"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row>
    <row r="174" spans="1:27"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row>
    <row r="175" spans="1:27"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row>
    <row r="176" spans="1:27"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row>
    <row r="177" spans="1:27"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row>
    <row r="178" spans="1:27"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row>
    <row r="179" spans="1:27"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row>
    <row r="180" spans="1:27"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row>
    <row r="181" spans="1:27"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row>
    <row r="182" spans="1:27"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row>
    <row r="183" spans="1:27"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row>
    <row r="184" spans="1:27"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row>
    <row r="185" spans="1:27"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row>
    <row r="186" spans="1:27"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row>
    <row r="187" spans="1:27"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row>
    <row r="188" spans="1:27"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row>
    <row r="189" spans="1:27"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row>
    <row r="190" spans="1:27"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row>
    <row r="191" spans="1:27"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row>
    <row r="192" spans="1:27"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row>
    <row r="193" spans="1:27"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row>
    <row r="194" spans="1:27"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row>
    <row r="195" spans="1:27"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row>
    <row r="196" spans="1:27"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row>
    <row r="197" spans="1:27"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row>
    <row r="198" spans="1:27"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row>
    <row r="199" spans="1:27"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row>
    <row r="200" spans="1:27"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row>
    <row r="201" spans="1:27"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row>
    <row r="202" spans="1:27"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row>
    <row r="203" spans="1:27"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row>
    <row r="204" spans="1:27"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row>
    <row r="205" spans="1:27"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row>
    <row r="206" spans="1:27"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row>
    <row r="207" spans="1:27"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row>
    <row r="208" spans="1:27"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row>
    <row r="209" spans="1:27"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row>
    <row r="210" spans="1:27"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row>
    <row r="211" spans="1:27"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row>
    <row r="212" spans="1:27"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row>
    <row r="213" spans="1:27"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row>
    <row r="214" spans="1:27"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row>
    <row r="215" spans="1:27"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row>
    <row r="216" spans="1:27"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row>
    <row r="217" spans="1:27"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row>
    <row r="218" spans="1:27"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row>
    <row r="219" spans="1:27"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row>
    <row r="220" spans="1:27"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row>
    <row r="221" spans="1:27"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row>
    <row r="222" spans="1:27"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row>
    <row r="223" spans="1:27"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row>
    <row r="224" spans="1:27"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row>
    <row r="225" spans="1:27"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row>
    <row r="226" spans="1:27"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row>
    <row r="227" spans="1:27"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row>
    <row r="228" spans="1:27"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row>
    <row r="229" spans="1:27"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row>
    <row r="230" spans="1:27"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row>
    <row r="231" spans="1:27"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row>
    <row r="232" spans="1:27"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row>
    <row r="233" spans="1:27"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row>
    <row r="234" spans="1:27"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row>
    <row r="235" spans="1:27"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row>
    <row r="236" spans="1:27"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row>
    <row r="237" spans="1:27"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row>
    <row r="238" spans="1:27"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row>
    <row r="239" spans="1:27"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row>
    <row r="240" spans="1:27"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row>
    <row r="241" spans="1:27"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row>
    <row r="242" spans="1:27"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row>
    <row r="243" spans="1:27"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row>
    <row r="244" spans="1:27"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row>
    <row r="245" spans="1:27"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row>
    <row r="246" spans="1:27"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row>
    <row r="247" spans="1:27"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row>
    <row r="248" spans="1:27"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row>
    <row r="249" spans="1:27"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row>
    <row r="250" spans="1:27"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row>
    <row r="251" spans="1:27"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row>
    <row r="252" spans="1:27"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row>
    <row r="253" spans="1:27"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row>
    <row r="254" spans="1:27"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row>
    <row r="255" spans="1:27"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row>
    <row r="256" spans="1:27"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row>
    <row r="257" spans="1:27"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row>
    <row r="258" spans="1:27"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row>
    <row r="259" spans="1:27"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row>
    <row r="260" spans="1:27"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row>
    <row r="261" spans="1:27"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row>
    <row r="262" spans="1:27"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row>
    <row r="263" spans="1:27"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row>
    <row r="264" spans="1:27"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row>
    <row r="265" spans="1:27"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row>
    <row r="266" spans="1:27"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row>
    <row r="267" spans="1:27"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row>
    <row r="268" spans="1:27"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row>
    <row r="269" spans="1:27"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row>
    <row r="270" spans="1:27"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row>
    <row r="271" spans="1:27"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row>
    <row r="272" spans="1:27"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row>
    <row r="273" spans="1:27"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row>
    <row r="274" spans="1:27"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row>
    <row r="275" spans="1:27"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row>
    <row r="276" spans="1:27"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row>
    <row r="277" spans="1:27"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row>
    <row r="278" spans="1:27"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row>
    <row r="279" spans="1:27"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row>
    <row r="280" spans="1:27"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row>
    <row r="281" spans="1:27"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row>
    <row r="282" spans="1:27" ht="15.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row>
    <row r="283" spans="1:27" ht="15.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row>
    <row r="284" spans="1:27" ht="15.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row>
    <row r="285" spans="1:27" ht="15.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row>
    <row r="286" spans="1:27" ht="15.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row>
    <row r="287" spans="1:27" ht="15.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row>
    <row r="288" spans="1:27" ht="15.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row>
    <row r="289" spans="1:27" ht="15.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row>
    <row r="290" spans="1:27" ht="15.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row>
    <row r="291" spans="1:27" ht="15.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row>
    <row r="292" spans="1:27" ht="15.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row>
    <row r="293" spans="1:27" ht="15.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row>
    <row r="294" spans="1:27" ht="15.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row>
    <row r="295" spans="1:27" ht="15.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row>
    <row r="296" spans="1:27" ht="15.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row>
    <row r="297" spans="1:27" ht="15.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row>
    <row r="298" spans="1:27" ht="15.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row>
    <row r="299" spans="1:27" ht="15.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row>
    <row r="300" spans="1:27" ht="15.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row>
    <row r="301" spans="1:27" ht="15.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row>
    <row r="302" spans="1:27" ht="15.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row>
    <row r="303" spans="1:27" ht="15.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row>
    <row r="304" spans="1:27" ht="15.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row>
    <row r="305" spans="1:27" ht="15.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row>
    <row r="306" spans="1:27" ht="15.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row>
    <row r="307" spans="1:27" ht="15.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row>
    <row r="308" spans="1:27" ht="15.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row>
    <row r="309" spans="1:27" ht="15.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row>
    <row r="310" spans="1:27" ht="15.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row>
    <row r="311" spans="1:27" ht="15.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row>
    <row r="312" spans="1:27" ht="15.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row>
    <row r="313" spans="1:27" ht="15.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row>
    <row r="314" spans="1:27" ht="15.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row>
    <row r="315" spans="1:27" ht="15.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row>
    <row r="316" spans="1:27" ht="15.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row>
    <row r="317" spans="1:27" ht="15.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row>
    <row r="318" spans="1:27" ht="15.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row>
    <row r="319" spans="1:27" ht="15.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row>
    <row r="320" spans="1:27"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row>
    <row r="321" spans="1:27"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row>
    <row r="322" spans="1:27"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row>
    <row r="323" spans="1:27"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row>
    <row r="324" spans="1:27"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row>
    <row r="325" spans="1:27"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row>
    <row r="326" spans="1:27"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row>
    <row r="327" spans="1:27"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row>
    <row r="328" spans="1:27"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row>
    <row r="329" spans="1:27"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row>
    <row r="330" spans="1:27"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row>
    <row r="331" spans="1:27"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row>
    <row r="332" spans="1:27"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row>
    <row r="333" spans="1:27"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row>
    <row r="334" spans="1:27"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row>
    <row r="335" spans="1:27"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row>
    <row r="336" spans="1:27"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row>
    <row r="337" spans="1:27"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row>
    <row r="338" spans="1:27"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row>
    <row r="339" spans="1:27"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row>
    <row r="340" spans="1:27"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row>
    <row r="341" spans="1:27"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row>
    <row r="342" spans="1:27"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row>
    <row r="343" spans="1:27"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row>
    <row r="344" spans="1:27"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row>
    <row r="345" spans="1:27"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row>
    <row r="346" spans="1:27"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row>
    <row r="347" spans="1:27"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row>
    <row r="348" spans="1:27"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row>
    <row r="349" spans="1:27"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row>
    <row r="350" spans="1:27"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row>
    <row r="351" spans="1:27"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row>
    <row r="352" spans="1:27"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row>
    <row r="353" spans="1:27"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row>
    <row r="354" spans="1:27"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row>
    <row r="355" spans="1:27"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row>
    <row r="356" spans="1:27"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row>
    <row r="357" spans="1:27"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row>
    <row r="358" spans="1:27"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row>
    <row r="359" spans="1:27"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row>
    <row r="360" spans="1:27"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row>
    <row r="361" spans="1:27"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row>
    <row r="362" spans="1:27"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row>
    <row r="363" spans="1:27"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row>
    <row r="364" spans="1:27"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row>
    <row r="365" spans="1:27"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row>
    <row r="366" spans="1:27"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row>
    <row r="367" spans="1:27"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row>
    <row r="368" spans="1:27"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row>
    <row r="369" spans="1:27"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row>
    <row r="370" spans="1:27"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row>
    <row r="371" spans="1:27"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row>
    <row r="372" spans="1:27"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row>
    <row r="373" spans="1:27"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row>
    <row r="374" spans="1:27"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row>
    <row r="375" spans="1:27"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row>
    <row r="376" spans="1:27"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row>
    <row r="377" spans="1:27"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row>
    <row r="378" spans="1:27"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row>
    <row r="379" spans="1:27"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row>
    <row r="380" spans="1:27"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row>
    <row r="381" spans="1:27"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row>
    <row r="382" spans="1:27"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row>
    <row r="383" spans="1:27"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row>
    <row r="384" spans="1:27"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row>
    <row r="385" spans="1:27"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row>
    <row r="386" spans="1:27"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row>
    <row r="387" spans="1:27"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row>
    <row r="388" spans="1:27"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row>
    <row r="389" spans="1:27"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row>
    <row r="390" spans="1:27"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row>
    <row r="391" spans="1:27"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row>
    <row r="392" spans="1:27"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row>
    <row r="393" spans="1:27"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row>
    <row r="394" spans="1:27"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row>
    <row r="395" spans="1:27"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row>
    <row r="396" spans="1:27"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row>
    <row r="397" spans="1:27"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row>
    <row r="398" spans="1:27"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row>
    <row r="399" spans="1:27"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row>
    <row r="400" spans="1:27"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row>
    <row r="401" spans="1:27"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row>
    <row r="402" spans="1:27"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row>
    <row r="403" spans="1:27"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row>
    <row r="404" spans="1:27"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row>
    <row r="405" spans="1:27"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row>
    <row r="406" spans="1:27"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row>
    <row r="407" spans="1:27"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row>
    <row r="408" spans="1:27"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row>
    <row r="409" spans="1:27"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row>
    <row r="410" spans="1:27"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row>
    <row r="411" spans="1:27"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row>
    <row r="412" spans="1:27"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row>
    <row r="413" spans="1:27"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row>
    <row r="414" spans="1:27"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row>
    <row r="415" spans="1:27"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row>
    <row r="416" spans="1:27"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row>
    <row r="417" spans="1:27"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row>
    <row r="418" spans="1:27"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row>
    <row r="419" spans="1:27"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row>
    <row r="420" spans="1:27"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row>
    <row r="421" spans="1:27"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row>
    <row r="422" spans="1:27"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row>
    <row r="423" spans="1:27"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row>
    <row r="424" spans="1:27" ht="15.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row>
    <row r="425" spans="1:27" ht="15.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row>
    <row r="426" spans="1:27"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row>
    <row r="427" spans="1:27"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row>
    <row r="428" spans="1:27"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row>
    <row r="429" spans="1:27"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row>
    <row r="430" spans="1:27"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row>
    <row r="431" spans="1:27"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row>
    <row r="432" spans="1:27"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row>
    <row r="433" spans="1:27"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row>
    <row r="434" spans="1:27"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row>
    <row r="435" spans="1:27"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row>
    <row r="436" spans="1:27"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row>
    <row r="437" spans="1:27"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row>
    <row r="438" spans="1:27"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row>
    <row r="439" spans="1:27"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row>
    <row r="440" spans="1:27"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row>
    <row r="441" spans="1:27"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row>
    <row r="442" spans="1:27"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row>
    <row r="443" spans="1:27"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row>
    <row r="444" spans="1:27"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row>
    <row r="445" spans="1:27"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row>
    <row r="446" spans="1:27"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row>
    <row r="447" spans="1:27"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row>
    <row r="448" spans="1:27"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row>
    <row r="449" spans="1:27"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row>
    <row r="450" spans="1:27"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row>
    <row r="451" spans="1:27"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row>
    <row r="452" spans="1:27"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row>
    <row r="453" spans="1:27"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row>
    <row r="454" spans="1:27"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row>
    <row r="455" spans="1:27"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row>
    <row r="456" spans="1:27"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row>
    <row r="457" spans="1:27"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row>
    <row r="458" spans="1:27"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row>
    <row r="459" spans="1:27"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row>
    <row r="460" spans="1:27"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row>
    <row r="461" spans="1:27"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row>
    <row r="462" spans="1:27"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row>
    <row r="463" spans="1:27"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row>
    <row r="464" spans="1:27"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row>
    <row r="465" spans="1:27"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row>
    <row r="466" spans="1:27"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row>
    <row r="467" spans="1:27"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row>
    <row r="468" spans="1:27"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row>
    <row r="469" spans="1:27"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row>
    <row r="470" spans="1:27"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row>
    <row r="471" spans="1:27"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row>
    <row r="472" spans="1:27"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row>
    <row r="473" spans="1:27"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row>
    <row r="474" spans="1:27"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row>
    <row r="475" spans="1:27"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row>
    <row r="476" spans="1:27"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row>
    <row r="477" spans="1:27"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row>
    <row r="478" spans="1:27"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row>
    <row r="479" spans="1:27"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row>
    <row r="480" spans="1:27"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row>
    <row r="481" spans="1:27"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row>
    <row r="482" spans="1:27"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row>
    <row r="483" spans="1:27"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row>
    <row r="484" spans="1:27"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row>
    <row r="485" spans="1:27"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row>
    <row r="486" spans="1:27"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row>
    <row r="487" spans="1:27"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row>
    <row r="488" spans="1:27"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row>
    <row r="489" spans="1:27"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row>
    <row r="490" spans="1:27"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row>
    <row r="491" spans="1:27"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row>
    <row r="492" spans="1:27"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row>
    <row r="493" spans="1:27"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row>
    <row r="494" spans="1:27"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row>
    <row r="495" spans="1:27"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row>
    <row r="496" spans="1:27"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row>
    <row r="497" spans="1:27"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row>
    <row r="498" spans="1:27"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row>
    <row r="499" spans="1:27"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row>
    <row r="500" spans="1:27"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row>
    <row r="501" spans="1:27"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row>
    <row r="502" spans="1:27"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row>
    <row r="503" spans="1:27"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row>
    <row r="504" spans="1:27"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row>
    <row r="505" spans="1:27"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row>
    <row r="506" spans="1:27"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row>
    <row r="507" spans="1:27"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row>
    <row r="508" spans="1:27"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row>
    <row r="509" spans="1:27"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row>
    <row r="510" spans="1:27"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row>
    <row r="511" spans="1:27"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row>
    <row r="512" spans="1:27"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row>
    <row r="513" spans="1:27"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row>
    <row r="514" spans="1:27"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row>
    <row r="515" spans="1:27"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row>
    <row r="516" spans="1:27"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row>
    <row r="517" spans="1:27"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row>
    <row r="518" spans="1:27"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row>
    <row r="519" spans="1:27"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row>
    <row r="520" spans="1:27" ht="15.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row>
    <row r="521" spans="1:27" ht="15.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row>
    <row r="522" spans="1:27" ht="15.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row>
    <row r="523" spans="1:27" ht="15.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row>
    <row r="524" spans="1:27" ht="15.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row>
    <row r="525" spans="1:27" ht="15.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row>
    <row r="526" spans="1:27" ht="15.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row>
    <row r="527" spans="1:27" ht="15.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row>
    <row r="528" spans="1:27" ht="15.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row>
    <row r="529" spans="1:27" ht="15.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row>
    <row r="530" spans="1:27" ht="15.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row>
    <row r="531" spans="1:27" ht="15.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row>
    <row r="532" spans="1:27" ht="15.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row>
    <row r="533" spans="1:27" ht="15.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row>
    <row r="534" spans="1:27" ht="15.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row>
    <row r="535" spans="1:27" ht="15.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row>
    <row r="536" spans="1:27" ht="15.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row>
    <row r="537" spans="1:27" ht="15.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row>
    <row r="538" spans="1:27" ht="15.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row>
    <row r="539" spans="1:27" ht="15.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row>
    <row r="540" spans="1:27" ht="15.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row>
    <row r="541" spans="1:27" ht="15.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row>
    <row r="542" spans="1:27" ht="15.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row>
    <row r="543" spans="1:27" ht="15.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row>
    <row r="544" spans="1:27" ht="15.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row>
    <row r="545" spans="1:27" ht="15.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row>
    <row r="546" spans="1:27" ht="15.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row>
    <row r="547" spans="1:27" ht="15.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row>
    <row r="548" spans="1:27" ht="15.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row>
    <row r="549" spans="1:27" ht="15.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row>
    <row r="550" spans="1:27" ht="15.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row>
    <row r="551" spans="1:27" ht="15.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row>
    <row r="552" spans="1:27" ht="15.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row>
    <row r="553" spans="1:27" ht="15.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row>
    <row r="554" spans="1:27" ht="15.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row>
    <row r="555" spans="1:27" ht="15.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row>
    <row r="556" spans="1:27" ht="15.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row>
    <row r="557" spans="1:27" ht="15.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row>
    <row r="558" spans="1:27" ht="15.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row>
    <row r="559" spans="1:27" ht="15.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row>
    <row r="560" spans="1:27" ht="15.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row>
    <row r="561" spans="1:27" ht="15.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row>
    <row r="562" spans="1:27" ht="15.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row>
    <row r="563" spans="1:27" ht="15.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row>
    <row r="564" spans="1:27" ht="15.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row>
    <row r="565" spans="1:27" ht="15.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row>
    <row r="566" spans="1:27" ht="15.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row>
    <row r="567" spans="1:27" ht="15.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row>
    <row r="568" spans="1:27" ht="15.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row>
    <row r="569" spans="1:27" ht="15.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row>
    <row r="570" spans="1:27" ht="15.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row>
    <row r="571" spans="1:27" ht="15.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row>
    <row r="572" spans="1:27" ht="15.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row>
    <row r="573" spans="1:27" ht="15.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row>
    <row r="574" spans="1:27" ht="15.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row>
    <row r="575" spans="1:27" ht="15.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row>
    <row r="576" spans="1:27" ht="15.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row>
    <row r="577" spans="1:27" ht="15.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row>
    <row r="578" spans="1:27" ht="15.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row>
    <row r="579" spans="1:27" ht="15.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row>
    <row r="580" spans="1:27" ht="15.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row>
    <row r="581" spans="1:27" ht="15.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row>
    <row r="582" spans="1:27" ht="15.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row>
    <row r="583" spans="1:27" ht="15.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row>
    <row r="584" spans="1:27" ht="15.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row>
    <row r="585" spans="1:27" ht="15.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row>
    <row r="586" spans="1:27" ht="15.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row>
    <row r="587" spans="1:27" ht="15.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row>
    <row r="588" spans="1:27" ht="15.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row>
    <row r="589" spans="1:27" ht="15.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row>
    <row r="590" spans="1:27" ht="15.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row>
    <row r="591" spans="1:27" ht="15.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row>
    <row r="592" spans="1:27" ht="15.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row>
    <row r="593" spans="1:27" ht="15.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row>
    <row r="594" spans="1:27" ht="15.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row>
    <row r="595" spans="1:27" ht="15.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row>
    <row r="596" spans="1:27" ht="15.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row>
    <row r="597" spans="1:27" ht="15.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row>
    <row r="598" spans="1:27" ht="15.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row>
    <row r="599" spans="1:27" ht="15.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row>
    <row r="600" spans="1:27" ht="15.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row>
    <row r="601" spans="1:27" ht="15.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row>
    <row r="602" spans="1:27" ht="15.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row>
    <row r="603" spans="1:27" ht="15.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row>
    <row r="604" spans="1:27" ht="15.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row>
    <row r="605" spans="1:27" ht="15.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row>
    <row r="606" spans="1:27" ht="15.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row>
    <row r="607" spans="1:27" ht="15.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row>
    <row r="608" spans="1:27" ht="15.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row>
    <row r="609" spans="1:27" ht="15.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row>
    <row r="610" spans="1:27" ht="15.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row>
    <row r="611" spans="1:27" ht="15.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row>
    <row r="612" spans="1:27" ht="15.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row>
    <row r="613" spans="1:27" ht="15.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row>
    <row r="614" spans="1:27" ht="15.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row>
    <row r="615" spans="1:27" ht="15.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row>
    <row r="616" spans="1:27" ht="15.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row>
    <row r="617" spans="1:27" ht="15.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row>
    <row r="618" spans="1:27" ht="15.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row>
    <row r="619" spans="1:27" ht="15.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row>
    <row r="620" spans="1:27" ht="15.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row>
    <row r="621" spans="1:27" ht="15.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row>
    <row r="622" spans="1:27" ht="15.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row>
    <row r="623" spans="1:27" ht="15.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row>
    <row r="624" spans="1:27" ht="15.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row>
    <row r="625" spans="1:27" ht="15.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row>
    <row r="626" spans="1:27" ht="15.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row>
    <row r="627" spans="1:27" ht="15.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row>
    <row r="628" spans="1:27" ht="15.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row>
    <row r="629" spans="1:27" ht="15.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row>
    <row r="630" spans="1:27" ht="15.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row>
    <row r="631" spans="1:27" ht="15.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row>
    <row r="632" spans="1:27" ht="15.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row>
    <row r="633" spans="1:27" ht="15.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row>
    <row r="634" spans="1:27" ht="15.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row>
    <row r="635" spans="1:27" ht="15.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row>
    <row r="636" spans="1:27" ht="15.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row>
    <row r="637" spans="1:27" ht="15.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row>
    <row r="638" spans="1:27" ht="15.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row>
    <row r="639" spans="1:27" ht="15.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row>
    <row r="640" spans="1:27" ht="15.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row>
    <row r="641" spans="1:27" ht="15.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row>
    <row r="642" spans="1:27" ht="15.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row>
    <row r="643" spans="1:27" ht="15.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row>
    <row r="644" spans="1:27" ht="15.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row>
    <row r="645" spans="1:27" ht="15.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row>
    <row r="646" spans="1:27" ht="15.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row>
    <row r="647" spans="1:27" ht="15.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row>
    <row r="648" spans="1:27" ht="15.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row>
    <row r="649" spans="1:27" ht="15.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row>
    <row r="650" spans="1:27" ht="15.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row>
    <row r="651" spans="1:27" ht="15.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row>
    <row r="652" spans="1:27" ht="15.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row>
    <row r="653" spans="1:27" ht="15.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row>
    <row r="654" spans="1:27" ht="15.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row>
    <row r="655" spans="1:27" ht="15.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row>
    <row r="656" spans="1:27" ht="15.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row>
    <row r="657" spans="1:27" ht="15.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row>
    <row r="658" spans="1:27" ht="15.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row>
    <row r="659" spans="1:27" ht="15.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row>
    <row r="660" spans="1:27" ht="15.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row>
    <row r="661" spans="1:27" ht="15.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row>
    <row r="662" spans="1:27" ht="15.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row>
    <row r="663" spans="1:27" ht="15.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row>
    <row r="664" spans="1:27" ht="15.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row>
    <row r="665" spans="1:27" ht="15.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row>
    <row r="666" spans="1:27" ht="15.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row>
    <row r="667" spans="1:27" ht="15.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row>
    <row r="668" spans="1:27" ht="15.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row>
    <row r="669" spans="1:27" ht="15.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row>
    <row r="670" spans="1:27" ht="15.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row>
    <row r="671" spans="1:27" ht="15.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row>
    <row r="672" spans="1:27" ht="15.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row>
    <row r="673" spans="1:27" ht="15.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row>
    <row r="674" spans="1:27" ht="15.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row>
    <row r="675" spans="1:27" ht="15.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row>
    <row r="676" spans="1:27" ht="15.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row>
    <row r="677" spans="1:27" ht="15.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row>
    <row r="678" spans="1:27" ht="15.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row>
    <row r="679" spans="1:27" ht="15.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row>
    <row r="680" spans="1:27" ht="15.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row>
    <row r="681" spans="1:27" ht="15.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row>
    <row r="682" spans="1:27" ht="15.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row>
    <row r="683" spans="1:27" ht="15.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row>
    <row r="684" spans="1:27" ht="15.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row>
    <row r="685" spans="1:27" ht="15.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row>
    <row r="686" spans="1:27" ht="15.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row>
    <row r="687" spans="1:27" ht="15.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row>
    <row r="688" spans="1:27" ht="15.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row>
    <row r="689" spans="1:27" ht="15.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row>
    <row r="690" spans="1:27" ht="15.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row>
    <row r="691" spans="1:27" ht="15.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row>
    <row r="692" spans="1:27" ht="15.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row>
    <row r="693" spans="1:27" ht="15.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row>
    <row r="694" spans="1:27" ht="15.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row>
    <row r="695" spans="1:27" ht="15.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row>
    <row r="696" spans="1:27" ht="15.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row>
    <row r="697" spans="1:27" ht="15.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row>
    <row r="698" spans="1:27" ht="15.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row>
    <row r="699" spans="1:27" ht="15.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row>
    <row r="700" spans="1:27" ht="15.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row>
    <row r="701" spans="1:27" ht="15.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row>
    <row r="702" spans="1:27" ht="15.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row>
    <row r="703" spans="1:27" ht="15.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row>
    <row r="704" spans="1:27" ht="15.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row>
    <row r="705" spans="1:27" ht="15.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row>
    <row r="706" spans="1:27" ht="15.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row>
    <row r="707" spans="1:27" ht="15.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row>
    <row r="708" spans="1:27" ht="15.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row>
    <row r="709" spans="1:27" ht="15.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row>
    <row r="710" spans="1:27" ht="15.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row>
    <row r="711" spans="1:27" ht="15.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row>
    <row r="712" spans="1:27" ht="15.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row>
    <row r="713" spans="1:27" ht="15.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row>
    <row r="714" spans="1:27" ht="15.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row>
    <row r="715" spans="1:27" ht="15.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row>
    <row r="716" spans="1:27" ht="15.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row>
    <row r="717" spans="1:27" ht="15.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row>
    <row r="718" spans="1:27" ht="15.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row>
    <row r="719" spans="1:27" ht="15.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row>
    <row r="720" spans="1:27" ht="15.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row>
    <row r="721" spans="1:27" ht="15.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row>
    <row r="722" spans="1:27" ht="15.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row>
    <row r="723" spans="1:27" ht="15.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row>
    <row r="724" spans="1:27" ht="15.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row>
    <row r="725" spans="1:27" ht="15.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row>
    <row r="726" spans="1:27" ht="15.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row>
    <row r="727" spans="1:27" ht="15.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row>
    <row r="728" spans="1:27" ht="15.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row>
    <row r="729" spans="1:27" ht="15.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row>
    <row r="730" spans="1:27" ht="15.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row>
    <row r="731" spans="1:27" ht="15.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row>
    <row r="732" spans="1:27" ht="15.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row>
    <row r="733" spans="1:27" ht="15.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row>
    <row r="734" spans="1:27" ht="15.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row>
    <row r="735" spans="1:27" ht="15.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row>
    <row r="736" spans="1:27" ht="15.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row>
    <row r="737" spans="1:27" ht="15.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row>
    <row r="738" spans="1:27" ht="15.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row>
    <row r="739" spans="1:27" ht="15.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row>
    <row r="740" spans="1:27" ht="15.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row>
    <row r="741" spans="1:27" ht="15.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row>
    <row r="742" spans="1:27" ht="15.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row>
    <row r="743" spans="1:27" ht="15.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row>
    <row r="744" spans="1:27" ht="15.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row>
    <row r="745" spans="1:27" ht="15.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row>
    <row r="746" spans="1:27" ht="15.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row>
    <row r="747" spans="1:27" ht="15.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row>
    <row r="748" spans="1:27" ht="15.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row>
    <row r="749" spans="1:27" ht="15.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row>
    <row r="750" spans="1:27" ht="15.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row>
    <row r="751" spans="1:27" ht="15.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row>
    <row r="752" spans="1:27" ht="15.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row>
    <row r="753" spans="1:27" ht="15.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row>
    <row r="754" spans="1:27" ht="15.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row>
    <row r="755" spans="1:27" ht="15.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row>
    <row r="756" spans="1:27" ht="15.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row>
    <row r="757" spans="1:27" ht="15.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row>
    <row r="758" spans="1:27" ht="15.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row>
    <row r="759" spans="1:27" ht="15.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row>
    <row r="760" spans="1:27" ht="15.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row>
    <row r="761" spans="1:27" ht="15.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row>
    <row r="762" spans="1:27" ht="15.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row>
    <row r="763" spans="1:27" ht="15.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row>
    <row r="764" spans="1:27" ht="15.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row>
    <row r="765" spans="1:27" ht="15.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row>
    <row r="766" spans="1:27" ht="15.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row>
    <row r="767" spans="1:27" ht="15.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row>
    <row r="768" spans="1:27" ht="15.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row>
    <row r="769" spans="1:27" ht="15.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row>
    <row r="770" spans="1:27" ht="15.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row>
    <row r="771" spans="1:27" ht="15.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row>
    <row r="772" spans="1:27" ht="15.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row>
    <row r="773" spans="1:27" ht="15.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row>
    <row r="774" spans="1:27" ht="15.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row>
    <row r="775" spans="1:27" ht="15.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row>
    <row r="776" spans="1:27" ht="15.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row>
    <row r="777" spans="1:27" ht="15.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row>
    <row r="778" spans="1:27" ht="15.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row>
    <row r="779" spans="1:27" ht="15.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row>
    <row r="780" spans="1:27" ht="15.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row>
    <row r="781" spans="1:27" ht="15.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row>
    <row r="782" spans="1:27" ht="15.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row>
    <row r="783" spans="1:27" ht="15.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row>
    <row r="784" spans="1:27" ht="15.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row>
    <row r="785" spans="1:27" ht="15.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row>
    <row r="786" spans="1:27" ht="15.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row>
    <row r="787" spans="1:27" ht="15.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row>
    <row r="788" spans="1:27" ht="15.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row>
    <row r="789" spans="1:27" ht="15.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row>
    <row r="790" spans="1:27" ht="15.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row>
    <row r="791" spans="1:27" ht="15.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row>
    <row r="792" spans="1:27" ht="15.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row>
    <row r="793" spans="1:27" ht="15.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row>
    <row r="794" spans="1:27" ht="15.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row>
    <row r="795" spans="1:27" ht="15.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row>
    <row r="796" spans="1:27" ht="15.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row>
    <row r="797" spans="1:27" ht="15.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row>
    <row r="798" spans="1:27" ht="15.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row>
    <row r="799" spans="1:27" ht="15.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row>
    <row r="800" spans="1:27" ht="15.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row>
    <row r="801" spans="1:27" ht="15.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row>
    <row r="802" spans="1:27" ht="15.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row>
    <row r="803" spans="1:27" ht="15.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row>
    <row r="804" spans="1:27" ht="15.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row>
    <row r="805" spans="1:27" ht="15.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row>
    <row r="806" spans="1:27" ht="15.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row>
    <row r="807" spans="1:27" ht="15.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row>
    <row r="808" spans="1:27" ht="15.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row>
    <row r="809" spans="1:27" ht="15.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row>
    <row r="810" spans="1:27" ht="15.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row>
    <row r="811" spans="1:27" ht="15.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row>
    <row r="812" spans="1:27" ht="15.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row>
    <row r="813" spans="1:27" ht="15.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row>
    <row r="814" spans="1:27" ht="15.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row>
    <row r="815" spans="1:27" ht="15.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row>
    <row r="816" spans="1:27" ht="15.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row>
    <row r="817" spans="1:27" ht="15.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row>
    <row r="818" spans="1:27" ht="15.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row>
    <row r="819" spans="1:27" ht="15.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row>
    <row r="820" spans="1:27" ht="15.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row>
    <row r="821" spans="1:27" ht="15.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row>
    <row r="822" spans="1:27" ht="15.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row>
    <row r="823" spans="1:27" ht="15.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row>
    <row r="824" spans="1:27" ht="15.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row>
    <row r="825" spans="1:27" ht="15.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row>
    <row r="826" spans="1:27" ht="15.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row>
    <row r="827" spans="1:27" ht="15.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row>
    <row r="828" spans="1:27" ht="15.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row>
    <row r="829" spans="1:27" ht="15.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row>
    <row r="830" spans="1:27" ht="15.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row>
    <row r="831" spans="1:27" ht="15.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row>
    <row r="832" spans="1:27" ht="15.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row>
    <row r="833" spans="1:27" ht="15.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row>
    <row r="834" spans="1:27" ht="15.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row>
    <row r="835" spans="1:27" ht="15.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row>
    <row r="836" spans="1:27" ht="15.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row>
    <row r="837" spans="1:27" ht="15.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row>
    <row r="838" spans="1:27" ht="15.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row>
    <row r="839" spans="1:27" ht="15.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row>
    <row r="840" spans="1:27" ht="15.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row>
    <row r="841" spans="1:27" ht="15.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row>
    <row r="842" spans="1:27" ht="15.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row>
    <row r="843" spans="1:27" ht="15.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row>
    <row r="844" spans="1:27" ht="15.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row>
    <row r="845" spans="1:27" ht="15.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row>
    <row r="846" spans="1:27" ht="15.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row>
    <row r="847" spans="1:27" ht="15.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row>
    <row r="848" spans="1:27" ht="15.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row>
    <row r="849" spans="1:27" ht="15.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row>
    <row r="850" spans="1:27" ht="15.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row>
    <row r="851" spans="1:27" ht="15.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row>
    <row r="852" spans="1:27" ht="15.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row>
    <row r="853" spans="1:27" ht="15.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row>
    <row r="854" spans="1:27" ht="15.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row>
    <row r="855" spans="1:27" ht="15.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row>
    <row r="856" spans="1:27" ht="15.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row>
    <row r="857" spans="1:27" ht="15.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row>
    <row r="858" spans="1:27" ht="15.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row>
    <row r="859" spans="1:27" ht="15.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row>
    <row r="860" spans="1:27" ht="15.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row>
    <row r="861" spans="1:27" ht="15.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row>
    <row r="862" spans="1:27" ht="15.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row>
    <row r="863" spans="1:27" ht="15.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row>
    <row r="864" spans="1:27" ht="15.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row>
    <row r="865" spans="1:27" ht="15.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row>
    <row r="866" spans="1:27" ht="15.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row>
    <row r="867" spans="1:27" ht="15.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row>
    <row r="868" spans="1:27" ht="15.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row>
    <row r="869" spans="1:27" ht="15.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row>
    <row r="870" spans="1:27" ht="15.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row>
    <row r="871" spans="1:27" ht="15.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row>
    <row r="872" spans="1:27" ht="15.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row>
    <row r="873" spans="1:27" ht="15.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row>
    <row r="874" spans="1:27" ht="15.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row>
    <row r="875" spans="1:27" ht="15.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row>
    <row r="876" spans="1:27" ht="15.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row>
    <row r="877" spans="1:27" ht="15.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row>
    <row r="878" spans="1:27" ht="15.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row>
    <row r="879" spans="1:27" ht="15.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row>
    <row r="880" spans="1:27" ht="15.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row>
    <row r="881" spans="1:27" ht="15.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row>
    <row r="882" spans="1:27" ht="15.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row>
    <row r="883" spans="1:27" ht="15.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row>
    <row r="884" spans="1:27" ht="15.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row>
    <row r="885" spans="1:27" ht="15.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row>
    <row r="886" spans="1:27" ht="15.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row>
    <row r="887" spans="1:27" ht="15.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row>
    <row r="888" spans="1:27" ht="15.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row>
    <row r="889" spans="1:27" ht="15.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row>
    <row r="890" spans="1:27" ht="15.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row>
    <row r="891" spans="1:27" ht="15.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row>
    <row r="892" spans="1:27" ht="15.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row>
    <row r="893" spans="1:27" ht="15.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row>
    <row r="894" spans="1:27" ht="15.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row>
    <row r="895" spans="1:27" ht="15.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row>
    <row r="896" spans="1:27" ht="15.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row>
    <row r="897" spans="1:27" ht="15.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row>
    <row r="898" spans="1:27" ht="15.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row>
    <row r="899" spans="1:27" ht="15.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row>
    <row r="900" spans="1:27" ht="15.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row>
    <row r="901" spans="1:27" ht="15.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row>
    <row r="902" spans="1:27" ht="15.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row>
    <row r="903" spans="1:27" ht="15.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row>
    <row r="904" spans="1:27" ht="15.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row>
    <row r="905" spans="1:27" ht="15.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row>
    <row r="906" spans="1:27" ht="15.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row>
    <row r="907" spans="1:27" ht="15.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row>
    <row r="908" spans="1:27" ht="15.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row>
    <row r="909" spans="1:27" ht="15.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row>
    <row r="910" spans="1:27" ht="15.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row>
    <row r="911" spans="1:27" ht="15.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row>
    <row r="912" spans="1:27" ht="15.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row>
    <row r="913" spans="1:27" ht="15.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row>
    <row r="914" spans="1:27" ht="15.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row>
    <row r="915" spans="1:27" ht="15.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row>
    <row r="916" spans="1:27" ht="15.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row>
    <row r="917" spans="1:27" ht="15.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row>
    <row r="918" spans="1:27" ht="15.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row>
    <row r="919" spans="1:27" ht="15.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row>
    <row r="920" spans="1:27" ht="15.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row>
    <row r="921" spans="1:27" ht="15.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row>
    <row r="922" spans="1:27" ht="15.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row>
    <row r="923" spans="1:27" ht="15.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row>
    <row r="924" spans="1:27" ht="15.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row>
    <row r="925" spans="1:27" ht="15.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row>
    <row r="926" spans="1:27" ht="15.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row>
    <row r="927" spans="1:27" ht="15.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row>
    <row r="928" spans="1:27" ht="15.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row>
    <row r="929" spans="1:27" ht="15.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row>
    <row r="930" spans="1:27" ht="15.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row>
    <row r="931" spans="1:27" ht="15.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row>
    <row r="932" spans="1:27" ht="15.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row>
    <row r="933" spans="1:27" ht="15.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row>
    <row r="934" spans="1:27" ht="15.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row>
    <row r="935" spans="1:27" ht="15.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row>
    <row r="936" spans="1:27" ht="15.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row>
    <row r="937" spans="1:27" ht="15.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row>
    <row r="938" spans="1:27" ht="15.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row>
    <row r="939" spans="1:27" ht="15.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row>
    <row r="940" spans="1:27" ht="15.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row>
    <row r="941" spans="1:27" ht="15.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row>
    <row r="942" spans="1:27" ht="15.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row>
    <row r="943" spans="1:27" ht="15.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row>
    <row r="944" spans="1:27" ht="15.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row>
    <row r="945" spans="1:27" ht="15.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row>
    <row r="946" spans="1:27" ht="15.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row>
    <row r="947" spans="1:27" ht="15.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row>
    <row r="948" spans="1:27" ht="15.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row>
    <row r="949" spans="1:27" ht="15.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row>
    <row r="950" spans="1:27" ht="15.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row>
    <row r="951" spans="1:27" ht="15.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row>
    <row r="952" spans="1:27" ht="15.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row>
    <row r="953" spans="1:27" ht="15.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row>
    <row r="954" spans="1:27" ht="15.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row>
    <row r="955" spans="1:27" ht="15.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row>
    <row r="956" spans="1:27" ht="15.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row>
    <row r="957" spans="1:27" ht="15.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row>
    <row r="958" spans="1:27" ht="15.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row>
    <row r="959" spans="1:27" ht="15.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row>
    <row r="960" spans="1:27" ht="15.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row>
    <row r="961" spans="1:27" ht="15.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row>
    <row r="962" spans="1:27" ht="15.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row>
    <row r="963" spans="1:27" ht="15.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row>
    <row r="964" spans="1:27" ht="15.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row>
    <row r="965" spans="1:27" ht="15.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row>
    <row r="966" spans="1:27" ht="15.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row>
    <row r="967" spans="1:27" ht="15.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row>
    <row r="968" spans="1:27" ht="15.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row>
    <row r="969" spans="1:27" ht="15.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row>
    <row r="970" spans="1:27" ht="15.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row>
    <row r="971" spans="1:27" ht="15.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row>
    <row r="972" spans="1:27" ht="15.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row>
    <row r="973" spans="1:27" ht="15.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row>
    <row r="974" spans="1:27" ht="15.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row>
    <row r="975" spans="1:27" ht="15.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row>
    <row r="976" spans="1:27" ht="15.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row>
    <row r="977" spans="1:27" ht="15.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row>
    <row r="978" spans="1:27" ht="15.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row>
    <row r="979" spans="1:27" ht="15.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row>
    <row r="980" spans="1:27" ht="15.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row>
    <row r="981" spans="1:27" ht="15.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row>
    <row r="982" spans="1:27" ht="15.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row>
    <row r="983" spans="1:27" ht="15.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row>
    <row r="984" spans="1:27" ht="15.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row>
    <row r="985" spans="1:27" ht="15.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row>
    <row r="986" spans="1:27" ht="15.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row>
    <row r="987" spans="1:27" ht="15.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row>
    <row r="988" spans="1:27" ht="15.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row>
    <row r="989" spans="1:27" ht="15.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row>
    <row r="990" spans="1:27" ht="15.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row>
    <row r="991" spans="1:27" ht="15.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row>
    <row r="992" spans="1:27" ht="15.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row>
    <row r="993" spans="1:27" ht="15.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row>
    <row r="994" spans="1:27" ht="15.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row>
    <row r="995" spans="1:27" ht="15.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row>
    <row r="996" spans="1:27" ht="15.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c r="AA996" s="175"/>
    </row>
    <row r="997" spans="1:27" ht="15.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c r="AA997" s="175"/>
    </row>
    <row r="998" spans="1:27" ht="15.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c r="AA998" s="175"/>
    </row>
    <row r="999" spans="1:27" ht="15.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c r="AA999" s="175"/>
    </row>
    <row r="1000" spans="1:27" ht="15.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c r="AA1000" s="175"/>
    </row>
    <row r="1001" spans="1:27" ht="15.75" customHeight="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c r="AA1001" s="175"/>
    </row>
    <row r="1002" spans="1:27" ht="15.75" customHeight="1">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c r="AA1002" s="175"/>
    </row>
    <row r="1003" spans="1:27" ht="15.75" customHeight="1">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c r="AA1003" s="175"/>
    </row>
    <row r="1004" spans="1:27" ht="15.75" customHeight="1">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c r="AA1004" s="175"/>
    </row>
    <row r="1005" spans="1:27" ht="15.75" customHeight="1">
      <c r="A1005" s="175"/>
      <c r="B1005" s="175"/>
      <c r="C1005" s="175"/>
      <c r="D1005" s="175"/>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c r="AA1005" s="175"/>
    </row>
    <row r="1006" spans="1:27" ht="15.75" customHeight="1">
      <c r="A1006" s="175"/>
      <c r="B1006" s="175"/>
      <c r="C1006" s="175"/>
      <c r="D1006" s="175"/>
      <c r="E1006" s="175"/>
      <c r="F1006" s="175"/>
      <c r="G1006" s="175"/>
      <c r="H1006" s="175"/>
      <c r="I1006" s="175"/>
      <c r="J1006" s="175"/>
      <c r="K1006" s="175"/>
      <c r="L1006" s="175"/>
      <c r="M1006" s="175"/>
      <c r="N1006" s="175"/>
      <c r="O1006" s="175"/>
      <c r="P1006" s="175"/>
      <c r="Q1006" s="175"/>
      <c r="R1006" s="175"/>
      <c r="S1006" s="175"/>
      <c r="T1006" s="175"/>
      <c r="U1006" s="175"/>
      <c r="V1006" s="175"/>
      <c r="W1006" s="175"/>
      <c r="X1006" s="175"/>
      <c r="Y1006" s="175"/>
      <c r="Z1006" s="175"/>
      <c r="AA1006" s="175"/>
    </row>
    <row r="1007" spans="1:27" ht="15.75" customHeight="1">
      <c r="A1007" s="175"/>
      <c r="B1007" s="175"/>
      <c r="C1007" s="175"/>
      <c r="D1007" s="175"/>
      <c r="E1007" s="175"/>
      <c r="F1007" s="175"/>
      <c r="G1007" s="175"/>
      <c r="H1007" s="175"/>
      <c r="I1007" s="175"/>
      <c r="J1007" s="175"/>
      <c r="K1007" s="175"/>
      <c r="L1007" s="175"/>
      <c r="M1007" s="175"/>
      <c r="N1007" s="175"/>
      <c r="O1007" s="175"/>
      <c r="P1007" s="175"/>
      <c r="Q1007" s="175"/>
      <c r="R1007" s="175"/>
      <c r="S1007" s="175"/>
      <c r="T1007" s="175"/>
      <c r="U1007" s="175"/>
      <c r="V1007" s="175"/>
      <c r="W1007" s="175"/>
      <c r="X1007" s="175"/>
      <c r="Y1007" s="175"/>
      <c r="Z1007" s="175"/>
      <c r="AA1007" s="175"/>
    </row>
    <row r="1008" spans="1:27" ht="15.75" customHeight="1">
      <c r="A1008" s="175"/>
      <c r="B1008" s="175"/>
      <c r="C1008" s="175"/>
      <c r="D1008" s="175"/>
      <c r="E1008" s="175"/>
      <c r="F1008" s="175"/>
      <c r="G1008" s="175"/>
      <c r="H1008" s="175"/>
      <c r="I1008" s="175"/>
      <c r="J1008" s="175"/>
      <c r="K1008" s="175"/>
      <c r="L1008" s="175"/>
      <c r="M1008" s="175"/>
      <c r="N1008" s="175"/>
      <c r="O1008" s="175"/>
      <c r="P1008" s="175"/>
      <c r="Q1008" s="175"/>
      <c r="R1008" s="175"/>
      <c r="S1008" s="175"/>
      <c r="T1008" s="175"/>
      <c r="U1008" s="175"/>
      <c r="V1008" s="175"/>
      <c r="W1008" s="175"/>
      <c r="X1008" s="175"/>
      <c r="Y1008" s="175"/>
      <c r="Z1008" s="175"/>
      <c r="AA1008" s="175"/>
    </row>
    <row r="1009" spans="1:27" ht="15.75" customHeight="1">
      <c r="A1009" s="175"/>
      <c r="B1009" s="175"/>
      <c r="C1009" s="175"/>
      <c r="D1009" s="175"/>
      <c r="E1009" s="175"/>
      <c r="F1009" s="175"/>
      <c r="G1009" s="175"/>
      <c r="H1009" s="175"/>
      <c r="I1009" s="175"/>
      <c r="J1009" s="175"/>
      <c r="K1009" s="175"/>
      <c r="L1009" s="175"/>
      <c r="M1009" s="175"/>
      <c r="N1009" s="175"/>
      <c r="O1009" s="175"/>
      <c r="P1009" s="175"/>
      <c r="Q1009" s="175"/>
      <c r="R1009" s="175"/>
      <c r="S1009" s="175"/>
      <c r="T1009" s="175"/>
      <c r="U1009" s="175"/>
      <c r="V1009" s="175"/>
      <c r="W1009" s="175"/>
      <c r="X1009" s="175"/>
      <c r="Y1009" s="175"/>
      <c r="Z1009" s="175"/>
      <c r="AA1009" s="175"/>
    </row>
    <row r="1010" spans="1:27" ht="15.75" customHeight="1">
      <c r="A1010" s="175"/>
      <c r="B1010" s="175"/>
      <c r="C1010" s="175"/>
      <c r="D1010" s="175"/>
      <c r="E1010" s="175"/>
      <c r="F1010" s="175"/>
      <c r="G1010" s="175"/>
      <c r="H1010" s="175"/>
      <c r="I1010" s="175"/>
      <c r="J1010" s="175"/>
      <c r="K1010" s="175"/>
      <c r="L1010" s="175"/>
      <c r="M1010" s="175"/>
      <c r="N1010" s="175"/>
      <c r="O1010" s="175"/>
      <c r="P1010" s="175"/>
      <c r="Q1010" s="175"/>
      <c r="R1010" s="175"/>
      <c r="S1010" s="175"/>
      <c r="T1010" s="175"/>
      <c r="U1010" s="175"/>
      <c r="V1010" s="175"/>
      <c r="W1010" s="175"/>
      <c r="X1010" s="175"/>
      <c r="Y1010" s="175"/>
      <c r="Z1010" s="175"/>
      <c r="AA1010" s="175"/>
    </row>
    <row r="1011" spans="1:27" ht="15.75" customHeight="1">
      <c r="A1011" s="175"/>
      <c r="B1011" s="175"/>
      <c r="C1011" s="175"/>
      <c r="D1011" s="175"/>
      <c r="E1011" s="175"/>
      <c r="F1011" s="175"/>
      <c r="G1011" s="175"/>
      <c r="H1011" s="175"/>
      <c r="I1011" s="175"/>
      <c r="J1011" s="175"/>
      <c r="K1011" s="175"/>
      <c r="L1011" s="175"/>
      <c r="M1011" s="175"/>
      <c r="N1011" s="175"/>
      <c r="O1011" s="175"/>
      <c r="P1011" s="175"/>
      <c r="Q1011" s="175"/>
      <c r="R1011" s="175"/>
      <c r="S1011" s="175"/>
      <c r="T1011" s="175"/>
      <c r="U1011" s="175"/>
      <c r="V1011" s="175"/>
      <c r="W1011" s="175"/>
      <c r="X1011" s="175"/>
      <c r="Y1011" s="175"/>
      <c r="Z1011" s="175"/>
      <c r="AA1011" s="175"/>
    </row>
    <row r="1012" spans="1:27" ht="15.75" customHeight="1">
      <c r="A1012" s="175"/>
      <c r="B1012" s="175"/>
      <c r="C1012" s="175"/>
      <c r="D1012" s="175"/>
      <c r="E1012" s="175"/>
      <c r="F1012" s="175"/>
      <c r="G1012" s="175"/>
      <c r="H1012" s="175"/>
      <c r="I1012" s="175"/>
      <c r="J1012" s="175"/>
      <c r="K1012" s="175"/>
      <c r="L1012" s="175"/>
      <c r="M1012" s="175"/>
      <c r="N1012" s="175"/>
      <c r="O1012" s="175"/>
      <c r="P1012" s="175"/>
      <c r="Q1012" s="175"/>
      <c r="R1012" s="175"/>
      <c r="S1012" s="175"/>
      <c r="T1012" s="175"/>
      <c r="U1012" s="175"/>
      <c r="V1012" s="175"/>
      <c r="W1012" s="175"/>
      <c r="X1012" s="175"/>
      <c r="Y1012" s="175"/>
      <c r="Z1012" s="175"/>
      <c r="AA1012" s="175"/>
    </row>
    <row r="1013" spans="1:27" ht="15.75" customHeight="1">
      <c r="A1013" s="175"/>
      <c r="B1013" s="175"/>
      <c r="C1013" s="175"/>
      <c r="D1013" s="175"/>
      <c r="E1013" s="175"/>
      <c r="F1013" s="175"/>
      <c r="G1013" s="175"/>
      <c r="H1013" s="175"/>
      <c r="I1013" s="175"/>
      <c r="J1013" s="175"/>
      <c r="K1013" s="175"/>
      <c r="L1013" s="175"/>
      <c r="M1013" s="175"/>
      <c r="N1013" s="175"/>
      <c r="O1013" s="175"/>
      <c r="P1013" s="175"/>
      <c r="Q1013" s="175"/>
      <c r="R1013" s="175"/>
      <c r="S1013" s="175"/>
      <c r="T1013" s="175"/>
      <c r="U1013" s="175"/>
      <c r="V1013" s="175"/>
      <c r="W1013" s="175"/>
      <c r="X1013" s="175"/>
      <c r="Y1013" s="175"/>
      <c r="Z1013" s="175"/>
      <c r="AA1013" s="175"/>
    </row>
    <row r="1014" spans="1:27" ht="15.75" customHeight="1">
      <c r="A1014" s="175"/>
      <c r="B1014" s="175"/>
      <c r="C1014" s="175"/>
      <c r="D1014" s="175"/>
      <c r="E1014" s="175"/>
      <c r="F1014" s="175"/>
      <c r="G1014" s="175"/>
      <c r="H1014" s="175"/>
      <c r="I1014" s="175"/>
      <c r="J1014" s="175"/>
      <c r="K1014" s="175"/>
      <c r="L1014" s="175"/>
      <c r="M1014" s="175"/>
      <c r="N1014" s="175"/>
      <c r="O1014" s="175"/>
      <c r="P1014" s="175"/>
      <c r="Q1014" s="175"/>
      <c r="R1014" s="175"/>
      <c r="S1014" s="175"/>
      <c r="T1014" s="175"/>
      <c r="U1014" s="175"/>
      <c r="V1014" s="175"/>
      <c r="W1014" s="175"/>
      <c r="X1014" s="175"/>
      <c r="Y1014" s="175"/>
      <c r="Z1014" s="175"/>
      <c r="AA1014" s="175"/>
    </row>
    <row r="1015" spans="1:27" ht="15.75" customHeight="1">
      <c r="A1015" s="175"/>
      <c r="B1015" s="175"/>
      <c r="C1015" s="175"/>
      <c r="D1015" s="175"/>
      <c r="E1015" s="175"/>
      <c r="F1015" s="175"/>
      <c r="G1015" s="175"/>
      <c r="H1015" s="175"/>
      <c r="I1015" s="175"/>
      <c r="J1015" s="175"/>
      <c r="K1015" s="175"/>
      <c r="L1015" s="175"/>
      <c r="M1015" s="175"/>
      <c r="N1015" s="175"/>
      <c r="O1015" s="175"/>
      <c r="P1015" s="175"/>
      <c r="Q1015" s="175"/>
      <c r="R1015" s="175"/>
      <c r="S1015" s="175"/>
      <c r="T1015" s="175"/>
      <c r="U1015" s="175"/>
      <c r="V1015" s="175"/>
      <c r="W1015" s="175"/>
      <c r="X1015" s="175"/>
      <c r="Y1015" s="175"/>
      <c r="Z1015" s="175"/>
      <c r="AA1015" s="175"/>
    </row>
    <row r="1016" spans="1:27" ht="15.75" customHeight="1">
      <c r="A1016" s="175"/>
      <c r="B1016" s="175"/>
      <c r="C1016" s="175"/>
      <c r="D1016" s="175"/>
      <c r="E1016" s="175"/>
      <c r="F1016" s="175"/>
      <c r="G1016" s="175"/>
      <c r="H1016" s="175"/>
      <c r="I1016" s="175"/>
      <c r="J1016" s="175"/>
      <c r="K1016" s="175"/>
      <c r="L1016" s="175"/>
      <c r="M1016" s="175"/>
      <c r="N1016" s="175"/>
      <c r="O1016" s="175"/>
      <c r="P1016" s="175"/>
      <c r="Q1016" s="175"/>
      <c r="R1016" s="175"/>
      <c r="S1016" s="175"/>
      <c r="T1016" s="175"/>
      <c r="U1016" s="175"/>
      <c r="V1016" s="175"/>
      <c r="W1016" s="175"/>
      <c r="X1016" s="175"/>
      <c r="Y1016" s="175"/>
      <c r="Z1016" s="175"/>
      <c r="AA1016" s="175"/>
    </row>
    <row r="1017" spans="1:27" ht="15.75" customHeight="1">
      <c r="A1017" s="175"/>
      <c r="B1017" s="175"/>
      <c r="C1017" s="175"/>
      <c r="D1017" s="175"/>
      <c r="E1017" s="175"/>
      <c r="F1017" s="175"/>
      <c r="G1017" s="175"/>
      <c r="H1017" s="175"/>
      <c r="I1017" s="175"/>
      <c r="J1017" s="175"/>
      <c r="K1017" s="175"/>
      <c r="L1017" s="175"/>
      <c r="M1017" s="175"/>
      <c r="N1017" s="175"/>
      <c r="O1017" s="175"/>
      <c r="P1017" s="175"/>
      <c r="Q1017" s="175"/>
      <c r="R1017" s="175"/>
      <c r="S1017" s="175"/>
      <c r="T1017" s="175"/>
      <c r="U1017" s="175"/>
      <c r="V1017" s="175"/>
      <c r="W1017" s="175"/>
      <c r="X1017" s="175"/>
      <c r="Y1017" s="175"/>
      <c r="Z1017" s="175"/>
      <c r="AA1017" s="175"/>
    </row>
    <row r="1018" spans="1:27" ht="15.75" customHeight="1">
      <c r="A1018" s="175"/>
      <c r="B1018" s="175"/>
      <c r="C1018" s="175"/>
      <c r="D1018" s="175"/>
      <c r="E1018" s="175"/>
      <c r="F1018" s="175"/>
      <c r="G1018" s="175"/>
      <c r="H1018" s="175"/>
      <c r="I1018" s="175"/>
      <c r="J1018" s="175"/>
      <c r="K1018" s="175"/>
      <c r="L1018" s="175"/>
      <c r="M1018" s="175"/>
      <c r="N1018" s="175"/>
      <c r="O1018" s="175"/>
      <c r="P1018" s="175"/>
      <c r="Q1018" s="175"/>
      <c r="R1018" s="175"/>
      <c r="S1018" s="175"/>
      <c r="T1018" s="175"/>
      <c r="U1018" s="175"/>
      <c r="V1018" s="175"/>
      <c r="W1018" s="175"/>
      <c r="X1018" s="175"/>
      <c r="Y1018" s="175"/>
      <c r="Z1018" s="175"/>
      <c r="AA1018" s="175"/>
    </row>
    <row r="1019" spans="1:27" ht="15.75" customHeight="1">
      <c r="A1019" s="175"/>
      <c r="B1019" s="175"/>
      <c r="C1019" s="175"/>
      <c r="D1019" s="175"/>
      <c r="E1019" s="175"/>
      <c r="F1019" s="175"/>
      <c r="G1019" s="175"/>
      <c r="H1019" s="175"/>
      <c r="I1019" s="175"/>
      <c r="J1019" s="175"/>
      <c r="K1019" s="175"/>
      <c r="L1019" s="175"/>
      <c r="M1019" s="175"/>
      <c r="N1019" s="175"/>
      <c r="O1019" s="175"/>
      <c r="P1019" s="175"/>
      <c r="Q1019" s="175"/>
      <c r="R1019" s="175"/>
      <c r="S1019" s="175"/>
      <c r="T1019" s="175"/>
      <c r="U1019" s="175"/>
      <c r="V1019" s="175"/>
      <c r="W1019" s="175"/>
      <c r="X1019" s="175"/>
      <c r="Y1019" s="175"/>
      <c r="Z1019" s="175"/>
      <c r="AA1019" s="175"/>
    </row>
    <row r="1020" spans="1:27" ht="15.75" customHeight="1">
      <c r="A1020" s="175"/>
      <c r="B1020" s="175"/>
      <c r="C1020" s="175"/>
      <c r="D1020" s="175"/>
      <c r="E1020" s="175"/>
      <c r="F1020" s="175"/>
      <c r="G1020" s="175"/>
      <c r="H1020" s="175"/>
      <c r="I1020" s="175"/>
      <c r="J1020" s="175"/>
      <c r="K1020" s="175"/>
      <c r="L1020" s="175"/>
      <c r="M1020" s="175"/>
      <c r="N1020" s="175"/>
      <c r="O1020" s="175"/>
      <c r="P1020" s="175"/>
      <c r="Q1020" s="175"/>
      <c r="R1020" s="175"/>
      <c r="S1020" s="175"/>
      <c r="T1020" s="175"/>
      <c r="U1020" s="175"/>
      <c r="V1020" s="175"/>
      <c r="W1020" s="175"/>
      <c r="X1020" s="175"/>
      <c r="Y1020" s="175"/>
      <c r="Z1020" s="175"/>
      <c r="AA1020" s="175"/>
    </row>
    <row r="1021" spans="1:27" ht="15.75" customHeight="1">
      <c r="A1021" s="175"/>
      <c r="B1021" s="175"/>
      <c r="C1021" s="175"/>
      <c r="D1021" s="175"/>
      <c r="E1021" s="175"/>
      <c r="F1021" s="175"/>
      <c r="G1021" s="175"/>
      <c r="H1021" s="175"/>
      <c r="I1021" s="175"/>
      <c r="J1021" s="175"/>
      <c r="K1021" s="175"/>
      <c r="L1021" s="175"/>
      <c r="M1021" s="175"/>
      <c r="N1021" s="175"/>
      <c r="O1021" s="175"/>
      <c r="P1021" s="175"/>
      <c r="Q1021" s="175"/>
      <c r="R1021" s="175"/>
      <c r="S1021" s="175"/>
      <c r="T1021" s="175"/>
      <c r="U1021" s="175"/>
      <c r="V1021" s="175"/>
      <c r="W1021" s="175"/>
      <c r="X1021" s="175"/>
      <c r="Y1021" s="175"/>
      <c r="Z1021" s="175"/>
      <c r="AA1021" s="175"/>
    </row>
    <row r="1022" spans="1:27" ht="15.75" customHeight="1">
      <c r="A1022" s="175"/>
      <c r="B1022" s="175"/>
      <c r="C1022" s="175"/>
      <c r="D1022" s="175"/>
      <c r="E1022" s="175"/>
      <c r="F1022" s="175"/>
      <c r="G1022" s="175"/>
      <c r="H1022" s="175"/>
      <c r="I1022" s="175"/>
      <c r="J1022" s="175"/>
      <c r="K1022" s="175"/>
      <c r="L1022" s="175"/>
      <c r="M1022" s="175"/>
      <c r="N1022" s="175"/>
      <c r="O1022" s="175"/>
      <c r="P1022" s="175"/>
      <c r="Q1022" s="175"/>
      <c r="R1022" s="175"/>
      <c r="S1022" s="175"/>
      <c r="T1022" s="175"/>
      <c r="U1022" s="175"/>
      <c r="V1022" s="175"/>
      <c r="W1022" s="175"/>
      <c r="X1022" s="175"/>
      <c r="Y1022" s="175"/>
      <c r="Z1022" s="175"/>
      <c r="AA1022" s="175"/>
    </row>
    <row r="1023" spans="1:27" ht="15.75" customHeight="1">
      <c r="A1023" s="175"/>
      <c r="B1023" s="175"/>
      <c r="C1023" s="175"/>
      <c r="D1023" s="175"/>
      <c r="E1023" s="175"/>
      <c r="F1023" s="175"/>
      <c r="G1023" s="175"/>
      <c r="H1023" s="175"/>
      <c r="I1023" s="175"/>
      <c r="J1023" s="175"/>
      <c r="K1023" s="175"/>
      <c r="L1023" s="175"/>
      <c r="M1023" s="175"/>
      <c r="N1023" s="175"/>
      <c r="O1023" s="175"/>
      <c r="P1023" s="175"/>
      <c r="Q1023" s="175"/>
      <c r="R1023" s="175"/>
      <c r="S1023" s="175"/>
      <c r="T1023" s="175"/>
      <c r="U1023" s="175"/>
      <c r="V1023" s="175"/>
      <c r="W1023" s="175"/>
      <c r="X1023" s="175"/>
      <c r="Y1023" s="175"/>
      <c r="Z1023" s="175"/>
      <c r="AA1023" s="175"/>
    </row>
    <row r="1024" spans="1:27" ht="15.75" customHeight="1">
      <c r="A1024" s="175"/>
      <c r="B1024" s="175"/>
      <c r="C1024" s="175"/>
      <c r="D1024" s="175"/>
      <c r="E1024" s="175"/>
      <c r="F1024" s="175"/>
      <c r="G1024" s="175"/>
      <c r="H1024" s="175"/>
      <c r="I1024" s="175"/>
      <c r="J1024" s="175"/>
      <c r="K1024" s="175"/>
      <c r="L1024" s="175"/>
      <c r="M1024" s="175"/>
      <c r="N1024" s="175"/>
      <c r="O1024" s="175"/>
      <c r="P1024" s="175"/>
      <c r="Q1024" s="175"/>
      <c r="R1024" s="175"/>
      <c r="S1024" s="175"/>
      <c r="T1024" s="175"/>
      <c r="U1024" s="175"/>
      <c r="V1024" s="175"/>
      <c r="W1024" s="175"/>
      <c r="X1024" s="175"/>
      <c r="Y1024" s="175"/>
      <c r="Z1024" s="175"/>
      <c r="AA1024" s="175"/>
    </row>
    <row r="1025" spans="1:27" ht="15.75" customHeight="1">
      <c r="A1025" s="175"/>
      <c r="B1025" s="175"/>
      <c r="C1025" s="175"/>
      <c r="D1025" s="175"/>
      <c r="E1025" s="175"/>
      <c r="F1025" s="175"/>
      <c r="G1025" s="175"/>
      <c r="H1025" s="175"/>
      <c r="I1025" s="175"/>
      <c r="J1025" s="175"/>
      <c r="K1025" s="175"/>
      <c r="L1025" s="175"/>
      <c r="M1025" s="175"/>
      <c r="N1025" s="175"/>
      <c r="O1025" s="175"/>
      <c r="P1025" s="175"/>
      <c r="Q1025" s="175"/>
      <c r="R1025" s="175"/>
      <c r="S1025" s="175"/>
      <c r="T1025" s="175"/>
      <c r="U1025" s="175"/>
      <c r="V1025" s="175"/>
      <c r="W1025" s="175"/>
      <c r="X1025" s="175"/>
      <c r="Y1025" s="175"/>
      <c r="Z1025" s="175"/>
      <c r="AA1025" s="175"/>
    </row>
    <row r="1026" spans="1:27" ht="15.75" customHeight="1">
      <c r="A1026" s="175"/>
      <c r="B1026" s="175"/>
      <c r="C1026" s="175"/>
      <c r="D1026" s="175"/>
      <c r="E1026" s="175"/>
      <c r="F1026" s="175"/>
      <c r="G1026" s="175"/>
      <c r="H1026" s="175"/>
      <c r="I1026" s="175"/>
      <c r="J1026" s="175"/>
      <c r="K1026" s="175"/>
      <c r="L1026" s="175"/>
      <c r="M1026" s="175"/>
      <c r="N1026" s="175"/>
      <c r="O1026" s="175"/>
      <c r="P1026" s="175"/>
      <c r="Q1026" s="175"/>
      <c r="R1026" s="175"/>
      <c r="S1026" s="175"/>
      <c r="T1026" s="175"/>
      <c r="U1026" s="175"/>
      <c r="V1026" s="175"/>
      <c r="W1026" s="175"/>
      <c r="X1026" s="175"/>
      <c r="Y1026" s="175"/>
      <c r="Z1026" s="175"/>
      <c r="AA1026" s="175"/>
    </row>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010"/>
  <sheetViews>
    <sheetView workbookViewId="0"/>
  </sheetViews>
  <sheetFormatPr defaultColWidth="11.23046875" defaultRowHeight="15" customHeight="1"/>
  <cols>
    <col min="1" max="1" width="21.23046875" customWidth="1"/>
    <col min="2" max="2" width="7.765625" customWidth="1"/>
    <col min="3" max="3" width="9.07421875" customWidth="1"/>
    <col min="4" max="13" width="6.23046875" customWidth="1"/>
  </cols>
  <sheetData>
    <row r="1" spans="1:6" ht="14.5">
      <c r="A1" s="1171" t="s">
        <v>3150</v>
      </c>
    </row>
    <row r="2" spans="1:6" ht="14.5">
      <c r="A2" s="175" t="s">
        <v>3151</v>
      </c>
    </row>
    <row r="3" spans="1:6" ht="14.5">
      <c r="A3" s="175" t="s">
        <v>2203</v>
      </c>
    </row>
    <row r="4" spans="1:6">
      <c r="A4" s="1172" t="s">
        <v>2163</v>
      </c>
    </row>
    <row r="5" spans="1:6">
      <c r="A5" s="1172" t="s">
        <v>2180</v>
      </c>
    </row>
    <row r="6" spans="1:6" ht="14.5">
      <c r="A6" s="1171"/>
      <c r="C6" s="1171"/>
      <c r="F6" s="1171"/>
    </row>
    <row r="7" spans="1:6" ht="14.5">
      <c r="A7" s="1171"/>
      <c r="C7" s="1171"/>
      <c r="F7" s="1171"/>
    </row>
    <row r="8" spans="1:6" ht="14.5">
      <c r="A8" s="1171"/>
      <c r="C8" s="1171"/>
      <c r="F8" s="1171"/>
    </row>
    <row r="9" spans="1:6" ht="14.5">
      <c r="A9" s="1171" t="s">
        <v>3152</v>
      </c>
      <c r="C9" s="1171" t="s">
        <v>1842</v>
      </c>
      <c r="F9" s="1171" t="s">
        <v>3153</v>
      </c>
    </row>
    <row r="10" spans="1:6">
      <c r="A10" s="1172" t="s">
        <v>2196</v>
      </c>
      <c r="C10" s="1172" t="s">
        <v>1811</v>
      </c>
      <c r="F10" s="1171" t="s">
        <v>38</v>
      </c>
    </row>
    <row r="11" spans="1:6">
      <c r="A11" s="1172" t="s">
        <v>2164</v>
      </c>
      <c r="C11" s="175" t="s">
        <v>1807</v>
      </c>
      <c r="F11" s="602" t="s">
        <v>755</v>
      </c>
    </row>
    <row r="12" spans="1:6">
      <c r="A12" s="1172" t="s">
        <v>2170</v>
      </c>
    </row>
    <row r="16" spans="1:6" ht="14.5">
      <c r="A16" s="1171" t="s">
        <v>3154</v>
      </c>
      <c r="C16" s="1171" t="s">
        <v>3155</v>
      </c>
      <c r="F16" s="1171" t="s">
        <v>3156</v>
      </c>
    </row>
    <row r="17" spans="1:14">
      <c r="A17" s="1172" t="s">
        <v>35</v>
      </c>
      <c r="C17" s="175" t="s">
        <v>78</v>
      </c>
      <c r="F17" s="175" t="s">
        <v>3157</v>
      </c>
    </row>
    <row r="18" spans="1:14">
      <c r="A18" s="1172" t="s">
        <v>146</v>
      </c>
      <c r="C18" s="175" t="s">
        <v>39</v>
      </c>
      <c r="F18" s="175" t="s">
        <v>2848</v>
      </c>
    </row>
    <row r="19" spans="1:14">
      <c r="A19" s="1172" t="s">
        <v>139</v>
      </c>
      <c r="C19" s="175" t="s">
        <v>86</v>
      </c>
    </row>
    <row r="20" spans="1:14">
      <c r="A20" s="1172" t="s">
        <v>2891</v>
      </c>
      <c r="C20" s="175" t="s">
        <v>329</v>
      </c>
    </row>
    <row r="24" spans="1:14" ht="14.5">
      <c r="A24" s="1171" t="s">
        <v>3158</v>
      </c>
      <c r="C24" s="1171" t="s">
        <v>3159</v>
      </c>
      <c r="G24" s="1171" t="s">
        <v>3160</v>
      </c>
      <c r="J24" s="1171" t="s">
        <v>3161</v>
      </c>
    </row>
    <row r="25" spans="1:14">
      <c r="A25" s="175" t="s">
        <v>3151</v>
      </c>
      <c r="C25" s="1172" t="s">
        <v>3162</v>
      </c>
      <c r="G25" s="1173" t="s">
        <v>1810</v>
      </c>
      <c r="J25" s="175" t="s">
        <v>1811</v>
      </c>
    </row>
    <row r="26" spans="1:14" ht="15.75" customHeight="1">
      <c r="A26" s="175" t="s">
        <v>547</v>
      </c>
      <c r="C26" s="1172" t="s">
        <v>1805</v>
      </c>
      <c r="G26" s="853" t="s">
        <v>3136</v>
      </c>
      <c r="J26" s="175" t="s">
        <v>1807</v>
      </c>
    </row>
    <row r="27" spans="1:14" ht="15.75" customHeight="1">
      <c r="A27" s="175" t="s">
        <v>344</v>
      </c>
      <c r="C27" s="1172" t="s">
        <v>3163</v>
      </c>
      <c r="G27" s="175" t="s">
        <v>3164</v>
      </c>
      <c r="N27" s="175"/>
    </row>
    <row r="28" spans="1:14" ht="15.75" customHeight="1">
      <c r="A28" s="175" t="s">
        <v>140</v>
      </c>
      <c r="G28" s="175" t="s">
        <v>1806</v>
      </c>
      <c r="N28" s="175"/>
    </row>
    <row r="29" spans="1:14" ht="15.75" customHeight="1">
      <c r="A29" s="1172" t="s">
        <v>36</v>
      </c>
      <c r="G29" s="175"/>
      <c r="N29" s="175"/>
    </row>
    <row r="30" spans="1:14" ht="15.75" customHeight="1">
      <c r="A30" s="175" t="s">
        <v>3165</v>
      </c>
      <c r="G30" s="175"/>
      <c r="N30" s="175"/>
    </row>
    <row r="31" spans="1:14" ht="15.75" customHeight="1">
      <c r="G31" s="175"/>
    </row>
    <row r="32" spans="1:14" ht="15.75" customHeight="1">
      <c r="G32" s="175"/>
    </row>
    <row r="33" spans="1:7" ht="15.75" customHeight="1">
      <c r="A33" s="1171" t="s">
        <v>3166</v>
      </c>
      <c r="C33" s="1171" t="s">
        <v>3167</v>
      </c>
      <c r="G33" s="1171" t="s">
        <v>3168</v>
      </c>
    </row>
    <row r="34" spans="1:7" ht="15.75" customHeight="1">
      <c r="A34" s="1172" t="s">
        <v>3101</v>
      </c>
      <c r="C34" s="1172" t="s">
        <v>1857</v>
      </c>
      <c r="G34" s="1172" t="s">
        <v>1849</v>
      </c>
    </row>
    <row r="35" spans="1:7" ht="15.75" customHeight="1">
      <c r="A35" s="1172" t="s">
        <v>2083</v>
      </c>
      <c r="C35" s="1172" t="s">
        <v>1848</v>
      </c>
      <c r="G35" s="1172" t="s">
        <v>1915</v>
      </c>
    </row>
    <row r="36" spans="1:7" ht="15.75" customHeight="1">
      <c r="A36" s="1172" t="s">
        <v>1901</v>
      </c>
      <c r="C36" s="1172" t="s">
        <v>2048</v>
      </c>
    </row>
    <row r="37" spans="1:7" ht="15.75" customHeight="1">
      <c r="A37" s="1172" t="s">
        <v>3169</v>
      </c>
    </row>
    <row r="38" spans="1:7" ht="15.75" customHeight="1">
      <c r="A38" s="1172" t="s">
        <v>1983</v>
      </c>
    </row>
    <row r="39" spans="1:7" ht="15.75" customHeight="1">
      <c r="A39" s="1172" t="s">
        <v>1858</v>
      </c>
    </row>
    <row r="40" spans="1:7" ht="15.75" customHeight="1">
      <c r="A40" s="1172" t="s">
        <v>3170</v>
      </c>
    </row>
    <row r="41" spans="1:7" ht="15.75" customHeight="1">
      <c r="A41" s="1172" t="s">
        <v>1810</v>
      </c>
    </row>
    <row r="42" spans="1:7" ht="15.75" customHeight="1">
      <c r="A42" s="1171"/>
    </row>
    <row r="43" spans="1:7" ht="15.75" customHeight="1">
      <c r="A43" s="1171"/>
    </row>
    <row r="44" spans="1:7" ht="15.75" customHeight="1">
      <c r="A44" s="1171" t="s">
        <v>3171</v>
      </c>
    </row>
    <row r="45" spans="1:7" ht="15.75" customHeight="1">
      <c r="A45" s="1172" t="s">
        <v>1878</v>
      </c>
    </row>
    <row r="46" spans="1:7" ht="15.75" customHeight="1">
      <c r="A46" s="1172" t="s">
        <v>1859</v>
      </c>
    </row>
    <row r="47" spans="1:7" ht="15.75" customHeight="1"/>
    <row r="48" spans="1:7" ht="15.75" customHeight="1"/>
    <row r="49" spans="1:13" ht="15.75" customHeight="1">
      <c r="A49" s="1171" t="s">
        <v>3172</v>
      </c>
      <c r="C49" s="1171" t="s">
        <v>3173</v>
      </c>
      <c r="E49" s="1171" t="s">
        <v>3174</v>
      </c>
      <c r="I49" s="1171" t="s">
        <v>3174</v>
      </c>
      <c r="L49" s="1171" t="s">
        <v>2129</v>
      </c>
    </row>
    <row r="50" spans="1:13" ht="15.75" customHeight="1">
      <c r="A50" s="175" t="s">
        <v>3175</v>
      </c>
      <c r="C50" s="1172" t="s">
        <v>2848</v>
      </c>
      <c r="E50" s="1172" t="s">
        <v>3111</v>
      </c>
      <c r="I50" s="175">
        <v>1</v>
      </c>
      <c r="L50" s="175" t="s">
        <v>3176</v>
      </c>
    </row>
    <row r="51" spans="1:13" ht="15.75" customHeight="1">
      <c r="A51" s="175" t="s">
        <v>3177</v>
      </c>
      <c r="C51" s="1172" t="s">
        <v>2102</v>
      </c>
      <c r="E51" s="1172" t="s">
        <v>2140</v>
      </c>
      <c r="I51" s="175">
        <v>2</v>
      </c>
      <c r="L51" s="175" t="s">
        <v>2130</v>
      </c>
    </row>
    <row r="52" spans="1:13" ht="15.75" customHeight="1">
      <c r="A52" s="1172" t="s">
        <v>3146</v>
      </c>
      <c r="E52" s="1173" t="s">
        <v>2132</v>
      </c>
      <c r="I52" s="175">
        <v>3</v>
      </c>
    </row>
    <row r="53" spans="1:13" ht="15.75" customHeight="1">
      <c r="A53" s="1172" t="s">
        <v>2110</v>
      </c>
    </row>
    <row r="54" spans="1:13" ht="15.75" customHeight="1">
      <c r="A54" s="1173" t="s">
        <v>2115</v>
      </c>
    </row>
    <row r="55" spans="1:13" ht="15.75" customHeight="1">
      <c r="A55" s="1173" t="s">
        <v>2104</v>
      </c>
    </row>
    <row r="56" spans="1:13" ht="15.75" customHeight="1">
      <c r="A56" s="853" t="s">
        <v>3178</v>
      </c>
    </row>
    <row r="57" spans="1:13" ht="15.75" customHeight="1">
      <c r="A57" s="853" t="s">
        <v>3179</v>
      </c>
    </row>
    <row r="58" spans="1:13" ht="15.75" customHeight="1">
      <c r="A58" s="1171"/>
      <c r="M58" s="175"/>
    </row>
    <row r="59" spans="1:13" ht="15.75" customHeight="1">
      <c r="A59" s="1171"/>
      <c r="M59" s="175"/>
    </row>
    <row r="60" spans="1:13" ht="15.75" customHeight="1">
      <c r="A60" s="1171" t="s">
        <v>3180</v>
      </c>
      <c r="M60" s="175"/>
    </row>
    <row r="61" spans="1:13" ht="15.75" customHeight="1">
      <c r="A61" s="853" t="s">
        <v>32</v>
      </c>
      <c r="B61" s="602"/>
      <c r="I61" s="175"/>
      <c r="J61" s="602"/>
    </row>
    <row r="62" spans="1:13" ht="15.75" customHeight="1">
      <c r="A62" s="853" t="s">
        <v>49</v>
      </c>
    </row>
    <row r="63" spans="1:13" ht="15.75" customHeight="1">
      <c r="A63" s="853" t="s">
        <v>58</v>
      </c>
    </row>
    <row r="64" spans="1:13" ht="15.75" customHeight="1">
      <c r="A64" s="853" t="s">
        <v>201</v>
      </c>
    </row>
    <row r="65" spans="1:3" ht="15.75" customHeight="1">
      <c r="A65" s="853" t="s">
        <v>67</v>
      </c>
    </row>
    <row r="66" spans="1:3" ht="15.75" customHeight="1"/>
    <row r="67" spans="1:3" ht="15.75" customHeight="1"/>
    <row r="68" spans="1:3" ht="15.75" customHeight="1"/>
    <row r="69" spans="1:3" ht="15.75" customHeight="1">
      <c r="A69" s="1171" t="s">
        <v>3181</v>
      </c>
      <c r="C69" s="1171" t="s">
        <v>3182</v>
      </c>
    </row>
    <row r="70" spans="1:3" ht="15.75" customHeight="1">
      <c r="A70" s="175" t="s">
        <v>2918</v>
      </c>
      <c r="C70" s="1174" t="s">
        <v>119</v>
      </c>
    </row>
    <row r="71" spans="1:3" ht="15.75" customHeight="1">
      <c r="A71" s="175" t="s">
        <v>2919</v>
      </c>
      <c r="C71" s="1174"/>
    </row>
    <row r="72" spans="1:3" ht="15.75" customHeight="1">
      <c r="A72" s="175" t="s">
        <v>47</v>
      </c>
    </row>
    <row r="73" spans="1:3" ht="15.75" customHeight="1">
      <c r="A73" s="175" t="s">
        <v>175</v>
      </c>
    </row>
    <row r="74" spans="1:3" ht="15.75" customHeight="1">
      <c r="A74" s="175" t="s">
        <v>251</v>
      </c>
    </row>
    <row r="75" spans="1:3" ht="15.75" customHeight="1">
      <c r="A75" s="175" t="s">
        <v>271</v>
      </c>
    </row>
    <row r="76" spans="1:3" ht="15.75" customHeight="1">
      <c r="A76" s="175" t="s">
        <v>423</v>
      </c>
    </row>
    <row r="77" spans="1:3" ht="15.75" customHeight="1">
      <c r="A77" s="175" t="s">
        <v>480</v>
      </c>
    </row>
    <row r="78" spans="1:3" ht="15.75" customHeight="1">
      <c r="A78" s="175" t="s">
        <v>334</v>
      </c>
    </row>
    <row r="79" spans="1:3" ht="15.75" customHeight="1">
      <c r="A79" s="175" t="s">
        <v>326</v>
      </c>
    </row>
    <row r="80" spans="1:3" ht="15.75" customHeight="1">
      <c r="A80" s="175" t="s">
        <v>650</v>
      </c>
    </row>
    <row r="81" spans="1:1" ht="15.75" customHeight="1">
      <c r="A81" s="175" t="s">
        <v>182</v>
      </c>
    </row>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B1000"/>
  <sheetViews>
    <sheetView showGridLines="0" workbookViewId="0"/>
  </sheetViews>
  <sheetFormatPr defaultColWidth="11.23046875" defaultRowHeight="15" customHeight="1"/>
  <cols>
    <col min="1" max="28" width="6.23046875" customWidth="1"/>
  </cols>
  <sheetData>
    <row r="1" spans="2:28" ht="14.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row>
    <row r="2" spans="2:28" ht="14.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row>
    <row r="3" spans="2:28" ht="14.5">
      <c r="B3" s="175"/>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row>
    <row r="4" spans="2:28" ht="14.5">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row>
    <row r="5" spans="2:28" ht="14.5">
      <c r="B5" s="175"/>
      <c r="C5" s="175"/>
      <c r="D5" s="175"/>
      <c r="E5" s="175"/>
      <c r="F5" s="175"/>
      <c r="G5" s="175"/>
      <c r="H5" s="175"/>
      <c r="I5" s="175"/>
      <c r="J5" s="175"/>
      <c r="K5" s="175"/>
      <c r="L5" s="175"/>
      <c r="M5" s="175"/>
      <c r="N5" s="175"/>
      <c r="O5" s="175"/>
      <c r="P5" s="175"/>
      <c r="Q5" s="175"/>
      <c r="R5" s="175"/>
      <c r="S5" s="175"/>
      <c r="T5" s="175"/>
      <c r="U5" s="175"/>
      <c r="V5" s="175"/>
      <c r="W5" s="175"/>
      <c r="X5" s="175"/>
      <c r="Y5" s="175"/>
      <c r="Z5" s="175"/>
      <c r="AA5" s="175"/>
      <c r="AB5" s="175"/>
    </row>
    <row r="6" spans="2:28" ht="14.5">
      <c r="B6" s="175"/>
      <c r="C6" s="175"/>
      <c r="D6" s="175"/>
      <c r="E6" s="175"/>
      <c r="F6" s="175"/>
      <c r="G6" s="175"/>
      <c r="H6" s="175"/>
      <c r="I6" s="175"/>
      <c r="J6" s="175"/>
      <c r="K6" s="175"/>
      <c r="L6" s="175"/>
      <c r="M6" s="175"/>
      <c r="N6" s="175"/>
      <c r="O6" s="175"/>
      <c r="P6" s="175"/>
      <c r="Q6" s="175"/>
      <c r="R6" s="175"/>
      <c r="S6" s="175"/>
      <c r="T6" s="175"/>
      <c r="U6" s="175"/>
      <c r="V6" s="175"/>
      <c r="W6" s="175"/>
      <c r="X6" s="175"/>
      <c r="Y6" s="175"/>
      <c r="Z6" s="175"/>
      <c r="AA6" s="175"/>
      <c r="AB6" s="175"/>
    </row>
    <row r="7" spans="2:28" ht="14.5">
      <c r="B7" s="175"/>
      <c r="C7" s="175"/>
      <c r="D7" s="175"/>
      <c r="E7" s="175"/>
      <c r="F7" s="175"/>
      <c r="G7" s="175"/>
      <c r="H7" s="175"/>
      <c r="I7" s="175"/>
      <c r="J7" s="175"/>
      <c r="K7" s="175"/>
      <c r="L7" s="175"/>
      <c r="M7" s="175"/>
      <c r="N7" s="175"/>
      <c r="O7" s="175"/>
      <c r="P7" s="175"/>
      <c r="Q7" s="175"/>
      <c r="R7" s="175"/>
      <c r="S7" s="175"/>
      <c r="T7" s="175"/>
      <c r="U7" s="175"/>
      <c r="V7" s="175"/>
      <c r="W7" s="175"/>
      <c r="X7" s="175"/>
      <c r="Y7" s="175"/>
      <c r="Z7" s="175"/>
      <c r="AA7" s="175"/>
      <c r="AB7" s="175"/>
    </row>
    <row r="8" spans="2:28" ht="14.5">
      <c r="B8" s="175"/>
      <c r="C8" s="175"/>
      <c r="D8" s="175"/>
      <c r="E8" s="175"/>
      <c r="F8" s="175"/>
      <c r="G8" s="175"/>
      <c r="H8" s="175"/>
      <c r="I8" s="175"/>
      <c r="J8" s="175"/>
      <c r="K8" s="175"/>
      <c r="L8" s="175"/>
      <c r="M8" s="175"/>
      <c r="N8" s="175"/>
      <c r="O8" s="175"/>
      <c r="P8" s="175"/>
      <c r="Q8" s="175"/>
      <c r="R8" s="175"/>
      <c r="S8" s="175"/>
      <c r="T8" s="175"/>
      <c r="U8" s="175"/>
      <c r="V8" s="175"/>
      <c r="W8" s="175"/>
      <c r="X8" s="175"/>
      <c r="Y8" s="175"/>
      <c r="Z8" s="175"/>
      <c r="AA8" s="175"/>
      <c r="AB8" s="175"/>
    </row>
    <row r="9" spans="2:28" ht="14.5">
      <c r="B9" s="175"/>
      <c r="C9" s="175"/>
      <c r="D9" s="175"/>
      <c r="E9" s="175"/>
      <c r="F9" s="175"/>
      <c r="G9" s="175"/>
      <c r="H9" s="175"/>
      <c r="I9" s="175"/>
      <c r="J9" s="175"/>
      <c r="K9" s="175"/>
      <c r="L9" s="175"/>
      <c r="M9" s="175"/>
      <c r="N9" s="175"/>
      <c r="O9" s="175"/>
      <c r="P9" s="175"/>
      <c r="Q9" s="175"/>
      <c r="R9" s="175"/>
      <c r="S9" s="175"/>
      <c r="T9" s="175"/>
      <c r="U9" s="175"/>
      <c r="V9" s="175"/>
      <c r="W9" s="175"/>
      <c r="X9" s="175"/>
      <c r="Y9" s="175"/>
      <c r="Z9" s="175"/>
      <c r="AA9" s="175"/>
      <c r="AB9" s="175"/>
    </row>
    <row r="10" spans="2:28" ht="14.5">
      <c r="B10" s="175"/>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c r="AA10" s="175"/>
      <c r="AB10" s="175"/>
    </row>
    <row r="11" spans="2:28" ht="14.5">
      <c r="B11" s="175"/>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row>
    <row r="12" spans="2:28" ht="14.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row>
    <row r="13" spans="2:28" ht="14.5">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row>
    <row r="14" spans="2:28" ht="14.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c r="AA14" s="175"/>
      <c r="AB14" s="175"/>
    </row>
    <row r="15" spans="2:28" ht="14.5">
      <c r="B15" s="175"/>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row>
    <row r="16" spans="2:28" ht="14.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row>
    <row r="17" spans="2:28" ht="14.5">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c r="AB17" s="175"/>
    </row>
    <row r="18" spans="2:28" ht="14.5">
      <c r="B18" s="175"/>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c r="AB18" s="175"/>
    </row>
    <row r="19" spans="2:28" ht="14.5">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c r="AA19" s="175"/>
      <c r="AB19" s="175"/>
    </row>
    <row r="20" spans="2:28" ht="14.5">
      <c r="B20" s="175"/>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row>
    <row r="21" spans="2:28" ht="15.75" customHeight="1">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row>
    <row r="22" spans="2:28" ht="15.75" customHeight="1">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row>
    <row r="23" spans="2:28" ht="15.75" customHeight="1">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row>
    <row r="24" spans="2:28" ht="15.75" customHeight="1">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row>
    <row r="25" spans="2:28" ht="15.75" customHeight="1">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row>
    <row r="26" spans="2:28" ht="15.75" customHeight="1">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row>
    <row r="27" spans="2:28" ht="15.75" customHeight="1">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row>
    <row r="28" spans="2:28" ht="15.75" customHeight="1">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row>
    <row r="29" spans="2:28" ht="15.75" customHeight="1">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row>
    <row r="30" spans="2:28" ht="15.75" customHeight="1">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c r="AA30" s="175"/>
      <c r="AB30" s="175"/>
    </row>
    <row r="31" spans="2:28" ht="15.75" customHeight="1">
      <c r="B31" s="175"/>
      <c r="C31" s="175"/>
      <c r="D31" s="175"/>
      <c r="E31" s="175"/>
      <c r="F31" s="175"/>
      <c r="G31" s="175"/>
      <c r="H31" s="175"/>
      <c r="I31" s="1161"/>
      <c r="J31" s="175"/>
      <c r="K31" s="175"/>
      <c r="L31" s="175"/>
      <c r="M31" s="175"/>
      <c r="N31" s="175"/>
      <c r="O31" s="175"/>
      <c r="P31" s="175"/>
      <c r="Q31" s="175"/>
      <c r="R31" s="175"/>
      <c r="S31" s="175"/>
      <c r="T31" s="175"/>
      <c r="U31" s="175"/>
      <c r="V31" s="175"/>
      <c r="W31" s="175"/>
      <c r="X31" s="175"/>
      <c r="Y31" s="175"/>
      <c r="Z31" s="175"/>
      <c r="AA31" s="175"/>
      <c r="AB31" s="175"/>
    </row>
    <row r="32" spans="2:28" ht="15.75" customHeight="1">
      <c r="B32" s="175"/>
      <c r="C32" s="175"/>
      <c r="D32" s="175"/>
      <c r="E32" s="175"/>
      <c r="F32" s="175"/>
      <c r="G32" s="175"/>
      <c r="H32" s="175"/>
      <c r="I32" s="175"/>
      <c r="J32" s="175"/>
      <c r="K32" s="175"/>
      <c r="L32" s="175"/>
      <c r="M32" s="175"/>
      <c r="N32" s="175"/>
      <c r="O32" s="175"/>
      <c r="P32" s="175"/>
      <c r="Q32" s="175">
        <f>Q29</f>
        <v>0</v>
      </c>
      <c r="R32" s="175"/>
      <c r="S32" s="175"/>
      <c r="T32" s="175"/>
      <c r="U32" s="175"/>
      <c r="V32" s="175"/>
      <c r="W32" s="175"/>
      <c r="X32" s="175"/>
      <c r="Y32" s="175"/>
      <c r="Z32" s="175"/>
      <c r="AA32" s="175"/>
      <c r="AB32" s="175"/>
    </row>
    <row r="33" spans="2:28" ht="15.75" customHeight="1">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c r="AA33" s="175"/>
      <c r="AB33" s="175"/>
    </row>
    <row r="34" spans="2:28" ht="15.75" customHeight="1">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row>
    <row r="35" spans="2:28" ht="15.75" customHeight="1">
      <c r="B35" s="175"/>
      <c r="C35" s="175"/>
      <c r="D35" s="175"/>
      <c r="E35" s="175"/>
      <c r="F35" s="175"/>
      <c r="G35" s="175"/>
      <c r="H35" s="175"/>
      <c r="I35" s="175"/>
      <c r="J35" s="175"/>
      <c r="K35" s="175"/>
      <c r="L35" s="175"/>
      <c r="M35" s="175"/>
      <c r="N35" s="175"/>
      <c r="O35" s="175"/>
      <c r="P35" s="175"/>
      <c r="Q35" s="175"/>
      <c r="R35" s="175"/>
      <c r="S35" s="175"/>
      <c r="T35" s="175"/>
      <c r="U35" s="175"/>
      <c r="V35" s="175"/>
      <c r="W35" s="175"/>
      <c r="X35" s="175" t="s">
        <v>3114</v>
      </c>
      <c r="Y35" s="175"/>
      <c r="Z35" s="175"/>
      <c r="AA35" s="175"/>
      <c r="AB35" s="175"/>
    </row>
    <row r="36" spans="2:28" ht="15.75" customHeight="1">
      <c r="B36" s="175"/>
      <c r="C36" s="175"/>
      <c r="D36" s="175"/>
      <c r="E36" s="175"/>
      <c r="F36" s="175"/>
      <c r="G36" s="175"/>
      <c r="H36" s="175"/>
      <c r="I36" s="175"/>
      <c r="J36" s="175"/>
      <c r="K36" s="175"/>
      <c r="L36" s="175"/>
      <c r="M36" s="175"/>
      <c r="N36" s="175"/>
      <c r="O36" s="175"/>
      <c r="P36" s="175"/>
      <c r="Q36" s="175"/>
      <c r="R36" s="175"/>
      <c r="S36" s="175"/>
      <c r="T36" s="175"/>
      <c r="U36" s="175"/>
      <c r="V36" s="175"/>
      <c r="W36" s="175" t="s">
        <v>3115</v>
      </c>
      <c r="X36" s="175"/>
      <c r="Y36" s="175"/>
      <c r="Z36" s="175"/>
      <c r="AA36" s="175"/>
      <c r="AB36" s="175"/>
    </row>
    <row r="37" spans="2:28" ht="15.75" customHeight="1">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5"/>
      <c r="AB37" s="175"/>
    </row>
    <row r="38" spans="2:28" ht="15.75" customHeight="1">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75"/>
    </row>
    <row r="39" spans="2:28" ht="15.75" customHeight="1">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row>
    <row r="40" spans="2:28" ht="15.75" customHeight="1">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5"/>
      <c r="AB40" s="175"/>
    </row>
    <row r="41" spans="2:28" ht="15.75" customHeight="1">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5"/>
      <c r="AB41" s="175"/>
    </row>
    <row r="42" spans="2:28" ht="15.75" customHeight="1">
      <c r="B42" s="175"/>
      <c r="C42" s="175"/>
      <c r="D42" s="175"/>
      <c r="E42" s="175"/>
      <c r="F42" s="175"/>
      <c r="G42" s="175"/>
      <c r="H42" s="175"/>
      <c r="I42" s="175"/>
      <c r="J42" s="175"/>
      <c r="K42" s="175"/>
      <c r="L42" s="175" t="s">
        <v>3116</v>
      </c>
      <c r="M42" s="175"/>
      <c r="N42" s="175"/>
      <c r="O42" s="175"/>
      <c r="P42" s="175"/>
      <c r="Q42" s="175"/>
      <c r="R42" s="175"/>
      <c r="S42" s="175"/>
      <c r="T42" s="175"/>
      <c r="U42" s="175"/>
      <c r="V42" s="175"/>
      <c r="W42" s="175"/>
      <c r="X42" s="175"/>
      <c r="Y42" s="175"/>
      <c r="Z42" s="175"/>
      <c r="AA42" s="175"/>
      <c r="AB42" s="175"/>
    </row>
    <row r="43" spans="2:28" ht="15.75" customHeight="1">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row>
    <row r="44" spans="2:28" ht="15.75" customHeight="1">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row>
    <row r="45" spans="2:28" ht="15.75" customHeight="1">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c r="AB45" s="175"/>
    </row>
    <row r="46" spans="2:28" ht="15.75" customHeight="1">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c r="AB46" s="175"/>
    </row>
    <row r="47" spans="2:28" ht="15.75" customHeight="1">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row>
    <row r="48" spans="2:28" ht="15.75" customHeight="1">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row>
    <row r="49" spans="2:28" ht="15.75" customHeight="1">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row>
    <row r="50" spans="2:28" ht="15.75" customHeight="1">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row>
    <row r="51" spans="2:28" ht="15.75" customHeight="1">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row>
    <row r="52" spans="2:28" ht="15.75" customHeight="1">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row>
    <row r="53" spans="2:28" ht="15.75" customHeight="1">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row>
    <row r="54" spans="2:28" ht="15.75" customHeight="1">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row>
    <row r="55" spans="2:28" ht="15.75" customHeight="1">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row>
    <row r="56" spans="2:28" ht="15.75" customHeight="1">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row>
    <row r="57" spans="2:28" ht="15.75" customHeight="1">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row>
    <row r="58" spans="2:28" ht="15.75" customHeight="1">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row>
    <row r="59" spans="2:28" ht="15.75" customHeight="1">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row>
    <row r="60" spans="2:28" ht="15.75" customHeight="1">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row>
    <row r="61" spans="2:28" ht="15.75" customHeight="1">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row>
    <row r="62" spans="2:28" ht="15.75" customHeight="1">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row>
    <row r="63" spans="2:28" ht="15.75" customHeight="1">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row>
    <row r="64" spans="2:28" ht="15.75" customHeight="1">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row>
    <row r="65" spans="2:28" ht="15.75" customHeight="1">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row>
    <row r="66" spans="2:28" ht="15.75" customHeight="1">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row>
    <row r="67" spans="2:28" ht="15.75" customHeight="1">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row>
    <row r="68" spans="2:28" ht="15.75" customHeight="1">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row>
    <row r="69" spans="2:28" ht="15.75" customHeight="1">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row>
    <row r="70" spans="2:28" ht="15.75" customHeight="1">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row>
    <row r="71" spans="2:28" ht="15.75" customHeight="1">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row>
    <row r="72" spans="2:28" ht="15.75" customHeight="1">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row>
    <row r="73" spans="2:28" ht="15.75" customHeight="1">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row>
    <row r="74" spans="2:28" ht="15.75" customHeight="1">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row>
    <row r="75" spans="2:28" ht="15.75" customHeight="1">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row>
    <row r="76" spans="2:28" ht="15.75" customHeight="1">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row>
    <row r="77" spans="2:28" ht="15.75" customHeight="1">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row>
    <row r="78" spans="2:28" ht="15.75" customHeight="1">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row>
    <row r="79" spans="2:28" ht="15.75" customHeight="1">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row>
    <row r="80" spans="2:28" ht="15.75" customHeight="1">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row>
    <row r="81" spans="2:28" ht="15.75" customHeight="1">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row>
    <row r="82" spans="2:28" ht="15.75" customHeight="1">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row>
    <row r="83" spans="2:28" ht="15.75" customHeight="1">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row>
    <row r="84" spans="2:28" ht="15.75" customHeight="1">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row>
    <row r="85" spans="2:28" ht="15.75" customHeight="1">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row>
    <row r="86" spans="2:28" ht="15.75" customHeight="1">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row>
    <row r="87" spans="2:28" ht="15.75" customHeight="1">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row>
    <row r="88" spans="2:28" ht="15.75" customHeight="1">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row>
    <row r="89" spans="2:28" ht="15.75" customHeight="1">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row>
    <row r="90" spans="2:28" ht="15.75" customHeight="1">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row>
    <row r="91" spans="2:28" ht="15.75" customHeight="1">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row>
    <row r="92" spans="2:28" ht="15.75" customHeight="1">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row>
    <row r="93" spans="2:28" ht="15.75" customHeight="1">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row>
    <row r="94" spans="2:28" ht="15.75" customHeight="1">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row>
    <row r="95" spans="2:28" ht="15.75" customHeight="1">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row>
    <row r="96" spans="2:28" ht="15.75" customHeight="1">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row>
    <row r="97" spans="2:28" ht="15.75" customHeight="1">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row>
    <row r="98" spans="2:28" ht="15.75" customHeight="1">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row>
    <row r="99" spans="2:28" ht="15.75" customHeight="1">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row>
    <row r="100" spans="2:28" ht="15.75" customHeight="1">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row>
    <row r="101" spans="2:28" ht="15.75" customHeight="1">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row>
    <row r="102" spans="2:28" ht="15.75" customHeight="1">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row>
    <row r="103" spans="2:28" ht="15.75" customHeight="1">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row>
    <row r="104" spans="2:28" ht="15.75" customHeight="1">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row>
    <row r="105" spans="2:28" ht="15.75" customHeight="1">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row>
    <row r="106" spans="2:28" ht="15.75" customHeight="1">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row>
    <row r="107" spans="2:28" ht="15.75" customHeight="1">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row>
    <row r="108" spans="2:28" ht="15.75" customHeight="1">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row>
    <row r="109" spans="2:28" ht="15.75" customHeight="1">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row>
    <row r="110" spans="2:28" ht="15.75" customHeight="1">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row>
    <row r="111" spans="2:28" ht="15.75" customHeight="1">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row>
    <row r="112" spans="2:28" ht="15.75" customHeight="1">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row>
    <row r="113" spans="2:28" ht="15.75" customHeight="1">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row>
    <row r="114" spans="2:28" ht="15.75" customHeight="1">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row>
    <row r="115" spans="2:28" ht="15.75" customHeight="1">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row>
    <row r="116" spans="2:28" ht="15.75" customHeight="1">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row>
    <row r="117" spans="2:28" ht="15.75" customHeight="1">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row>
    <row r="118" spans="2:28" ht="15.75" customHeight="1">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row>
    <row r="119" spans="2:28" ht="15.75" customHeight="1">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row>
    <row r="120" spans="2:28" ht="15.75" customHeight="1">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row>
    <row r="121" spans="2:28" ht="15.75" customHeight="1">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row>
    <row r="122" spans="2:28" ht="15.75" customHeight="1">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row>
    <row r="123" spans="2:28" ht="15.75" customHeight="1">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row>
    <row r="124" spans="2:28" ht="15.75" customHeight="1">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row>
    <row r="125" spans="2:28" ht="15.75" customHeight="1">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row>
    <row r="126" spans="2:28" ht="15.75" customHeight="1">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row>
    <row r="127" spans="2:28" ht="15.75" customHeight="1">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row>
    <row r="128" spans="2:28" ht="15.75" customHeight="1">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row>
    <row r="129" spans="2:28" ht="15.75" customHeight="1">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row>
    <row r="130" spans="2:28" ht="15.75" customHeight="1">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row>
    <row r="131" spans="2:28" ht="15.75" customHeight="1">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row>
    <row r="132" spans="2:28" ht="15.75" customHeight="1">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row>
    <row r="133" spans="2:28" ht="15.75" customHeight="1">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row>
    <row r="134" spans="2:28" ht="15.75" customHeight="1">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row>
    <row r="135" spans="2:28" ht="15.75" customHeight="1">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row>
    <row r="136" spans="2:28" ht="15.75" customHeight="1">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row>
    <row r="137" spans="2:28" ht="15.75" customHeight="1">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row>
    <row r="138" spans="2:28" ht="15.75" customHeight="1">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row>
    <row r="139" spans="2:28" ht="15.75" customHeight="1">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row>
    <row r="140" spans="2:28" ht="15.75" customHeight="1">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row>
    <row r="141" spans="2:28" ht="15.75" customHeight="1">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row>
    <row r="142" spans="2:28" ht="15.75" customHeight="1">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row>
    <row r="143" spans="2:28" ht="15.75" customHeight="1">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row>
    <row r="144" spans="2:28" ht="15.75" customHeight="1">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row>
    <row r="145" spans="2:28" ht="15.75" customHeight="1">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row>
    <row r="146" spans="2:28" ht="15.75" customHeight="1">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row>
    <row r="147" spans="2:28" ht="15.75" customHeight="1">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row>
    <row r="148" spans="2:28" ht="15.75" customHeight="1">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row>
    <row r="149" spans="2:28" ht="15.75" customHeight="1">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row>
    <row r="150" spans="2:28" ht="15.75" customHeight="1">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row>
    <row r="151" spans="2:28" ht="15.75" customHeight="1">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row>
    <row r="152" spans="2:28" ht="15.75" customHeight="1">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row>
    <row r="153" spans="2:28" ht="15.75" customHeight="1">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row>
    <row r="154" spans="2:28" ht="15.75" customHeight="1">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row>
    <row r="155" spans="2:28" ht="15.75" customHeight="1">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row>
    <row r="156" spans="2:28" ht="15.75" customHeight="1">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row>
    <row r="157" spans="2:28" ht="15.75" customHeight="1">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row>
    <row r="158" spans="2:28" ht="15.75" customHeight="1">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row>
    <row r="159" spans="2:28" ht="15.75" customHeight="1">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row>
    <row r="160" spans="2:28" ht="15.75" customHeight="1">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row>
    <row r="161" spans="2:28" ht="15.75" customHeight="1">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row>
    <row r="162" spans="2:28" ht="15.75" customHeight="1">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row>
    <row r="163" spans="2:28" ht="15.75" customHeight="1">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row>
    <row r="164" spans="2:28" ht="15.75" customHeight="1">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row>
    <row r="165" spans="2:28" ht="15.75" customHeight="1">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row>
    <row r="166" spans="2:28" ht="15.75" customHeight="1">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row>
    <row r="167" spans="2:28" ht="15.75" customHeight="1">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row>
    <row r="168" spans="2:28" ht="15.75" customHeight="1">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row>
    <row r="169" spans="2:28" ht="15.75" customHeight="1">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row>
    <row r="170" spans="2:28" ht="15.75" customHeight="1">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row>
    <row r="171" spans="2:28" ht="15.75" customHeight="1">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row>
    <row r="172" spans="2:28" ht="15.75" customHeight="1">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row>
    <row r="173" spans="2:28" ht="15.75" customHeight="1">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row>
    <row r="174" spans="2:28" ht="15.75" customHeight="1">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row>
    <row r="175" spans="2:28" ht="15.75" customHeight="1">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row>
    <row r="176" spans="2:28" ht="15.75" customHeight="1">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row>
    <row r="177" spans="2:28" ht="15.75" customHeight="1">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row>
    <row r="178" spans="2:28" ht="15.75" customHeight="1">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row>
    <row r="179" spans="2:28" ht="15.75" customHeight="1">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row>
    <row r="180" spans="2:28" ht="15.75" customHeight="1">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row>
    <row r="181" spans="2:28" ht="15.75" customHeight="1">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row>
    <row r="182" spans="2:28" ht="15.75" customHeight="1">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row>
    <row r="183" spans="2:28" ht="15.75" customHeight="1">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row>
    <row r="184" spans="2:28" ht="15.75" customHeight="1">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row>
    <row r="185" spans="2:28" ht="15.75" customHeight="1">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row>
    <row r="186" spans="2:28" ht="15.75" customHeight="1">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row>
    <row r="187" spans="2:28" ht="15.75" customHeight="1">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row>
    <row r="188" spans="2:28" ht="15.75" customHeight="1">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row>
    <row r="189" spans="2:28" ht="15.75" customHeight="1">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row>
    <row r="190" spans="2:28" ht="15.75" customHeight="1">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row>
    <row r="191" spans="2:28" ht="15.75" customHeight="1">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row>
    <row r="192" spans="2:28" ht="15.75" customHeight="1">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row>
    <row r="193" spans="2:28" ht="15.75" customHeight="1">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row>
    <row r="194" spans="2:28" ht="15.75" customHeight="1">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row>
    <row r="195" spans="2:28" ht="15.75" customHeight="1">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row>
    <row r="196" spans="2:28" ht="15.75" customHeight="1">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row>
    <row r="197" spans="2:28" ht="15.75" customHeight="1">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row>
    <row r="198" spans="2:28" ht="15.75" customHeight="1">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row>
    <row r="199" spans="2:28" ht="15.75" customHeight="1">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row>
    <row r="200" spans="2:28" ht="15.75" customHeight="1">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row>
    <row r="201" spans="2:28" ht="15.75" customHeight="1">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row>
    <row r="202" spans="2:28" ht="15.75" customHeight="1">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row>
    <row r="203" spans="2:28" ht="15.75" customHeight="1">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row>
    <row r="204" spans="2:28" ht="15.75" customHeight="1">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row>
    <row r="205" spans="2:28" ht="15.75" customHeight="1">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row>
    <row r="206" spans="2:28" ht="15.75" customHeight="1">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row>
    <row r="207" spans="2:28" ht="15.75" customHeight="1">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row>
    <row r="208" spans="2:28" ht="15.75" customHeight="1">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row>
    <row r="209" spans="2:28" ht="15.75" customHeight="1">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row>
    <row r="210" spans="2:28" ht="15.75" customHeight="1">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row>
    <row r="211" spans="2:28" ht="15.75" customHeight="1">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row>
    <row r="212" spans="2:28" ht="15.75" customHeight="1">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row>
    <row r="213" spans="2:28" ht="15.75" customHeight="1">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row>
    <row r="214" spans="2:28" ht="15.75" customHeight="1">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row>
    <row r="215" spans="2:28" ht="15.75" customHeight="1">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row>
    <row r="216" spans="2:28" ht="15.75" customHeight="1">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row>
    <row r="217" spans="2:28" ht="15.75" customHeight="1">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row>
    <row r="218" spans="2:28" ht="15.75" customHeight="1">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row>
    <row r="219" spans="2:28" ht="15.75" customHeight="1">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row>
    <row r="220" spans="2:28" ht="15.75" customHeight="1">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row>
    <row r="221" spans="2:28" ht="15.75" customHeight="1">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row>
    <row r="222" spans="2:28" ht="15.75" customHeight="1">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row>
    <row r="223" spans="2:28" ht="15.75" customHeight="1">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row>
    <row r="224" spans="2:28" ht="15.75" customHeight="1">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row>
    <row r="225" spans="2:28" ht="15.75" customHeight="1">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row>
    <row r="226" spans="2:28" ht="15.75" customHeight="1">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row>
    <row r="227" spans="2:28" ht="15.75" customHeight="1">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row>
    <row r="228" spans="2:28" ht="15.75" customHeight="1">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row>
    <row r="229" spans="2:28" ht="15.75" customHeight="1">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row>
    <row r="230" spans="2:28" ht="15.75" customHeight="1">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row>
    <row r="231" spans="2:28" ht="15.75" customHeight="1">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row>
    <row r="232" spans="2:28" ht="15.75" customHeight="1">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row>
    <row r="233" spans="2:28" ht="15.75" customHeight="1">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row>
    <row r="234" spans="2:28" ht="15.75" customHeight="1">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row>
    <row r="235" spans="2:28" ht="15.75" customHeight="1">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row>
    <row r="236" spans="2:28" ht="15.75" customHeight="1">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row>
    <row r="237" spans="2:28" ht="15.75" customHeight="1">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row>
    <row r="238" spans="2:28" ht="15.75" customHeight="1">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row>
    <row r="239" spans="2:28" ht="15.75" customHeight="1">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row>
    <row r="240" spans="2:28" ht="15.75" customHeight="1">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row>
    <row r="241" spans="2:28" ht="15.75" customHeight="1">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row>
    <row r="242" spans="2:28" ht="15.75" customHeight="1">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row>
    <row r="243" spans="2:28" ht="15.75" customHeight="1"/>
    <row r="244" spans="2:28" ht="15.75" customHeight="1"/>
    <row r="245" spans="2:28" ht="15.75" customHeight="1"/>
    <row r="246" spans="2:28" ht="15.75" customHeight="1"/>
    <row r="247" spans="2:28" ht="15.75" customHeight="1"/>
    <row r="248" spans="2:28" ht="15.75" customHeight="1"/>
    <row r="249" spans="2:28" ht="15.75" customHeight="1"/>
    <row r="250" spans="2:28" ht="15.75" customHeight="1"/>
    <row r="251" spans="2:28" ht="15.75" customHeight="1"/>
    <row r="252" spans="2:28" ht="15.75" customHeight="1"/>
    <row r="253" spans="2:28" ht="15.75" customHeight="1"/>
    <row r="254" spans="2:28" ht="15.75" customHeight="1"/>
    <row r="255" spans="2:28" ht="15.75" customHeight="1"/>
    <row r="256" spans="2:2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29</vt:i4>
      </vt:variant>
    </vt:vector>
  </HeadingPairs>
  <TitlesOfParts>
    <vt:vector size="44" baseType="lpstr">
      <vt:lpstr>PI</vt:lpstr>
      <vt:lpstr>PWRP</vt:lpstr>
      <vt:lpstr>Dana Eks + PKS</vt:lpstr>
      <vt:lpstr>SDM IPTEK</vt:lpstr>
      <vt:lpstr>POSTDOCVR</vt:lpstr>
      <vt:lpstr>KI</vt:lpstr>
      <vt:lpstr>PN</vt:lpstr>
      <vt:lpstr>Rekap Capaian Individu</vt:lpstr>
      <vt:lpstr>SITASI</vt:lpstr>
      <vt:lpstr>Rekap Capaian PR</vt:lpstr>
      <vt:lpstr>Rekap Capaian KR</vt:lpstr>
      <vt:lpstr>Dashboard</vt:lpstr>
      <vt:lpstr>Data Dashboard</vt:lpstr>
      <vt:lpstr>Master</vt:lpstr>
      <vt:lpstr>Dashboard Lama</vt:lpstr>
      <vt:lpstr>de</vt:lpstr>
      <vt:lpstr>duplikasi</vt:lpstr>
      <vt:lpstr>index</vt:lpstr>
      <vt:lpstr>jdn</vt:lpstr>
      <vt:lpstr>jnjg</vt:lpstr>
      <vt:lpstr>jnski</vt:lpstr>
      <vt:lpstr>jnsolehan</vt:lpstr>
      <vt:lpstr>jnspi</vt:lpstr>
      <vt:lpstr>jnspwrp</vt:lpstr>
      <vt:lpstr>kelris</vt:lpstr>
      <vt:lpstr>mtr</vt:lpstr>
      <vt:lpstr>nmperiset</vt:lpstr>
      <vt:lpstr>outputdana</vt:lpstr>
      <vt:lpstr>periodestamp</vt:lpstr>
      <vt:lpstr>psv</vt:lpstr>
      <vt:lpstr>PN!publikasi</vt:lpstr>
      <vt:lpstr>PWRP!publikasi</vt:lpstr>
      <vt:lpstr>publikasi</vt:lpstr>
      <vt:lpstr>reppi</vt:lpstr>
      <vt:lpstr>reppn</vt:lpstr>
      <vt:lpstr>satuan</vt:lpstr>
      <vt:lpstr>smbrdana</vt:lpstr>
      <vt:lpstr>statki</vt:lpstr>
      <vt:lpstr>statpi</vt:lpstr>
      <vt:lpstr>statuskelris</vt:lpstr>
      <vt:lpstr>stspwrp</vt:lpstr>
      <vt:lpstr>stssdm</vt:lpstr>
      <vt:lpstr>stsupload</vt:lpstr>
      <vt:lpstr>vol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lyla ruslana</cp:lastModifiedBy>
  <dcterms:modified xsi:type="dcterms:W3CDTF">2025-12-15T23:19:34Z</dcterms:modified>
</cp:coreProperties>
</file>