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xl/drawings/drawing3.xml" ContentType="application/vnd.openxmlformats-officedocument.drawing+xml"/>
  <Override PartName="/xl/drawings/drawing4.xml" ContentType="application/vnd.openxmlformats-officedocument.drawing+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3"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7" lowestEdited="5" rupBuild="17571"/>
  <workbookPr codeName="ThisWorkbook"/>
  <bookViews>
    <workbookView xWindow="0" yWindow="60" windowWidth="19200" windowHeight="8670"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r:id="rId8" state="hidden"/>
  </sheets>
  <externalReferences>
    <externalReference r:id="rId18"/>
  </externalReferences>
  <definedNames>
    <definedName name="ChamberData" comment="">Chambers!$J$4:$T$21</definedName>
    <definedName name="Chambers" comment="">Chambers!$A$4:$A$21</definedName>
    <definedName name="CTP" comment="">MEASURE!$J$6</definedName>
    <definedName name="Current_Chamber_CalDate" comment="">CurrentSelections!$C$12</definedName>
    <definedName name="Current_ConeF_E1" comment="">CurrentSelections!$D$74</definedName>
    <definedName name="Current_ConeF_E2" comment="">CurrentSelections!$D$75</definedName>
    <definedName name="Current_ConeF_E3" comment="">CurrentSelections!$D$76</definedName>
    <definedName name="Current_ConeF_E4" comment="">CurrentSelections!$D$77</definedName>
    <definedName name="Current_ConeF_E5" comment="">CurrentSelections!$D$78</definedName>
    <definedName name="Current_dmax_HighX" comment="">CurrentSelections!$D$33</definedName>
    <definedName name="Current_dmax_LowX" comment="">CurrentSelections!$D$32</definedName>
    <definedName name="Current_dref_E1" comment="">CurrentSelections!$D$39</definedName>
    <definedName name="Current_dref_E2" comment="">CurrentSelections!$D$40</definedName>
    <definedName name="Current_dref_E3" comment="">CurrentSelections!$D$41</definedName>
    <definedName name="Current_dref_E4" comment="">CurrentSelections!$D$42</definedName>
    <definedName name="Current_dref_E5" comment="">CurrentSelections!$D$43</definedName>
    <definedName name="Current_E1" comment="">CurrentSelections!$D$20</definedName>
    <definedName name="Current_E1kpR50" comment="">CurrentSelections!$C$7</definedName>
    <definedName name="Current_E2" comment="">CurrentSelections!$D$21</definedName>
    <definedName name="Current_E2kpR50" comment="">CurrentSelections!$C$8</definedName>
    <definedName name="Current_E3" comment="">CurrentSelections!$D$22</definedName>
    <definedName name="Current_E3kpR50" comment="">CurrentSelections!$C$9</definedName>
    <definedName name="Current_E4" comment="">CurrentSelections!$D$23</definedName>
    <definedName name="Current_E4kpR50" comment="">CurrentSelections!$C$10</definedName>
    <definedName name="Current_E5" comment="">CurrentSelections!$D$24</definedName>
    <definedName name="Current_E5kpR50" comment="">CurrentSelections!$C$11</definedName>
    <definedName name="Current_Electrometer_CalDate" comment="">CurrentSelections!$B$15</definedName>
    <definedName name="Current_elPDD_E1" comment="">CurrentSelections!$D$44</definedName>
    <definedName name="Current_elPDD_E2" comment="">CurrentSelections!$D$45</definedName>
    <definedName name="Current_elPDD_E3" comment="">CurrentSelections!$D$46</definedName>
    <definedName name="Current_elPDD_E4" comment="">CurrentSelections!$D$47</definedName>
    <definedName name="Current_elPDD_E5" comment="">CurrentSelections!$D$48</definedName>
    <definedName name="Current_HighETol_E1" comment="">CurrentSelections!$D$64</definedName>
    <definedName name="Current_HighETol_E2" comment="">CurrentSelections!$D$65</definedName>
    <definedName name="Current_HighETol_E3" comment="">CurrentSelections!$D$66</definedName>
    <definedName name="Current_HighETol_E4" comment="">CurrentSelections!$D$67</definedName>
    <definedName name="Current_HighETol_E5" comment="">CurrentSelections!$D$68</definedName>
    <definedName name="Current_HighX" comment="">CurrentSelections!$D$19</definedName>
    <definedName name="Current_HighX_kQ" comment="">CurrentSelections!$C$3</definedName>
    <definedName name="Current_I50_E1" comment="">CurrentSelections!$D$34</definedName>
    <definedName name="Current_I50_E2" comment="">CurrentSelections!$D$35</definedName>
    <definedName name="Current_I50_E3" comment="">CurrentSelections!$D$36</definedName>
    <definedName name="Current_I50_E4" comment="">CurrentSelections!$D$37</definedName>
    <definedName name="Current_I50_E5" comment="">CurrentSelections!$D$38</definedName>
    <definedName name="Current_InvSq" comment="">CurrentSelections!$D$31</definedName>
    <definedName name="Current_IsSADType" comment="">CurrentSelections!$D$93</definedName>
    <definedName name="Current_kecal" comment="">CurrentSelections!$C$4</definedName>
    <definedName name="Current_kQ_HighX" comment="">CurrentSelections!$C$3</definedName>
    <definedName name="Current_kQ_LowX" comment="">CurrentSelections!$C$2</definedName>
    <definedName name="Current_LowETol_E1" comment="">CurrentSelections!$D$69</definedName>
    <definedName name="Current_LowETol_E2" comment="">CurrentSelections!$D$70</definedName>
    <definedName name="Current_LowETol_E3" comment="">CurrentSelections!$D$71</definedName>
    <definedName name="Current_LowETol_E4" comment="">CurrentSelections!$D$72</definedName>
    <definedName name="Current_LowETol_E5" comment="">CurrentSelections!$D$73</definedName>
    <definedName name="Current_LowX" comment="">CurrentSelections!$D$18</definedName>
    <definedName name="Current_NdwCo60" comment="">CurrentSelections!$C$6</definedName>
    <definedName name="Current_PDD10_HighX" comment="">CurrentSelections!$D$28</definedName>
    <definedName name="Current_PDD10_LowX" comment="">CurrentSelections!$D$27</definedName>
    <definedName name="Current_pDD10X_HighX" comment="">CurrentSelections!$D$26</definedName>
    <definedName name="Current_pDD10X_LowX" comment="">CurrentSelections!$D$25</definedName>
    <definedName name="Current_Pelec" comment="">CurrentSelections!$B$14</definedName>
    <definedName name="Current_Physicist" comment="">MEASURE!$G$3</definedName>
    <definedName name="Current_Pion_E1" comment="">CurrentSelections!$D$81</definedName>
    <definedName name="Current_Pion_E2" comment="">CurrentSelections!$D$82</definedName>
    <definedName name="Current_Pion_E3" comment="">CurrentSelections!$D$83</definedName>
    <definedName name="Current_Pion_E4" comment="">CurrentSelections!$D$84</definedName>
    <definedName name="Current_Pion_E5" comment="">CurrentSelections!$D$85</definedName>
    <definedName name="Current_Pion_HighX" comment="">CurrentSelections!$D$80</definedName>
    <definedName name="Current_Pion_LowX" comment="">CurrentSelections!$D$79</definedName>
    <definedName name="Current_Ppol_E1" comment="">CurrentSelections!$D$88</definedName>
    <definedName name="Current_Ppol_E2" comment="">CurrentSelections!$D$89</definedName>
    <definedName name="Current_Ppol_E3" comment="">CurrentSelections!$D$90</definedName>
    <definedName name="Current_Ppol_E4" comment="">CurrentSelections!$D$91</definedName>
    <definedName name="Current_Ppol_E5" comment="">CurrentSelections!$D$92</definedName>
    <definedName name="Current_Ppol_HighX" comment="">CurrentSelections!$D$87</definedName>
    <definedName name="Current_Ppol_LowX" comment="">CurrentSelections!$D$86</definedName>
    <definedName name="Current_R50_E1" comment="">CurrentSelections!$D$49</definedName>
    <definedName name="Current_R50_E2" comment="">CurrentSelections!$D$50</definedName>
    <definedName name="Current_R50_E3" comment="">CurrentSelections!$D$51</definedName>
    <definedName name="Current_R50_E4" comment="">CurrentSelections!$D$52</definedName>
    <definedName name="Current_R50_E5" comment="">CurrentSelections!$D$53</definedName>
    <definedName name="Current_R80_E1" comment="">CurrentSelections!$D$54</definedName>
    <definedName name="Current_R80_E2" comment="">CurrentSelections!$D$55</definedName>
    <definedName name="Current_R80_E3" comment="">CurrentSelections!$D$56</definedName>
    <definedName name="Current_R80_E4" comment="">CurrentSelections!$D$57</definedName>
    <definedName name="Current_R80_E5" comment="">CurrentSelections!$D$58</definedName>
    <definedName name="Current_R90_E1" comment="">CurrentSelections!$D$59</definedName>
    <definedName name="Current_R90_E2" comment="">CurrentSelections!$D$60</definedName>
    <definedName name="Current_R90_E3" comment="">CurrentSelections!$D$61</definedName>
    <definedName name="Current_R90_E4" comment="">CurrentSelections!$D$62</definedName>
    <definedName name="Current_R90_E5" comment="">CurrentSelections!$D$63</definedName>
    <definedName name="Current_rcav" comment="">CurrentSelections!$C$5</definedName>
    <definedName name="Current_TMR_PDD10_HighX" comment="">CurrentSelections!$D$30</definedName>
    <definedName name="Current_TMR_PDD10_LowX" comment="">CurrentSelections!$D$29</definedName>
    <definedName name="dref_12E" comment="">Corrections!$O$9</definedName>
    <definedName name="dref_15E" comment="">Corrections!$O$10</definedName>
    <definedName name="dref_18E" comment="">Corrections!$O$11</definedName>
    <definedName name="dref_6E" comment="">Corrections!$O$7</definedName>
    <definedName name="dref_9E" comment="">Corrections!$O$8</definedName>
    <definedName name="E1_dref" comment="">Corrections!$O$7</definedName>
    <definedName name="E1_Pion" comment="">Corrections!$E$14</definedName>
    <definedName name="E1_Ppol" comment="">Corrections!$J$14</definedName>
    <definedName name="E1_R50" comment="">Corrections!$N$7</definedName>
    <definedName name="E2_dref" comment="">Corrections!$O$8</definedName>
    <definedName name="E2_Pgrad" comment="">Corrections!$P$18</definedName>
    <definedName name="E2_Pion" comment="">Corrections!$E$18</definedName>
    <definedName name="E2_Ppol" comment="">Corrections!$J$18</definedName>
    <definedName name="E2_R50" comment="">Corrections!$N$8</definedName>
    <definedName name="E3_dref" comment="">Corrections!$O$9</definedName>
    <definedName name="E3_Pgrad" comment="">Corrections!$P$22</definedName>
    <definedName name="E3_Pion" comment="">Corrections!$E$22</definedName>
    <definedName name="E3_Ppol" comment="">Corrections!$J$22</definedName>
    <definedName name="E3_R50" comment="">Corrections!$N$9</definedName>
    <definedName name="E4_dref" comment="">Corrections!$O$10</definedName>
    <definedName name="E4_Pgrad" comment="">Corrections!$P$26</definedName>
    <definedName name="E4_Pion" comment="">Corrections!$E$26</definedName>
    <definedName name="E4_Ppol" comment="">Corrections!$J$26</definedName>
    <definedName name="E4_R50" comment="">Corrections!$N$10</definedName>
    <definedName name="E5_dref" comment="">Corrections!$O$11</definedName>
    <definedName name="E5_Pgrad" comment="">Corrections!$P$30</definedName>
    <definedName name="E5_Pion" comment="">Corrections!$E$30</definedName>
    <definedName name="E5_Ppol" comment="">Corrections!$J$30</definedName>
    <definedName name="E5_R50" comment="">Corrections!$N$11</definedName>
    <definedName name="Elec1" comment="">'[1]Accelerator Details'!$A$8</definedName>
    <definedName name="Elec1_10x10" comment="">'[1]Accelerator Details'!$E$8</definedName>
    <definedName name="Elec1_15x15" comment="">'[1]Accelerator Details'!$F$8</definedName>
    <definedName name="Elec1_20x20" comment="">'[1]Accelerator Details'!$G$8</definedName>
    <definedName name="Elec1_25x25" comment="">'[1]Accelerator Details'!$H$8</definedName>
    <definedName name="Elec1_6x6" comment="">'[1]Accelerator Details'!$D$8</definedName>
    <definedName name="Elec1_dmax" comment="">'[1]Accelerator Details'!$C$8</definedName>
    <definedName name="Elec2" comment="">'[1]Accelerator Details'!$A$9</definedName>
    <definedName name="Elec2_10x10" comment="">'[1]Accelerator Details'!$E$9</definedName>
    <definedName name="Elec2_15x15" comment="">'[1]Accelerator Details'!$F$9</definedName>
    <definedName name="Elec2_20x20" comment="">'[1]Accelerator Details'!$G$9</definedName>
    <definedName name="Elec2_25x25" comment="">'[1]Accelerator Details'!$H$9</definedName>
    <definedName name="Elec2_6x6" comment="">'[1]Accelerator Details'!$D$9</definedName>
    <definedName name="Elec2_dmax" comment="">'[1]Accelerator Details'!$C$9</definedName>
    <definedName name="Elec3" comment="">'[1]Accelerator Details'!$A$10</definedName>
    <definedName name="Elec3_10x10" comment="">'[1]Accelerator Details'!$E$10</definedName>
    <definedName name="Elec3_15x15" comment="">'[1]Accelerator Details'!$F$10</definedName>
    <definedName name="Elec3_20x20" comment="">'[1]Accelerator Details'!$G$10</definedName>
    <definedName name="Elec3_25x25" comment="">'[1]Accelerator Details'!$H$10</definedName>
    <definedName name="Elec3_6x6" comment="">'[1]Accelerator Details'!$D$10</definedName>
    <definedName name="Elec3_dmax" comment="">'[1]Accelerator Details'!$C$10</definedName>
    <definedName name="Elec4" comment="">'[1]Accelerator Details'!$A$11</definedName>
    <definedName name="Elec4_10x10" comment="">'[1]Accelerator Details'!$E$11</definedName>
    <definedName name="Elec4_15x15" comment="">'[1]Accelerator Details'!$F$11</definedName>
    <definedName name="Elec4_20x20" comment="">'[1]Accelerator Details'!$G$11</definedName>
    <definedName name="Elec4_25x25" comment="">'[1]Accelerator Details'!$H$11</definedName>
    <definedName name="Elec4_6x6" comment="">'[1]Accelerator Details'!$D$11</definedName>
    <definedName name="Elec4_dmax" comment="">'[1]Accelerator Details'!$C$11</definedName>
    <definedName name="Elec5" comment="">'[1]Accelerator Details'!$A$12</definedName>
    <definedName name="Elec5_10x10" comment="">'[1]Accelerator Details'!$E$12</definedName>
    <definedName name="Elec5_15x15" comment="">'[1]Accelerator Details'!$F$12</definedName>
    <definedName name="Elec5_20x20" comment="">'[1]Accelerator Details'!$G$12</definedName>
    <definedName name="Elec5_25x25" comment="">'[1]Accelerator Details'!$H$12</definedName>
    <definedName name="Elec5_6x6" comment="">'[1]Accelerator Details'!$D$12</definedName>
    <definedName name="Elec5_dmax" comment="">'[1]Accelerator Details'!$C$12</definedName>
    <definedName name="ElectrometerADCLDates" comment="">Electrometers!$C$4:$C$24</definedName>
    <definedName name="ElectrometerFactors" comment="">Electrometers!$B$4:$B$24</definedName>
    <definedName name="Electrometers" comment="">Electrometers!$A$4:$A$24</definedName>
    <definedName name="HighX" comment="">'[1]Accelerator Details'!$A$4</definedName>
    <definedName name="HighX_10EDW" comment="">'[1]Accelerator Details'!$Q$4</definedName>
    <definedName name="HighX_10x10" comment="">'[1]Accelerator Details'!$G$4</definedName>
    <definedName name="HighX_15EDW" comment="">'[1]Accelerator Details'!$R$4</definedName>
    <definedName name="HighX_15WF" comment="">'[1]Accelerator Details'!$M$4</definedName>
    <definedName name="HighX_15x15" comment="">'[1]Accelerator Details'!$H$4</definedName>
    <definedName name="HighX_20EDW" comment="">'[1]Accelerator Details'!$S$4</definedName>
    <definedName name="HighX_20x20" comment="">'[1]Accelerator Details'!$I$4</definedName>
    <definedName name="HighX_25EDW" comment="">'[1]Accelerator Details'!$T$4</definedName>
    <definedName name="HighX_30EDW" comment="">'[1]Accelerator Details'!$U$4</definedName>
    <definedName name="HighX_30WF" comment="">'[1]Accelerator Details'!$N$4</definedName>
    <definedName name="HighX_30x30" comment="">'[1]Accelerator Details'!$K$4</definedName>
    <definedName name="HighX_40x40" comment="">'[1]Accelerator Details'!$L$4</definedName>
    <definedName name="HighX_45EDW" comment="">'[1]Accelerator Details'!$V$4</definedName>
    <definedName name="HighX_45WF" comment="">'[1]Accelerator Details'!$O$4</definedName>
    <definedName name="HighX_5x5" comment="">'[1]Accelerator Details'!$E$4</definedName>
    <definedName name="HighX_60EDW" comment="">'[1]Accelerator Details'!$W$4</definedName>
    <definedName name="HighX_60WF" comment="">'[1]Accelerator Details'!$P$4</definedName>
    <definedName name="HighX_dmax" comment="">'[1]Accelerator Details'!$C$4</definedName>
    <definedName name="HighX_Pion" comment="">Corrections!$E$10</definedName>
    <definedName name="HighX_Ppol" comment="">Corrections!$J$10</definedName>
    <definedName name="LowX" comment="">'[1]Accelerator Details'!$A$3</definedName>
    <definedName name="LowX_10EDW" comment="">'[1]Accelerator Details'!$Q$3</definedName>
    <definedName name="LowX_10x10" comment="">'[1]Accelerator Details'!$G$3</definedName>
    <definedName name="LowX_15EDW" comment="">'[1]Accelerator Details'!$R$3</definedName>
    <definedName name="LowX_15WF" comment="">'[1]Accelerator Details'!$M$3</definedName>
    <definedName name="LowX_15x15" comment="">'[1]Accelerator Details'!$H$3</definedName>
    <definedName name="LowX_20EDW" comment="">'[1]Accelerator Details'!$S$3</definedName>
    <definedName name="LowX_20x20" comment="">'[1]Accelerator Details'!$I$3</definedName>
    <definedName name="LowX_25EDW" comment="">'[1]Accelerator Details'!$T$3</definedName>
    <definedName name="LowX_30EDW" comment="">'[1]Accelerator Details'!$U$3</definedName>
    <definedName name="LowX_30WF" comment="">'[1]Accelerator Details'!$N$3</definedName>
    <definedName name="LowX_30x30" comment="">'[1]Accelerator Details'!$K$3</definedName>
    <definedName name="LowX_40x40" comment="">'[1]Accelerator Details'!$L$3</definedName>
    <definedName name="LowX_45EDW" comment="">'[1]Accelerator Details'!$V$3</definedName>
    <definedName name="LowX_45WF" comment="">'[1]Accelerator Details'!$O$3</definedName>
    <definedName name="LowX_5x5" comment="">'[1]Accelerator Details'!$E$3</definedName>
    <definedName name="LowX_60EDW" comment="">'[1]Accelerator Details'!$W$3</definedName>
    <definedName name="LowX_60WF" comment="">'[1]Accelerator Details'!$P$3</definedName>
    <definedName name="LowX_dmax" comment="">'[1]Accelerator Details'!$C$3</definedName>
    <definedName name="LowX_Pion" comment="">Corrections!$E$6</definedName>
    <definedName name="LowX_Ppol" comment="">Corrections!$J$6</definedName>
    <definedName name="MachineData" comment="">Machines!$B$5:$BY$20</definedName>
    <definedName name="Machines" comment="">Machines!$A$5:$A$20</definedName>
    <definedName name="MU" comment="">MEASURE!$J$3</definedName>
    <definedName name="NewMeasurementValues" comment="">MEASURE!$C$13:$D$14,MEASURE!$C$18:$D$19,MEASURE!$C$25:$D$26,MEASURE!$C$30:$D$31,MEASURE!$C$35:$D$36,MEASURE!$C$40:$D$41,MEASURE!$C$45:$D$46</definedName>
    <definedName name="P" comment="">MEASURE!$J$5</definedName>
    <definedName name="Physicists" comment="">Physicists!$A$4:$A$22</definedName>
    <definedName name="PionValues" comment="">Corrections!$B$6:$C$7,Corrections!$B$10:$C$11,Corrections!$B$14:$C$15,Corrections!$B$18:$C$19,Corrections!$B$22:$C$23,Corrections!$B$26:$C$27,Corrections!$B$30:$C$31</definedName>
    <definedName name="PpolValues" comment="">Corrections!$G$6:$H$7,Corrections!$G$10:$H$11,Corrections!$G$14:$H$15,Corrections!$G$18:$H$19,Corrections!$G$22:$H$23,Corrections!$G$26:$H$27,Corrections!$G$30:$H$31</definedName>
    <definedName name="_xlnm.Print_Area" comment="" localSheetId="2">Chambers!$A$6:$U$6</definedName>
    <definedName name="_xlnm.Print_Area" comment="" localSheetId="7">CurrentSelections!$A$1:$D$93</definedName>
    <definedName name="_xlnm.Print_Area" comment="" localSheetId="1">MEASURE!$A$1:$L$47</definedName>
    <definedName name="SelectedChamber" comment="">MEASURE!$G$5</definedName>
    <definedName name="SelectedElectrometer" comment="">MEASURE!$G$6</definedName>
    <definedName name="SelectedMachine" comment="">MEASURE!$H$1</definedName>
    <definedName name="T" comment="">MEASURE!$J$4</definedName>
    <definedName name="test" comment="">CurrentSelections!$L$32:$L$34</definedName>
  </definedNames>
  <calcPr fullPrecision="1" calcId="171027"/>
</workbook>
</file>

<file path=xl/comments1.xml><?xml version="1.0" encoding="utf-8"?>
<comments xmlns="http://schemas.openxmlformats.org/spreadsheetml/2006/main">
  <authors>
    <author>Rex Cardan, Ph.D.</author>
    <author>Rex Cardan</author>
  </authors>
  <commentList>
    <comment ref="B2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30"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3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0"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5" authorId="0">
      <text>
        <r>
          <t/>
        </r>
        <r>
          <rPr>
            <b/>
            <sz val="9"/>
            <color indexed="81"/>
            <rFont val="Tahoma"/>
            <family val="2"/>
            <charset val="0"/>
          </rPr>
          <t>Rex Cardan, Ph.D.:</t>
        </r>
        <r>
          <rPr>
            <sz val="9"/>
            <color indexed="81"/>
            <rFont val="Tahoma"/>
            <family val="2"/>
            <charset val="0"/>
          </rPr>
          <t xml:space="preserve">
This is the dref value + 0.5*rcav. This worsheet does not include pgrad corrections and instead picks measurement points that have the correction included (effective point of measurement is at dref)</t>
        </r>
      </text>
    </comment>
    <comment ref="B4" authorId="1">
      <text>
        <r>
          <t/>
        </r>
        <r>
          <rPr>
            <b/>
            <sz val="9"/>
            <color indexed="81"/>
            <rFont val="Tahoma"/>
            <family val="2"/>
            <charset val="0"/>
          </rPr>
          <t>Rex Cardan:</t>
        </r>
        <r>
          <rPr>
            <sz val="9"/>
            <color indexed="81"/>
            <rFont val="Tahoma"/>
            <family val="2"/>
            <charset val="0"/>
          </rPr>
          <t xml:space="preserve">
This logo button clears all the previous values (MACRO) to reset the sheet for new values</t>
        </r>
      </text>
    </comment>
    <comment ref="F12" authorId="1">
      <text>
        <r>
          <t/>
        </r>
        <r>
          <rPr>
            <b/>
            <sz val="9"/>
            <color indexed="81"/>
            <rFont val="Tahoma"/>
            <family val="2"/>
            <charset val="0"/>
          </rPr>
          <t>Rex Cardan:</t>
        </r>
        <r>
          <rPr>
            <sz val="9"/>
            <color indexed="81"/>
            <rFont val="Tahoma"/>
            <family val="2"/>
            <charset val="0"/>
          </rPr>
          <t xml:space="preserve">
The correction values are dependent on the machine and electrometer selected at the top of the page.</t>
        </r>
      </text>
    </comment>
    <comment ref="H12" authorId="1">
      <text>
        <r>
          <t/>
        </r>
        <r>
          <rPr>
            <b/>
            <sz val="9"/>
            <color indexed="81"/>
            <rFont val="Tahoma"/>
            <family val="2"/>
            <charset val="0"/>
          </rPr>
          <t>Rex Cardan:</t>
        </r>
        <r>
          <rPr>
            <sz val="9"/>
            <color indexed="81"/>
            <rFont val="Tahoma"/>
            <family val="2"/>
            <charset val="0"/>
          </rPr>
          <t xml:space="preserve">
The value depends on the ion chamber selected. It is looked up via the "Chambers" tab</t>
        </r>
      </text>
    </comment>
    <comment ref="I12" authorId="1">
      <text>
        <r>
          <t/>
        </r>
        <r>
          <rPr>
            <b/>
            <sz val="9"/>
            <color indexed="81"/>
            <rFont val="Tahoma"/>
            <family val="2"/>
            <charset val="0"/>
          </rPr>
          <t>Rex Cardan:</t>
        </r>
        <r>
          <rPr>
            <sz val="9"/>
            <color indexed="81"/>
            <rFont val="Tahoma"/>
            <family val="2"/>
            <charset val="0"/>
          </rPr>
          <t xml:space="preserve">
Rex Cardan:
Looking at the current accelerator PDD (10) value from the "Machines" tab. Compares to within 2%</t>
        </r>
      </text>
    </comment>
  </commentList>
</comments>
</file>

<file path=xl/comments2.xml><?xml version="1.0" encoding="utf-8"?>
<comments xmlns="http://schemas.openxmlformats.org/spreadsheetml/2006/main">
  <authors>
    <author>Rex Cardan, Ph.D.</author>
  </authors>
  <commentList>
    <comment ref="J2" authorId="0">
      <text>
        <r>
          <t/>
        </r>
        <r>
          <rPr>
            <b/>
            <sz val="9"/>
            <color indexed="81"/>
            <rFont val="Tahoma"/>
            <family val="2"/>
            <charset val="0"/>
          </rPr>
          <t>Rex Cardan, Ph.D.:</t>
        </r>
        <r>
          <rPr>
            <sz val="9"/>
            <color indexed="81"/>
            <rFont val="Tahoma"/>
            <family val="2"/>
            <charset val="0"/>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O3" authorId="0">
      <text>
        <r>
          <t/>
        </r>
        <r>
          <rPr>
            <b/>
            <sz val="9"/>
            <color indexed="81"/>
            <rFont val="Tahoma"/>
            <family val="2"/>
            <charset val="0"/>
          </rPr>
          <t>Rex Cardan, Ph.D.:</t>
        </r>
        <r>
          <rPr>
            <sz val="9"/>
            <color indexed="81"/>
            <rFont val="Tahoma"/>
            <family val="2"/>
            <charset val="0"/>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M3" authorId="0">
      <text>
        <r>
          <t/>
        </r>
        <r>
          <rPr>
            <b/>
            <sz val="9"/>
            <color indexed="81"/>
            <rFont val="Tahoma"/>
            <family val="2"/>
            <charset val="0"/>
          </rPr>
          <t>Rex Cardan, Ph.D.:</t>
        </r>
        <r>
          <rPr>
            <sz val="9"/>
            <color indexed="81"/>
            <rFont val="Tahoma"/>
            <family val="2"/>
            <charset val="0"/>
          </rPr>
          <t xml:space="preserve">
This is the clinical TMR(10,10x10) or PDD (10,10x10) that is
 used to move the dose from 10cm depth to dmax. If the machine is calibrated for 1cHy/MU at dmax, this value should be the TMR (10), otherwise it should be the PDD(10).</t>
        </r>
      </text>
    </comment>
    <comment ref="BF3" authorId="0">
      <text>
        <r>
          <t/>
        </r>
        <r>
          <rPr>
            <b/>
            <sz val="9"/>
            <color indexed="81"/>
            <rFont val="Tahoma"/>
            <family val="2"/>
            <charset val="0"/>
          </rPr>
          <t>Rex Cardan, Ph.D.:</t>
        </r>
        <r>
          <rPr>
            <sz val="9"/>
            <color indexed="81"/>
            <rFont val="Tahoma"/>
            <family val="2"/>
            <charset val="0"/>
          </rPr>
          <t xml:space="preserve">
This is in place to adjust the electron measurements in the case the A10 cone is not used. If the A10 is used, just put in 1.0</t>
        </r>
      </text>
    </comment>
    <comment ref="K3" authorId="0">
      <text>
        <r>
          <t/>
        </r>
        <r>
          <rPr>
            <b/>
            <sz val="9"/>
            <color indexed="81"/>
            <rFont val="Tahoma"/>
            <family val="2"/>
            <charset val="0"/>
          </rPr>
          <t>Rex Cardan, Ph.D.:</t>
        </r>
        <r>
          <rPr>
            <sz val="9"/>
            <color indexed="81"/>
            <rFont val="Tahoma"/>
            <family val="2"/>
            <charset val="0"/>
          </rPr>
          <t xml:space="preserve">
This is used to check the energy ratio</t>
        </r>
      </text>
    </comment>
    <comment ref="AV3" authorId="0">
      <text>
        <r>
          <t/>
        </r>
        <r>
          <rPr>
            <b/>
            <sz val="9"/>
            <color indexed="81"/>
            <rFont val="Tahoma"/>
            <family val="2"/>
            <charset val="0"/>
          </rPr>
          <t>Rex Cardan, Ph.D.:</t>
        </r>
        <r>
          <rPr>
            <sz val="9"/>
            <color indexed="81"/>
            <rFont val="Tahoma"/>
            <family val="2"/>
            <charset val="0"/>
          </rPr>
          <t xml:space="preserve">
These values are interpolated between the R80 and R90 values.</t>
        </r>
      </text>
    </comment>
    <comment ref="BA3" authorId="0">
      <text>
        <r>
          <t/>
        </r>
        <r>
          <rPr>
            <b/>
            <sz val="9"/>
            <color indexed="81"/>
            <rFont val="Tahoma"/>
            <family val="2"/>
            <charset val="0"/>
          </rPr>
          <t>Rex Cardan, Ph.D.:</t>
        </r>
        <r>
          <rPr>
            <sz val="9"/>
            <color indexed="81"/>
            <rFont val="Tahoma"/>
            <family val="2"/>
            <charset val="0"/>
          </rPr>
          <t xml:space="preserve">
These values are interpolated between the R80 and R50 values.</t>
        </r>
      </text>
    </comment>
    <comment ref="BK7" authorId="1">
      <text>
        <r>
          <t/>
        </r>
        <r>
          <rPr>
            <sz val="9"/>
            <color indexed="81"/>
            <rFont val="Tahoma"/>
            <family val="2"/>
            <charset val="0"/>
          </rPr>
          <t>Correction measurements taken by Rex Cardan, Ph.D. on 3/10/2014 using the Extradin A12 (XA132053) - RMC chamber.</t>
        </r>
      </text>
    </comment>
    <comment ref="BL7" authorId="1">
      <text>
        <r>
          <t/>
        </r>
        <r>
          <rPr>
            <sz val="9"/>
            <color indexed="81"/>
            <rFont val="Tahoma"/>
            <family val="2"/>
            <charset val="0"/>
          </rPr>
          <t>Correction measurements taken by Rex Cardan, Ph.D. on 3/10/2014 using the Extradin A12 (XA132053) - RMC chamber.</t>
        </r>
      </text>
    </comment>
    <comment ref="BM7" authorId="1">
      <text>
        <r>
          <t/>
        </r>
        <r>
          <rPr>
            <sz val="9"/>
            <color indexed="81"/>
            <rFont val="Tahoma"/>
            <family val="2"/>
            <charset val="0"/>
          </rPr>
          <t>Correction measurements taken by Rex Cardan, Ph.D. on 3/10/2014 using the Extradin A12 (XA132053) - RMC chamber.</t>
        </r>
      </text>
    </comment>
    <comment ref="BN7" authorId="1">
      <text>
        <r>
          <t/>
        </r>
        <r>
          <rPr>
            <sz val="9"/>
            <color indexed="81"/>
            <rFont val="Tahoma"/>
            <family val="2"/>
            <charset val="0"/>
          </rPr>
          <t>Correction measurements taken by Rex Cardan, Ph.D. on 3/10/2014 using the Extradin A12 (XA132053) - RMC chamber.</t>
        </r>
      </text>
    </comment>
    <comment ref="BO7" authorId="1">
      <text>
        <r>
          <t/>
        </r>
        <r>
          <rPr>
            <sz val="9"/>
            <color indexed="81"/>
            <rFont val="Tahoma"/>
            <family val="2"/>
            <charset val="0"/>
          </rPr>
          <t>Correction measurements taken by Rex Cardan, Ph.D. on 3/10/2014 using the Extradin A12 (XA132053) - RMC chamber.</t>
        </r>
      </text>
    </comment>
    <comment ref="BP7" authorId="1">
      <text>
        <r>
          <t/>
        </r>
        <r>
          <rPr>
            <sz val="9"/>
            <color indexed="81"/>
            <rFont val="Tahoma"/>
            <family val="2"/>
            <charset val="0"/>
          </rPr>
          <t>Correction measurements taken by Rex Cardan, Ph.D. on 3/10/2014 using the Extradin A12 (XA132053) - RMC chamber.</t>
        </r>
      </text>
    </comment>
    <comment ref="BQ7" authorId="1">
      <text>
        <r>
          <t/>
        </r>
        <r>
          <rPr>
            <sz val="9"/>
            <color indexed="81"/>
            <rFont val="Tahoma"/>
            <family val="2"/>
            <charset val="0"/>
          </rPr>
          <t>Correction measurements taken by Rex Cardan, Ph.D. on 3/10/2014 using the Extradin A12 (XA132053) - RMC chamber.</t>
        </r>
      </text>
    </comment>
    <comment ref="BR7" authorId="1">
      <text>
        <r>
          <t/>
        </r>
        <r>
          <rPr>
            <sz val="9"/>
            <color indexed="81"/>
            <rFont val="Tahoma"/>
            <family val="2"/>
            <charset val="0"/>
          </rPr>
          <t>Correction measurements taken by Rex Cardan, Ph.D. on 3/10/2014 using the Extradin A12 (XA132053) - RMC chamber.</t>
        </r>
      </text>
    </comment>
    <comment ref="BS7" authorId="1">
      <text>
        <r>
          <t/>
        </r>
        <r>
          <rPr>
            <sz val="9"/>
            <color indexed="81"/>
            <rFont val="Tahoma"/>
            <family val="2"/>
            <charset val="0"/>
          </rPr>
          <t>Correction measurements taken by Rex Cardan, Ph.D. on 3/10/2014 using the Extradin A12 (XA132053) - RMC chamber.</t>
        </r>
      </text>
    </comment>
    <comment ref="BT7" authorId="1">
      <text>
        <r>
          <t/>
        </r>
        <r>
          <rPr>
            <sz val="9"/>
            <color indexed="81"/>
            <rFont val="Tahoma"/>
            <family val="2"/>
            <charset val="0"/>
          </rPr>
          <t>Correction measurements taken by Rex Cardan, Ph.D. on 3/10/2014 using the Extradin A12 (XA132053) - RMC chamber.</t>
        </r>
      </text>
    </comment>
    <comment ref="BU7" authorId="1">
      <text>
        <r>
          <t/>
        </r>
        <r>
          <rPr>
            <sz val="9"/>
            <color indexed="81"/>
            <rFont val="Tahoma"/>
            <family val="2"/>
            <charset val="0"/>
          </rPr>
          <t>Correction measurements taken by Rex Cardan, Ph.D. on 3/10/2014 using the Extradin A12 (XA132053) - RMC chamber.</t>
        </r>
      </text>
    </comment>
    <comment ref="BV7" authorId="1">
      <text>
        <r>
          <t/>
        </r>
        <r>
          <rPr>
            <sz val="9"/>
            <color indexed="81"/>
            <rFont val="Tahoma"/>
            <family val="2"/>
            <charset val="0"/>
          </rPr>
          <t>Correction measurements taken by Rex Cardan, Ph.D. on 3/10/2014 using the Extradin A12 (XA132053) - RMC chamber.</t>
        </r>
      </text>
    </comment>
    <comment ref="BW7" authorId="1">
      <text>
        <r>
          <t/>
        </r>
        <r>
          <rPr>
            <sz val="9"/>
            <color indexed="81"/>
            <rFont val="Tahoma"/>
            <family val="2"/>
            <charset val="0"/>
          </rPr>
          <t>Correction measurements taken by Rex Cardan, Ph.D. on 3/10/2014 using the Extradin A12 (XA132053) - RMC chamber.</t>
        </r>
      </text>
    </comment>
    <comment ref="BX7" authorId="1">
      <text>
        <r>
          <t/>
        </r>
        <r>
          <rPr>
            <sz val="9"/>
            <color indexed="81"/>
            <rFont val="Tahoma"/>
            <family val="2"/>
            <charset val="0"/>
          </rPr>
          <t>Correction measurements taken by Rex Cardan, Ph.D. on 3/10/2014 using the Extradin A12 (XA132053) - RMC chamber.</t>
        </r>
      </text>
    </comment>
    <comment ref="BK5" authorId="2">
      <text>
        <r>
          <t/>
        </r>
        <r>
          <rPr>
            <sz val="8"/>
            <color indexed="81"/>
            <rFont val="Tahoma"/>
            <family val="2"/>
            <charset val="0"/>
          </rPr>
          <t>Correction measurements taken by Rex Cardan, Ph.D. on 4/14/2014 using the Extradin A12 (XA132053) - RMC chamber.</t>
        </r>
      </text>
    </comment>
    <comment ref="BL5" authorId="2">
      <text>
        <r>
          <t/>
        </r>
        <r>
          <rPr>
            <sz val="8"/>
            <color indexed="81"/>
            <rFont val="Tahoma"/>
            <family val="2"/>
            <charset val="0"/>
          </rPr>
          <t>Correction measurements taken by Rex Cardan, Ph.D. on 4/14/2014 using the Extradin A12 (XA132053) - RMC chamber.</t>
        </r>
      </text>
    </comment>
    <comment ref="BM5" authorId="2">
      <text>
        <r>
          <t/>
        </r>
        <r>
          <rPr>
            <sz val="8"/>
            <color indexed="81"/>
            <rFont val="Tahoma"/>
            <family val="2"/>
            <charset val="0"/>
          </rPr>
          <t>Correction measurements taken by Rex Cardan, Ph.D. on 4/14/2014 using the Extradin A12 (XA132053) - RMC chamber.</t>
        </r>
      </text>
    </comment>
    <comment ref="BN5" authorId="2">
      <text>
        <r>
          <t/>
        </r>
        <r>
          <rPr>
            <sz val="8"/>
            <color indexed="81"/>
            <rFont val="Tahoma"/>
            <family val="2"/>
            <charset val="0"/>
          </rPr>
          <t>Correction measurements taken by Rex Cardan, Ph.D. on 4/14/2014 using the Extradin A12 (XA132053) - RMC chamber.</t>
        </r>
      </text>
    </comment>
    <comment ref="BO5" authorId="2">
      <text>
        <r>
          <t/>
        </r>
        <r>
          <rPr>
            <sz val="8"/>
            <color indexed="81"/>
            <rFont val="Tahoma"/>
            <family val="2"/>
            <charset val="0"/>
          </rPr>
          <t>Correction measurements taken by Rex Cardan, Ph.D. on 4/14/2014 using the Extradin A12 (XA132053) - RMC chamber.</t>
        </r>
      </text>
    </comment>
    <comment ref="BP5" authorId="2">
      <text>
        <r>
          <t/>
        </r>
        <r>
          <rPr>
            <sz val="8"/>
            <color indexed="81"/>
            <rFont val="Tahoma"/>
            <family val="2"/>
            <charset val="0"/>
          </rPr>
          <t>Correction measurements taken by Rex Cardan, Ph.D. on 4/14/2014 using the Extradin A12 (XA132053) - RMC chamber.</t>
        </r>
      </text>
    </comment>
    <comment ref="BQ5" authorId="2">
      <text>
        <r>
          <t/>
        </r>
        <r>
          <rPr>
            <sz val="8"/>
            <color indexed="81"/>
            <rFont val="Tahoma"/>
            <family val="2"/>
            <charset val="0"/>
          </rPr>
          <t>Correction measurements taken by Rex Cardan, Ph.D. on 4/14/2014 using the Extradin A12 (XA132053) - RMC chamber.</t>
        </r>
      </text>
    </comment>
    <comment ref="BR5" authorId="2">
      <text>
        <r>
          <t/>
        </r>
        <r>
          <rPr>
            <sz val="8"/>
            <color indexed="81"/>
            <rFont val="Tahoma"/>
            <family val="2"/>
            <charset val="0"/>
          </rPr>
          <t>Correction measurements taken by Rex Cardan, Ph.D. on 4/14/2014 using the Extradin A12 (XA132053) - RMC chamber.</t>
        </r>
      </text>
    </comment>
    <comment ref="BS5" authorId="2">
      <text>
        <r>
          <t/>
        </r>
        <r>
          <rPr>
            <sz val="8"/>
            <color indexed="81"/>
            <rFont val="Tahoma"/>
            <family val="2"/>
            <charset val="0"/>
          </rPr>
          <t>Correction measurements taken by Rex Cardan, Ph.D. on 4/14/2014 using the Extradin A12 (XA132053) - RMC chamber.</t>
        </r>
      </text>
    </comment>
    <comment ref="BT5" authorId="2">
      <text>
        <r>
          <t/>
        </r>
        <r>
          <rPr>
            <sz val="8"/>
            <color indexed="81"/>
            <rFont val="Tahoma"/>
            <family val="2"/>
            <charset val="0"/>
          </rPr>
          <t>Correction measurements taken by Rex Cardan, Ph.D. on 4/14/2014 using the Extradin A12 (XA132053) - RMC chamber.</t>
        </r>
      </text>
    </comment>
    <comment ref="BU5" authorId="2">
      <text>
        <r>
          <t/>
        </r>
        <r>
          <rPr>
            <sz val="8"/>
            <color indexed="81"/>
            <rFont val="Tahoma"/>
            <family val="2"/>
            <charset val="0"/>
          </rPr>
          <t>Correction measurements taken by Rex Cardan, Ph.D. on 4/14/2014 using the Extradin A12 (XA132053) - RMC chamber.</t>
        </r>
      </text>
    </comment>
    <comment ref="BV5" authorId="2">
      <text>
        <r>
          <t/>
        </r>
        <r>
          <rPr>
            <sz val="8"/>
            <color indexed="81"/>
            <rFont val="Tahoma"/>
            <family val="2"/>
            <charset val="0"/>
          </rPr>
          <t>Correction measurements taken by Rex Cardan, Ph.D. on 4/14/2014 using the Extradin A12 (XA132053) - RMC chamber.</t>
        </r>
      </text>
    </comment>
    <comment ref="BW5" authorId="2">
      <text>
        <r>
          <t/>
        </r>
        <r>
          <rPr>
            <sz val="8"/>
            <color indexed="81"/>
            <rFont val="Tahoma"/>
            <family val="2"/>
            <charset val="0"/>
          </rPr>
          <t>Correction measurements taken by Rex Cardan, Ph.D. on 4/14/2014 using the Extradin A12 (XA132053) - RMC chamber.</t>
        </r>
      </text>
    </comment>
    <comment ref="BX5" authorId="2">
      <text>
        <r>
          <t/>
        </r>
        <r>
          <rPr>
            <sz val="8"/>
            <color indexed="81"/>
            <rFont val="Tahoma"/>
            <family val="2"/>
            <charset val="0"/>
          </rPr>
          <t>Correction measurements taken by Rex Cardan, Ph.D. on 4/14/2014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text>
        <r>
          <t/>
        </r>
        <r>
          <rPr>
            <b/>
            <sz val="9"/>
            <color indexed="81"/>
            <rFont val="Tahoma"/>
            <family val="2"/>
            <charset val="0"/>
          </rPr>
          <t>Rex Cardan, Ph.D.:</t>
        </r>
        <r>
          <rPr>
            <sz val="9"/>
            <color indexed="81"/>
            <rFont val="Tahoma"/>
            <family val="2"/>
            <charset val="0"/>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text>
        <r>
          <t/>
        </r>
        <r>
          <rPr>
            <b/>
            <sz val="9"/>
            <color indexed="81"/>
            <rFont val="Tahoma"/>
            <family val="2"/>
            <charset val="0"/>
          </rPr>
          <t>Rex Cardan, Ph.D.:</t>
        </r>
        <r>
          <rPr>
            <sz val="9"/>
            <color indexed="81"/>
            <rFont val="Tahoma"/>
            <family val="2"/>
            <charset val="0"/>
          </rPr>
          <t xml:space="preserve">
This is used to check the energy ratio</t>
        </r>
      </text>
    </comment>
    <comment ref="B29" authorId="0">
      <text>
        <r>
          <t/>
        </r>
        <r>
          <rPr>
            <b/>
            <sz val="9"/>
            <color indexed="81"/>
            <rFont val="Tahoma"/>
            <family val="2"/>
            <charset val="0"/>
          </rPr>
          <t>Rex Cardan, Ph.D.:</t>
        </r>
        <r>
          <rPr>
            <sz val="9"/>
            <color indexed="81"/>
            <rFont val="Tahoma"/>
            <family val="2"/>
            <charset val="0"/>
          </rPr>
          <t xml:space="preserve">
This is the clinical TMR(10,10x10) or PDD (10,10x10) that is
 used to move the dose from 10cm depth to dmax. If the machine is calibrated for 1cHy/MU at dmax, this value should be the TMR (10), otherwise it should be the PDD(10).</t>
        </r>
      </text>
    </comment>
    <comment ref="B31" authorId="0">
      <text>
        <r>
          <t/>
        </r>
        <r>
          <rPr>
            <b/>
            <sz val="9"/>
            <color indexed="81"/>
            <rFont val="Tahoma"/>
            <family val="2"/>
            <charset val="0"/>
          </rPr>
          <t>Rex Cardan, Ph.D.:</t>
        </r>
        <r>
          <rPr>
            <sz val="9"/>
            <color indexed="81"/>
            <rFont val="Tahoma"/>
            <family val="2"/>
            <charset val="0"/>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text>
        <r>
          <t/>
        </r>
        <r>
          <rPr>
            <b/>
            <sz val="9"/>
            <color indexed="81"/>
            <rFont val="Tahoma"/>
            <family val="2"/>
            <charset val="0"/>
          </rPr>
          <t>Rex Cardan, Ph.D.:</t>
        </r>
        <r>
          <rPr>
            <sz val="9"/>
            <color indexed="81"/>
            <rFont val="Tahoma"/>
            <family val="2"/>
            <charset val="0"/>
          </rPr>
          <t xml:space="preserve">
These values are interpolated between the R80 and R90 values.</t>
        </r>
      </text>
    </comment>
    <comment ref="B69" authorId="0">
      <text>
        <r>
          <t/>
        </r>
        <r>
          <rPr>
            <b/>
            <sz val="9"/>
            <color indexed="81"/>
            <rFont val="Tahoma"/>
            <family val="2"/>
            <charset val="0"/>
          </rPr>
          <t>Rex Cardan, Ph.D.:</t>
        </r>
        <r>
          <rPr>
            <sz val="9"/>
            <color indexed="81"/>
            <rFont val="Tahoma"/>
            <family val="2"/>
            <charset val="0"/>
          </rPr>
          <t xml:space="preserve">
These values are interpolated between the R80 and R50 values.</t>
        </r>
      </text>
    </comment>
    <comment ref="B74" authorId="0">
      <text>
        <r>
          <t/>
        </r>
        <r>
          <rPr>
            <b/>
            <sz val="9"/>
            <color indexed="81"/>
            <rFont val="Tahoma"/>
            <family val="2"/>
            <charset val="0"/>
          </rPr>
          <t>Rex Cardan, Ph.D.:</t>
        </r>
        <r>
          <rPr>
            <sz val="9"/>
            <color indexed="81"/>
            <rFont val="Tahoma"/>
            <family val="2"/>
            <charset val="0"/>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<sst xmlns="http://schemas.openxmlformats.org/spreadsheetml/2006/main" uniqueCount="137" count="521">
  <si>
    <t>OK?</t>
  </si>
  <si>
    <t>Electrons</t>
  </si>
  <si>
    <t>Depth (cm)</t>
  </si>
  <si>
    <t>Photons</t>
  </si>
  <si>
    <t>Pion</t>
  </si>
  <si>
    <t>Bias</t>
  </si>
  <si>
    <t>Read 1</t>
  </si>
  <si>
    <t>Read 2</t>
  </si>
  <si>
    <t>Average</t>
  </si>
  <si>
    <t>6E</t>
  </si>
  <si>
    <t>9E</t>
  </si>
  <si>
    <t>12E</t>
  </si>
  <si>
    <t>15E</t>
  </si>
  <si>
    <t>18E</t>
  </si>
  <si>
    <t>Ppol</t>
  </si>
  <si>
    <t>Pgrad</t>
  </si>
  <si>
    <t>R50s</t>
  </si>
  <si>
    <t>I50s</t>
  </si>
  <si>
    <t>dref (cm)</t>
  </si>
  <si>
    <t>dref+0.5rcav (cm)</t>
  </si>
  <si>
    <t>rcav (mm) =</t>
  </si>
  <si>
    <t>E</t>
  </si>
  <si>
    <t>R50 Calculation</t>
  </si>
  <si>
    <t>dref</t>
  </si>
  <si>
    <t>dref+0.5rcav</t>
  </si>
  <si>
    <t>Depth</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</si>
  <si>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</si>
  <si>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</si>
  <si>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</si>
  <si>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</si>
  <si>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</si>
  <si>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</si>
  <si>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</si>
  <si>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</si>
  <si>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</si>
  <si>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</si>
  <si>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</si>
  <si>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</si>
  <si>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</si>
  <si>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</si>
  <si>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</si>
  <si>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</si>
  <si>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</si>
  <si>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</si>
  <si>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</si>
  <si>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</si>
  <si>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</si>
  <si>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</si>
  <si>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</si>
  <si>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</si>
  <si>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</si>
  <si>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</si>
  <si>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</si>
  <si>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</si>
  <si>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</si>
  <si>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</si>
  <si>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</si>
  <si>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</si>
  <si>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</si>
  <si>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</si>
  <si>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</si>
  <si>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</si>
  <si>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</si>
  <si>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</si>
  <si>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</si>
  <si>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</si>
  <si>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Here For Convenience (Not Used)</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</si>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</sst>
</file>

<file path=xl/styles.xml><?xml version="1.0" encoding="utf-8"?>
<styleSheet xmlns:mc="http://schemas.openxmlformats.org/markup-compatibility/2006" xmlns:x14ac="http://schemas.microsoft.com/office/spreadsheetml/2009/9/ac" xmlns="http://schemas.openxmlformats.org/spreadsheetml/2006/main" mc:Ignorable="x14ac">
  <numFmts count="5">
    <numFmt numFmtId="164" formatCode="0.000"/>
    <numFmt numFmtId="165" formatCode="0.00000"/>
    <numFmt numFmtId="166" formatCode="0.000E+00"/>
    <numFmt numFmtId="167" formatCode="0.0000"/>
    <numFmt numFmtId="168" formatCode="0.000%"/>
  </numFmts>
  <fonts count="30">
    <font>
      <sz val="11"/>
      <color theme="1"/>
      <name val="Century Gothic"/>
      <family val="2"/>
      <charset val="0"/>
      <scheme val="minor"/>
    </font>
    <font>
      <sz val="11"/>
      <color theme="0"/>
      <name val="Century Gothic"/>
      <family val="2"/>
      <charset val="0"/>
      <scheme val="minor"/>
    </font>
    <font>
      <sz val="11"/>
      <color rgb="FF9C6500"/>
      <name val="Century Gothic"/>
      <family val="2"/>
      <charset val="0"/>
      <scheme val="minor"/>
    </font>
    <font>
      <b/>
      <sz val="11"/>
      <color rgb="FF3F3F3F"/>
      <name val="Century Gothic"/>
      <family val="2"/>
      <charset val="0"/>
      <scheme val="minor"/>
    </font>
    <font>
      <sz val="11"/>
      <color theme="1"/>
      <name val="Century Gothic"/>
      <family val="2"/>
      <charset val="0"/>
      <scheme val="minor"/>
    </font>
    <font>
      <b/>
      <sz val="11"/>
      <color rgb="FFFA7D00"/>
      <name val="Century Gothic"/>
      <family val="2"/>
      <charset val="0"/>
      <scheme val="minor"/>
    </font>
    <font>
      <b/>
      <sz val="11"/>
      <color theme="0"/>
      <name val="Century Gothic"/>
      <family val="2"/>
      <charset val="0"/>
      <scheme val="minor"/>
    </font>
    <font>
      <b/>
      <sz val="11"/>
      <color theme="1"/>
      <name val="Century Gothic"/>
      <family val="2"/>
      <charset val="0"/>
      <scheme val="minor"/>
    </font>
    <font>
      <b/>
      <sz val="11"/>
      <color rgb="FF9C6500"/>
      <name val="Century Gothic"/>
      <family val="2"/>
      <charset val="0"/>
      <scheme val="minor"/>
    </font>
    <font>
      <b/>
      <sz val="20"/>
      <color theme="1"/>
      <name val="Century Gothic"/>
      <family val="2"/>
      <charset val="0"/>
      <scheme val="major"/>
    </font>
    <font>
      <sz val="9"/>
      <color indexed="81"/>
      <name val="Tahoma"/>
      <family val="2"/>
      <charset val="0"/>
    </font>
    <font>
      <b/>
      <sz val="9"/>
      <color indexed="81"/>
      <name val="Tahoma"/>
      <family val="2"/>
      <charset val="0"/>
    </font>
    <font>
      <sz val="11"/>
      <color rgb="FFFF0000"/>
      <name val="Century Gothic"/>
      <family val="2"/>
      <charset val="0"/>
      <scheme val="minor"/>
    </font>
    <font>
      <sz val="8"/>
      <color indexed="81"/>
      <name val="Tahoma"/>
      <family val="2"/>
      <charset val="0"/>
    </font>
    <font>
      <b/>
      <sz val="11"/>
      <color theme="1" tint="0.249977111117893"/>
      <name val="Century Gothic"/>
      <family val="2"/>
      <charset val="0"/>
      <scheme val="minor"/>
    </font>
    <font>
      <sz val="11"/>
      <color rgb="FF000000"/>
      <name val="Century Gothic"/>
      <family val="2"/>
      <charset val="0"/>
    </font>
    <font>
      <b/>
      <sz val="12"/>
      <name val="Century Gothic"/>
      <family val="1"/>
      <charset val="0"/>
      <scheme val="major"/>
    </font>
    <font>
      <b/>
      <sz val="18"/>
      <name val="Century Gothic"/>
      <family val="2"/>
      <charset val="0"/>
      <scheme val="major"/>
    </font>
    <font>
      <b/>
      <sz val="17"/>
      <name val="Century Gothic"/>
      <family val="2"/>
      <charset val="0"/>
      <scheme val="major"/>
    </font>
    <font>
      <b/>
      <sz val="14"/>
      <color theme="1" tint="0.14996795556505022"/>
      <name val="Century Gothic"/>
      <family val="1"/>
      <charset val="0"/>
      <scheme val="major"/>
    </font>
    <font>
      <b/>
      <sz val="16"/>
      <color theme="0"/>
      <name val="Century Gothic"/>
      <family val="1"/>
      <charset val="0"/>
      <scheme val="major"/>
    </font>
    <font>
      <b/>
      <sz val="14"/>
      <color theme="1"/>
      <name val="Century Gothic"/>
      <family val="1"/>
      <charset val="0"/>
      <scheme val="major"/>
    </font>
    <font>
      <sz val="11"/>
      <color theme="1"/>
      <name val="Century Gothic"/>
      <family val="1"/>
      <charset val="0"/>
      <scheme val="minor"/>
    </font>
    <font>
      <sz val="11"/>
      <color rgb="FF2B579A"/>
      <name val="Century Gothic"/>
      <family val="2"/>
      <charset val="0"/>
    </font>
    <font>
      <b/>
      <sz val="11"/>
      <color rgb="FF2B579A"/>
      <name val="Century Gothic"/>
      <family val="2"/>
      <charset val="0"/>
    </font>
    <font>
      <u val="single"/>
      <sz val="11"/>
      <color rgb="FF000000"/>
      <name val="Century Gothic"/>
      <family val="2"/>
      <charset val="0"/>
    </font>
    <font>
      <u val="single"/>
      <sz val="11"/>
      <color indexed="12"/>
      <name val="Century Gothic"/>
      <family val="2"/>
      <charset val="0"/>
    </font>
    <font>
      <sz val="11"/>
      <color rgb="FFFFFFFF"/>
      <name val="Century Gothic"/>
      <family val="2"/>
      <charset val="0"/>
    </font>
    <font>
      <b/>
      <sz val="11"/>
      <color rgb="FFFFFFFF"/>
      <name val="Century Gothic"/>
      <family val="2"/>
      <charset val="0"/>
    </font>
    <font>
      <b/>
      <i/>
      <sz val="11"/>
      <color rgb="FFFFFFFF"/>
      <name val="Century Gothic"/>
      <family val="2"/>
      <charset val="0"/>
    </font>
  </fonts>
  <fills count="26">
    <fill>
      <patternFill patternType="none">
        <fgColor indexed="64"/>
        <bgColor indexed="65"/>
      </patternFill>
    </fill>
    <fill>
      <patternFill patternType="gray125">
        <fgColor indexed="64"/>
        <bgColor indexed="65"/>
      </patternFill>
    </fill>
    <fill>
      <patternFill patternType="solid">
        <fgColor rgb="FFF2F2F2"/>
        <bgColor indexed="65"/>
      </patternFill>
    </fill>
    <fill>
      <patternFill patternType="solid">
        <fgColor theme="0" tint="-0.0499893185216834"/>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0.050965910824915313"/>
        </stop>
        <stop position="1">
          <color theme="0" tint="-0.050965910824915313"/>
        </stop>
      </gradientFill>
    </fill>
    <fill>
      <gradientFill degree="135">
        <stop position="0">
          <color theme="0"/>
        </stop>
        <stop position="1">
          <color theme="0" tint="-0.25098422193060094"/>
        </stop>
      </gradientFill>
    </fill>
    <fill>
      <patternFill patternType="solid">
        <fgColor theme="0" tint="-0.14996795556505022"/>
        <bgColor indexed="64"/>
      </patternFill>
    </fill>
    <fill>
      <patternFill patternType="solid">
        <fgColor rgb="FFFFFFCC"/>
        <bgColor indexed="65"/>
      </patternFill>
    </fill>
    <fill>
      <patternFill patternType="solid">
        <fgColor rgb="FFFFEB9C"/>
        <bgColor indexed="65"/>
      </patternFill>
    </fill>
    <fill>
      <gradientFill degree="90">
        <stop position="0">
          <color theme="0"/>
        </stop>
        <stop position="1">
          <color theme="6" tint="0.80001220740379042"/>
        </stop>
      </gradientFill>
    </fill>
    <fill>
      <patternFill patternType="solid">
        <fgColor theme="4"/>
        <bgColor indexed="65"/>
      </patternFill>
    </fill>
    <fill>
      <patternFill patternType="solid">
        <fgColor theme="5"/>
        <bgColor indexed="65"/>
      </patternFill>
    </fill>
    <fill>
      <patternFill patternType="solid">
        <fgColor theme="8"/>
        <bgColor indexed="65"/>
      </patternFill>
    </fill>
    <fill>
      <patternFill patternType="solid">
        <fgColor theme="9"/>
        <bgColor indexed="65"/>
      </patternFill>
    </fill>
    <fill>
      <patternFill patternType="solid">
        <fgColor theme="6" tint="0.39997558519241921"/>
        <bgColor indexed="65"/>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theme="1"/>
        <bgColor theme="0"/>
      </patternFill>
    </fill>
    <fill>
      <patternFill patternType="solid">
        <fgColor rgb="FFFF3B3B"/>
        <bgColor indexed="64"/>
      </patternFill>
    </fill>
    <fill>
      <patternFill patternType="solid">
        <fgColor rgb="FFE7E7E7"/>
        <bgColor indexed="64"/>
      </patternFill>
    </fill>
    <fill>
      <patternFill patternType="solid">
        <fgColor indexed="5"/>
        <bgColor indexed="64"/>
      </patternFill>
    </fill>
    <fill>
      <patternFill patternType="solid">
        <fgColor indexed="1"/>
        <bgColor indexed="64"/>
      </patternFill>
    </fill>
  </fills>
  <borders count="10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
      </left>
      <right style="medium">
        <color theme="9" tint="-0.249946592608417"/>
      </right>
      <top style="medium">
        <color theme="9" tint="-0.249946592608417"/>
      </top>
      <bottom style="medium">
        <color theme="9" tint="-0.249946592608417"/>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3F3F3F"/>
      </left>
      <right style="thin">
        <color theme="0" tint="-0.34998626667073579"/>
      </right>
      <top style="thin">
        <color rgb="FF3F3F3F"/>
      </top>
      <bottom style="thin">
        <color rgb="FF3F3F3F"/>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rgb="FF3F3F3F"/>
      </left>
      <right style="thin">
        <color theme="0" tint="-0.34998626667073579"/>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theme="0" tint="-0.34998626667073579"/>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right style="thin">
        <color theme="0" tint="-0.34998626667073579"/>
      </right>
      <top/>
      <bottom style="thin">
        <color theme="0" tint="-0.34998626667073579"/>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s>
  <cellStyleXfs count="450">
    <xf numFmtId="0" fontId="0" fillId="0" borderId="0"/>
    <xf numFmtId="0" fontId="3" fillId="2" borderId="1" applyAlignment="0" applyNumberFormat="0" applyProtection="0"/>
    <xf numFmtId="0" fontId="5" fillId="2" borderId="2" applyAlignment="0" applyNumberFormat="0" applyProtection="0"/>
    <xf numFmtId="0" fontId="0" fillId="3" borderId="0"/>
    <xf numFmtId="0" fontId="6" fillId="4" borderId="3">
      <alignment horizontal="center" vertical="center"/>
    </xf>
    <xf numFmtId="0" fontId="0" fillId="5" borderId="4" applyBorder="0"/>
    <xf numFmtId="0" fontId="16" fillId="6" borderId="5">
      <alignment horizontal="center"/>
    </xf>
    <xf numFmtId="0" fontId="19" fillId="7" borderId="6">
      <alignment horizontal="center" vertical="center"/>
    </xf>
    <xf numFmtId="0" fontId="1" fillId="8" borderId="0" applyAlignment="0" applyBorder="0" applyFont="0"/>
    <xf numFmtId="0" fontId="0" fillId="9" borderId="7" applyBorder="0">
      <alignment horizontal="center"/>
    </xf>
    <xf numFmtId="164" fontId="2" fillId="10" borderId="2"/>
    <xf numFmtId="0" fontId="1" fillId="11" borderId="0" applyAlignment="0" applyBorder="0" applyNumberFormat="0" applyProtection="0"/>
    <xf numFmtId="0" fontId="1" fillId="12" borderId="0" applyAlignment="0" applyBorder="0" applyNumberFormat="0" applyProtection="0"/>
    <xf numFmtId="0" fontId="1" fillId="13" borderId="0" applyAlignment="0" applyBorder="0" applyNumberFormat="0" applyProtection="0"/>
    <xf numFmtId="0" fontId="1" fillId="14" borderId="0" applyAlignment="0" applyBorder="0" applyNumberFormat="0" applyProtection="0"/>
    <xf numFmtId="0" fontId="1" fillId="15" borderId="0" applyAlignment="0" applyBorder="0" applyNumberFormat="0" applyProtection="0"/>
    <xf numFmtId="0" fontId="12" fillId="0" borderId="0" applyAlignment="0" applyBorder="0" applyNumberFormat="0" applyProtection="0"/>
    <xf numFmtId="0" fontId="1" fillId="16" borderId="0" applyAlignment="0" applyBorder="0" applyNumberFormat="0" applyProtection="0"/>
    <xf numFmtId="0" fontId="29" fillId="22" borderId="105"/>
    <xf numFmtId="0" fontId="24" fillId="23" borderId="106">
      <alignment horizontal="center" vertical="center"/>
    </xf>
    <xf numFmtId="0" fontId="26" fillId="0" borderId="0" applyAlignment="0" applyBorder="0" applyNumberFormat="0" applyFill="0" applyProtection="0"/>
  </cellStyleXfs>
  <cellXfs>
    <xf numFmtId="0" fontId="0" fillId="0" borderId="0" xfId="0"/>
    <xf numFmtId="0" fontId="16" fillId="6" borderId="5" xfId="6" applyAlignment="1" applyBorder="1" applyFont="1" applyFill="1">
      <alignment horizontal="center"/>
    </xf>
    <xf numFmtId="0" fontId="19" fillId="7" borderId="6" xfId="7" applyAlignment="1" applyBorder="1" applyFont="1" applyFill="1">
      <alignment horizontal="center" vertical="center"/>
    </xf>
    <xf numFmtId="164" fontId="2" fillId="10" borderId="2" xfId="10" applyBorder="1" applyFont="1" applyNumberFormat="1" applyFill="1"/>
    <xf numFmtId="0" fontId="3" fillId="2" borderId="1" xfId="1" applyBorder="1" applyFont="1" applyFill="1"/>
    <xf numFmtId="0" fontId="0" fillId="5" borderId="0" xfId="5" applyBorder="1" applyFill="1"/>
    <xf numFmtId="0" fontId="0" fillId="5" borderId="0" xfId="5" applyBorder="1" applyFont="1" applyFill="1"/>
    <xf numFmtId="0" fontId="0" fillId="5" borderId="0" xfId="5" applyAlignment="1" applyBorder="1" applyFont="1" applyFill="1">
      <alignment horizontal="center"/>
    </xf>
    <xf numFmtId="0" fontId="0" fillId="5" borderId="8" xfId="5" applyBorder="1" applyFill="1"/>
    <xf numFmtId="0" fontId="7" fillId="5" borderId="9" xfId="5" applyAlignment="1" applyBorder="1" applyFont="1" applyFill="1">
      <alignment horizontal="center"/>
    </xf>
    <xf numFmtId="0" fontId="7" fillId="5" borderId="0" xfId="5" applyAlignment="1" applyBorder="1" applyFont="1" applyFill="1">
      <alignment horizontal="center"/>
    </xf>
    <xf numFmtId="0" fontId="7" fillId="5" borderId="8" xfId="5" applyAlignment="1" applyBorder="1" applyFont="1" applyFill="1">
      <alignment horizontal="center"/>
    </xf>
    <xf numFmtId="0" fontId="7" fillId="5" borderId="0" xfId="5" applyBorder="1" applyFont="1" applyFill="1"/>
    <xf numFmtId="0" fontId="7" fillId="5" borderId="8" xfId="5" applyBorder="1" applyFont="1" applyFill="1"/>
    <xf numFmtId="0" fontId="0" fillId="5" borderId="9" xfId="5" applyBorder="1" applyFill="1"/>
    <xf numFmtId="164" fontId="8" fillId="10" borderId="2" xfId="10" applyBorder="1" applyFont="1" applyNumberFormat="1" applyFill="1"/>
    <xf numFmtId="0" fontId="0" fillId="5" borderId="10" xfId="5" applyBorder="1" applyFill="1"/>
    <xf numFmtId="164" fontId="2" fillId="10" borderId="11" xfId="10" applyBorder="1" applyFont="1" applyNumberFormat="1" applyFill="1"/>
    <xf numFmtId="0" fontId="3" fillId="2" borderId="12" xfId="1" applyBorder="1" applyFont="1" applyFill="1"/>
    <xf numFmtId="0" fontId="3" fillId="2" borderId="13" xfId="1" applyBorder="1" applyFont="1" applyFill="1"/>
    <xf numFmtId="2" fontId="3" fillId="2" borderId="1" xfId="1" applyBorder="1" applyFont="1" applyNumberFormat="1" applyFill="1"/>
    <xf numFmtId="2" fontId="3" fillId="2" borderId="13" xfId="1" applyBorder="1" applyFont="1" applyNumberFormat="1" applyFill="1"/>
    <xf numFmtId="164" fontId="2" fillId="10" borderId="14" xfId="10" applyBorder="1" applyFont="1" applyNumberFormat="1" applyFill="1"/>
    <xf numFmtId="0" fontId="3" fillId="2" borderId="15" xfId="1" applyBorder="1" applyFont="1" applyFill="1"/>
    <xf numFmtId="2" fontId="3" fillId="2" borderId="16" xfId="1" applyBorder="1" applyFont="1" applyNumberFormat="1" applyFill="1"/>
    <xf numFmtId="0" fontId="16" fillId="6" borderId="17" xfId="6" applyAlignment="1" applyBorder="1" applyFont="1" applyFill="1">
      <alignment horizontal="center"/>
    </xf>
    <xf numFmtId="0" fontId="16" fillId="6" borderId="5" xfId="6" applyAlignment="1" applyBorder="1" applyFont="1" applyFill="1">
      <alignment horizontal="center"/>
    </xf>
    <xf numFmtId="164" fontId="3" fillId="2" borderId="1" xfId="1" applyBorder="1" applyFont="1" applyNumberFormat="1" applyFill="1"/>
    <xf numFmtId="164" fontId="2" fillId="10" borderId="18" xfId="10" applyBorder="1" applyFont="1" applyNumberFormat="1" applyFill="1"/>
    <xf numFmtId="164" fontId="3" fillId="2" borderId="19" xfId="1" applyBorder="1" applyFont="1" applyNumberFormat="1" applyFill="1"/>
    <xf numFmtId="0" fontId="16" fillId="6" borderId="20" xfId="6" applyAlignment="1" applyBorder="1" applyFont="1" applyFill="1">
      <alignment horizontal="center"/>
    </xf>
    <xf numFmtId="164" fontId="2" fillId="10" borderId="21" xfId="10" applyBorder="1" applyFont="1" applyNumberFormat="1" applyFill="1"/>
    <xf numFmtId="164" fontId="2" fillId="10" borderId="22" xfId="10" applyBorder="1" applyFont="1" applyNumberFormat="1" applyFill="1"/>
    <xf numFmtId="164" fontId="2" fillId="10" borderId="23" xfId="10" applyBorder="1" applyFont="1" applyNumberFormat="1" applyFill="1"/>
    <xf numFmtId="164" fontId="2" fillId="10" borderId="24" xfId="10" applyBorder="1" applyFont="1" applyNumberFormat="1" applyFill="1"/>
    <xf numFmtId="0" fontId="16" fillId="6" borderId="25" xfId="6" applyAlignment="1" applyBorder="1" applyFont="1" applyFill="1">
      <alignment horizontal="center"/>
    </xf>
    <xf numFmtId="0" fontId="7" fillId="5" borderId="0" xfId="5" applyAlignment="1" applyBorder="1" applyFont="1" applyFill="1">
      <alignment horizontal="left"/>
    </xf>
    <xf numFmtId="0" fontId="7" fillId="5" borderId="17" xfId="5" applyBorder="1" applyFont="1" applyFill="1"/>
    <xf numFmtId="0" fontId="7" fillId="5" borderId="5" xfId="5" applyBorder="1" applyFont="1" applyFill="1"/>
    <xf numFmtId="0" fontId="19" fillId="7" borderId="26" xfId="7" applyAlignment="1" applyBorder="1" applyFont="1" applyFill="1">
      <alignment horizontal="center" vertical="center"/>
    </xf>
    <xf numFmtId="0" fontId="0" fillId="17" borderId="0" xfId="5" applyBorder="1" applyFill="1"/>
    <xf numFmtId="0" fontId="0" fillId="17" borderId="0" xfId="5" applyAlignment="1" applyBorder="1" applyFill="1">
      <alignment horizontal="right"/>
    </xf>
    <xf numFmtId="0" fontId="0" fillId="17" borderId="0" xfId="5" applyAlignment="1" applyBorder="1" applyFont="1" applyFill="1">
      <alignment horizontal="right"/>
    </xf>
    <xf numFmtId="0" fontId="0" fillId="17" borderId="0" xfId="0" applyFill="1"/>
    <xf numFmtId="164" fontId="2" fillId="10" borderId="27" xfId="10" applyBorder="1" applyFont="1" applyNumberFormat="1" applyFill="1"/>
    <xf numFmtId="165" fontId="2" fillId="10" borderId="21" xfId="10" applyBorder="1" applyFont="1" applyNumberFormat="1" applyFill="1"/>
    <xf numFmtId="165" fontId="2" fillId="10" borderId="2" xfId="10" applyBorder="1" applyFont="1" applyNumberFormat="1" applyFill="1"/>
    <xf numFmtId="165" fontId="2" fillId="10" borderId="22" xfId="10" applyBorder="1" applyFont="1" applyNumberFormat="1" applyFill="1"/>
    <xf numFmtId="165" fontId="2" fillId="10" borderId="23" xfId="10" applyBorder="1" applyFont="1" applyNumberFormat="1" applyFill="1"/>
    <xf numFmtId="165" fontId="2" fillId="10" borderId="11" xfId="10" applyBorder="1" applyFont="1" applyNumberFormat="1" applyFill="1"/>
    <xf numFmtId="165" fontId="2" fillId="10" borderId="24" xfId="10" applyBorder="1" applyFont="1" applyNumberFormat="1" applyFill="1"/>
    <xf numFmtId="166" fontId="2" fillId="10" borderId="18" xfId="10" applyBorder="1" applyFont="1" applyNumberFormat="1" applyFill="1"/>
    <xf numFmtId="0" fontId="7" fillId="5" borderId="28" xfId="5" applyBorder="1" applyFont="1" applyFill="1"/>
    <xf numFmtId="0" fontId="7" fillId="5" borderId="29" xfId="5" applyBorder="1" applyFont="1" applyFill="1"/>
    <xf numFmtId="0" fontId="7" fillId="5" borderId="30" xfId="5" applyBorder="1" applyFont="1" applyFill="1"/>
    <xf numFmtId="2" fontId="0" fillId="5" borderId="9" xfId="5" applyAlignment="1" applyBorder="1" applyNumberFormat="1" applyFill="1">
      <alignment horizontal="right"/>
    </xf>
    <xf numFmtId="0" fontId="19" fillId="7" borderId="31" xfId="7" applyAlignment="1" applyBorder="1" applyFont="1" applyFill="1">
      <alignment horizontal="center" vertical="center"/>
    </xf>
    <xf numFmtId="164" fontId="2" fillId="10" borderId="32" xfId="10" applyBorder="1" applyFont="1" applyNumberFormat="1" applyFill="1"/>
    <xf numFmtId="164" fontId="2" fillId="10" borderId="33" xfId="10" applyBorder="1" applyFont="1" applyNumberFormat="1" applyFill="1"/>
    <xf numFmtId="0" fontId="16" fillId="6" borderId="5" xfId="6" applyAlignment="1" applyBorder="1" applyFont="1" applyFill="1">
      <alignment horizontal="center"/>
    </xf>
    <xf numFmtId="0" fontId="16" fillId="6" borderId="20" xfId="6" applyAlignment="1" applyBorder="1" applyFont="1" applyFill="1">
      <alignment horizontal="center"/>
    </xf>
    <xf numFmtId="0" fontId="19" fillId="7" borderId="34" xfId="7" applyAlignment="1" applyBorder="1" applyFont="1" applyFill="1">
      <alignment vertical="center"/>
    </xf>
    <xf numFmtId="167" fontId="3" fillId="2" borderId="1" xfId="1" applyBorder="1" applyFont="1" applyNumberFormat="1" applyFill="1"/>
    <xf numFmtId="0" fontId="16" fillId="6" borderId="17" xfId="6" applyAlignment="1" applyBorder="1" applyFont="1" applyFill="1">
      <alignment horizontal="center"/>
    </xf>
    <xf numFmtId="0" fontId="19" fillId="7" borderId="35" xfId="7" applyAlignment="1" applyBorder="1" applyFont="1" applyFill="1">
      <alignment horizontal="center" vertical="center"/>
    </xf>
    <xf numFmtId="0" fontId="16" fillId="6" borderId="5" xfId="6" applyAlignment="1" applyBorder="1" applyFont="1" applyFill="1">
      <alignment horizontal="center"/>
    </xf>
    <xf numFmtId="0" fontId="16" fillId="6" borderId="20" xfId="6" applyAlignment="1" applyBorder="1" applyFont="1" applyFill="1">
      <alignment horizontal="center"/>
    </xf>
    <xf numFmtId="164" fontId="2" fillId="10" borderId="36" xfId="10" applyBorder="1" applyFont="1" applyNumberFormat="1" applyFill="1"/>
    <xf numFmtId="0" fontId="16" fillId="6" borderId="30" xfId="6" applyAlignment="1" applyBorder="1" applyFont="1" applyFill="1">
      <alignment horizontal="center"/>
    </xf>
    <xf numFmtId="0" fontId="16" fillId="6" borderId="5" xfId="6" applyAlignment="1" applyBorder="1" applyFont="1" applyFill="1">
      <alignment horizontal="center"/>
    </xf>
    <xf numFmtId="0" fontId="16" fillId="6" borderId="20" xfId="6" applyAlignment="1" applyBorder="1" applyFont="1" applyFill="1">
      <alignment horizontal="center"/>
    </xf>
    <xf numFmtId="165" fontId="3" fillId="2" borderId="1" xfId="1" applyBorder="1" applyFont="1" applyNumberFormat="1" applyFill="1"/>
    <xf numFmtId="164" fontId="2" fillId="10" borderId="37" xfId="10" applyBorder="1" applyFont="1" applyNumberFormat="1" applyFill="1"/>
    <xf numFmtId="164" fontId="2" fillId="10" borderId="38" xfId="10" applyBorder="1" applyFont="1" applyNumberFormat="1" applyFill="1"/>
    <xf numFmtId="164" fontId="8" fillId="10" borderId="2" xfId="10" applyAlignment="1" applyBorder="1" applyFont="1" applyNumberFormat="1" applyFill="1">
      <alignment horizontal="right"/>
    </xf>
    <xf numFmtId="1" fontId="2" fillId="10" borderId="2" xfId="10" applyBorder="1" applyFont="1" applyNumberFormat="1" applyFill="1"/>
    <xf numFmtId="164" fontId="2" fillId="10" borderId="39" xfId="10" applyBorder="1" applyFont="1" applyNumberFormat="1" applyFill="1"/>
    <xf numFmtId="0" fontId="16" fillId="6" borderId="40" xfId="6" applyAlignment="1" applyBorder="1" applyFont="1" applyFill="1">
      <alignment horizontal="center"/>
    </xf>
    <xf numFmtId="1" fontId="2" fillId="10" borderId="39" xfId="10" applyBorder="1" applyFont="1" applyNumberFormat="1" applyFill="1"/>
    <xf numFmtId="164" fontId="2" fillId="10" borderId="41" xfId="10" applyBorder="1" applyFont="1" applyNumberFormat="1" applyFill="1"/>
    <xf numFmtId="165" fontId="2" fillId="10" borderId="37" xfId="10" applyBorder="1" applyFont="1" applyNumberFormat="1" applyFill="1"/>
    <xf numFmtId="165" fontId="2" fillId="10" borderId="38" xfId="10" applyBorder="1" applyFont="1" applyNumberFormat="1" applyFill="1"/>
    <xf numFmtId="165" fontId="2" fillId="10" borderId="39" xfId="10" applyBorder="1" applyFont="1" applyNumberFormat="1" applyFill="1"/>
    <xf numFmtId="165" fontId="2" fillId="10" borderId="41" xfId="10" applyBorder="1" applyFont="1" applyNumberFormat="1" applyFill="1"/>
    <xf numFmtId="164" fontId="3" fillId="2" borderId="42" xfId="1" applyAlignment="1" applyBorder="1" applyFont="1" applyNumberFormat="1" applyFill="1">
      <alignment horizontal="right"/>
    </xf>
    <xf numFmtId="0" fontId="16" fillId="6" borderId="43"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45" xfId="2" applyBorder="1" applyFont="1" applyFill="1"/>
    <xf numFmtId="0" fontId="6" fillId="18" borderId="46" xfId="2" applyBorder="1" applyFont="1" applyFill="1"/>
    <xf numFmtId="0" fontId="16" fillId="6" borderId="47" xfId="6" applyAlignment="1" applyBorder="1" applyFont="1" applyFill="1">
      <alignment horizontal="center" vertical="center"/>
    </xf>
    <xf numFmtId="0" fontId="16" fillId="6" borderId="48" xfId="6" applyAlignment="1" applyBorder="1" applyFont="1" applyFill="1">
      <alignment horizontal="center" vertical="center"/>
    </xf>
    <xf numFmtId="0" fontId="14" fillId="19" borderId="1" xfId="1" applyBorder="1" applyFont="1" applyFill="1"/>
    <xf numFmtId="0" fontId="14" fillId="19" borderId="15" xfId="1" applyBorder="1" applyFont="1" applyFill="1"/>
    <xf numFmtId="0" fontId="14" fillId="19" borderId="12" xfId="1" applyBorder="1" applyFont="1" applyFill="1"/>
    <xf numFmtId="0" fontId="19" fillId="7" borderId="6" xfId="7" applyAlignment="1" applyBorder="1" applyFont="1" applyFill="1">
      <alignment horizontal="center" vertical="center"/>
    </xf>
    <xf numFmtId="0" fontId="0" fillId="5" borderId="2" xfId="5" applyBorder="1" applyFill="1"/>
    <xf numFmtId="14" fontId="2" fillId="10" borderId="2" xfId="10" applyBorder="1" applyFont="1" applyNumberFormat="1" applyFill="1"/>
    <xf numFmtId="14" fontId="3" fillId="2" borderId="1" xfId="1" applyBorder="1" applyFont="1" applyNumberFormat="1" applyFill="1"/>
    <xf numFmtId="0" fontId="3" fillId="2" borderId="1" xfId="1" applyAlignment="1" applyBorder="1" applyFont="1" applyFill="1">
      <alignment horizontal="center"/>
    </xf>
    <xf numFmtId="168" fontId="3" fillId="2" borderId="1" xfId="1" applyBorder="1" applyFont="1" applyNumberFormat="1" applyFill="1"/>
    <xf numFmtId="0" fontId="3" fillId="19" borderId="42" xfId="1" applyBorder="1" applyFont="1" applyFill="1"/>
    <xf numFmtId="0" fontId="6" fillId="18" borderId="49" xfId="2" applyBorder="1" applyFont="1" applyFill="1"/>
    <xf numFmtId="0" fontId="16" fillId="6" borderId="50" xfId="6" applyAlignment="1" applyBorder="1" applyFont="1" applyFill="1">
      <alignment horizontal="center" vertical="center" wrapText="1"/>
    </xf>
    <xf numFmtId="0" fontId="0" fillId="5" borderId="51" xfId="5" applyBorder="1" applyFill="1"/>
    <xf numFmtId="0" fontId="12" fillId="0" borderId="52" xfId="16" applyBorder="1" applyFont="1"/>
    <xf numFmtId="0" fontId="0" fillId="5" borderId="53" xfId="5" applyBorder="1" applyFill="1"/>
    <xf numFmtId="0" fontId="12" fillId="0" borderId="54" xfId="16" applyBorder="1" applyFont="1"/>
    <xf numFmtId="0" fontId="0" fillId="5" borderId="55" xfId="5" applyBorder="1" applyFill="1"/>
    <xf numFmtId="0" fontId="12" fillId="0" borderId="56" xfId="16" applyBorder="1" applyFont="1"/>
    <xf numFmtId="0" fontId="0" fillId="5" borderId="57" xfId="5" applyBorder="1" applyFill="1"/>
    <xf numFmtId="0" fontId="12" fillId="0" borderId="58" xfId="16" applyBorder="1" applyFont="1"/>
    <xf numFmtId="0" fontId="0" fillId="5" borderId="59" xfId="5" applyBorder="1" applyFill="1"/>
    <xf numFmtId="0" fontId="0" fillId="5" borderId="60" xfId="5" applyBorder="1" applyFill="1"/>
    <xf numFmtId="0" fontId="3" fillId="2" borderId="61" xfId="1" applyBorder="1" applyFont="1" applyFill="1"/>
    <xf numFmtId="0" fontId="22" fillId="8" borderId="62" xfId="8" applyBorder="1" applyFont="1" applyFill="1"/>
    <xf numFmtId="0" fontId="21" fillId="8" borderId="63" xfId="8" applyAlignment="1" applyBorder="1" applyFont="1" applyFill="1">
      <alignment vertical="center"/>
    </xf>
    <xf numFmtId="0" fontId="21" fillId="8" borderId="64" xfId="8" applyAlignment="1" applyBorder="1" applyFont="1" applyFill="1">
      <alignment vertical="center"/>
    </xf>
    <xf numFmtId="0" fontId="12" fillId="0" borderId="65" xfId="16" applyAlignment="1" applyBorder="1" applyFont="1">
      <alignment horizontal="right"/>
    </xf>
    <xf numFmtId="0" fontId="1" fillId="16" borderId="66" xfId="17" applyAlignment="1" applyBorder="1" applyFont="1" applyFill="1">
      <alignment horizontal="center" vertical="center"/>
    </xf>
    <xf numFmtId="0" fontId="0" fillId="20" borderId="67" xfId="0" applyAlignment="1" applyBorder="1" applyFill="1">
      <alignment vertical="center" wrapText="1"/>
    </xf>
    <xf numFmtId="0" fontId="9" fillId="17" borderId="0" xfId="0" applyAlignment="1" applyFont="1" applyFill="1">
      <alignment horizontal="right" vertical="center"/>
    </xf>
    <xf numFmtId="0" fontId="9" fillId="17" borderId="0" xfId="0" applyAlignment="1" applyFont="1" applyFill="1">
      <alignment horizontal="left" vertical="center"/>
    </xf>
    <xf numFmtId="0" fontId="16" fillId="6" borderId="68" xfId="6" applyAlignment="1" applyBorder="1" applyFont="1" applyFill="1">
      <alignment horizontal="center"/>
    </xf>
    <xf numFmtId="0" fontId="16" fillId="6" borderId="5" xfId="6" applyAlignment="1" applyBorder="1" applyFont="1" applyFill="1">
      <alignment horizontal="center"/>
    </xf>
    <xf numFmtId="0" fontId="20" fillId="21" borderId="69" xfId="6" applyAlignment="1" applyBorder="1" applyFont="1" applyFill="1">
      <alignment horizontal="center"/>
    </xf>
    <xf numFmtId="0" fontId="20" fillId="21" borderId="70" xfId="6" applyAlignment="1" applyBorder="1" applyFont="1" applyFill="1">
      <alignment horizontal="center"/>
    </xf>
    <xf numFmtId="0" fontId="20" fillId="21" borderId="31" xfId="6" applyAlignment="1" applyBorder="1" applyFont="1" applyFill="1">
      <alignment horizontal="center"/>
    </xf>
    <xf numFmtId="0" fontId="19" fillId="7" borderId="69" xfId="7" applyAlignment="1" applyBorder="1" applyFont="1" applyFill="1">
      <alignment horizontal="center" vertical="center"/>
    </xf>
    <xf numFmtId="0" fontId="19" fillId="7" borderId="70" xfId="7" applyAlignment="1" applyBorder="1" applyFont="1" applyFill="1">
      <alignment horizontal="center" vertical="center"/>
    </xf>
    <xf numFmtId="0" fontId="19" fillId="7" borderId="71" xfId="7" applyAlignment="1" applyBorder="1" applyFont="1" applyFill="1">
      <alignment horizontal="center" vertical="center"/>
    </xf>
    <xf numFmtId="14" fontId="2" fillId="10" borderId="18" xfId="10" applyAlignment="1" applyBorder="1" applyFont="1" applyNumberFormat="1" applyFill="1">
      <alignment horizontal="right"/>
    </xf>
    <xf numFmtId="14" fontId="2" fillId="10" borderId="37" xfId="10" applyAlignment="1" applyBorder="1" applyFont="1" applyNumberFormat="1" applyFill="1">
      <alignment horizontal="right"/>
    </xf>
    <xf numFmtId="164" fontId="2" fillId="10" borderId="18" xfId="10" applyAlignment="1" applyBorder="1" applyFont="1" applyNumberFormat="1" applyFill="1">
      <alignment horizontal="right"/>
    </xf>
    <xf numFmtId="164" fontId="2" fillId="10" borderId="37" xfId="10" applyAlignment="1" applyBorder="1" applyFont="1" applyNumberFormat="1" applyFill="1">
      <alignment horizontal="right"/>
    </xf>
    <xf numFmtId="0" fontId="20" fillId="21" borderId="72" xfId="6" applyAlignment="1" applyBorder="1" applyFont="1" applyFill="1">
      <alignment horizontal="center"/>
    </xf>
    <xf numFmtId="0" fontId="20" fillId="21" borderId="28" xfId="6" applyAlignment="1" applyBorder="1" applyFont="1" applyFill="1">
      <alignment horizontal="center"/>
    </xf>
    <xf numFmtId="0" fontId="20" fillId="21" borderId="71" xfId="6" applyAlignment="1" applyBorder="1" applyFont="1" applyFill="1">
      <alignment horizontal="center"/>
    </xf>
    <xf numFmtId="0" fontId="0" fillId="17" borderId="73" xfId="5" applyAlignment="1" applyBorder="1" applyFill="1">
      <alignment horizontal="right"/>
    </xf>
    <xf numFmtId="0" fontId="19" fillId="7" borderId="8" xfId="7" applyAlignment="1" applyBorder="1" applyFont="1" applyFill="1">
      <alignment horizontal="center" vertical="center"/>
    </xf>
    <xf numFmtId="0" fontId="19" fillId="7" borderId="74" xfId="7" applyAlignment="1" applyBorder="1" applyFont="1" applyFill="1">
      <alignment horizontal="center" vertical="center"/>
    </xf>
    <xf numFmtId="0" fontId="19" fillId="7" borderId="75" xfId="7" applyAlignment="1" applyBorder="1" applyFont="1" applyFill="1">
      <alignment horizontal="center" vertical="center"/>
    </xf>
    <xf numFmtId="0" fontId="19" fillId="7" borderId="26" xfId="7" applyAlignment="1" applyBorder="1" applyFont="1" applyFill="1">
      <alignment horizontal="center" vertical="center"/>
    </xf>
    <xf numFmtId="0" fontId="19" fillId="7" borderId="76" xfId="7" applyAlignment="1" applyBorder="1" applyFont="1" applyFill="1">
      <alignment horizontal="center" vertical="center"/>
    </xf>
    <xf numFmtId="0" fontId="19" fillId="7" borderId="77" xfId="7" applyAlignment="1" applyBorder="1" applyFont="1" applyFill="1">
      <alignment horizontal="center" vertical="center"/>
    </xf>
    <xf numFmtId="0" fontId="19" fillId="7" borderId="26" xfId="7" applyAlignment="1" applyBorder="1" applyFont="1" applyFill="1">
      <alignment horizontal="center" vertical="center"/>
    </xf>
    <xf numFmtId="0" fontId="19" fillId="7" borderId="76" xfId="7" applyAlignment="1" applyBorder="1" applyFont="1" applyFill="1">
      <alignment horizontal="center" vertical="center"/>
    </xf>
    <xf numFmtId="0" fontId="17" fillId="11" borderId="75" xfId="11" applyAlignment="1" applyBorder="1" applyFont="1" applyFill="1">
      <alignment horizontal="center" vertical="center"/>
    </xf>
    <xf numFmtId="0" fontId="19" fillId="7" borderId="78" xfId="7" applyAlignment="1" applyBorder="1" applyFont="1" applyFill="1">
      <alignment horizontal="center" vertical="center"/>
    </xf>
    <xf numFmtId="0" fontId="19" fillId="7" borderId="79" xfId="7" applyAlignment="1" applyBorder="1" applyFont="1" applyFill="1">
      <alignment horizontal="center" vertical="center"/>
    </xf>
    <xf numFmtId="0" fontId="1" fillId="16" borderId="75" xfId="17" applyAlignment="1" applyBorder="1" applyFont="1" applyFill="1">
      <alignment horizontal="center" vertical="center"/>
    </xf>
    <xf numFmtId="0" fontId="0" fillId="20" borderId="80" xfId="0" applyAlignment="1" applyBorder="1" applyFill="1">
      <alignment horizontal="center" vertical="center" wrapText="1"/>
    </xf>
    <xf numFmtId="0" fontId="0" fillId="20" borderId="81" xfId="0" applyAlignment="1" applyBorder="1" applyFill="1">
      <alignment horizontal="center" vertical="center" wrapText="1"/>
    </xf>
    <xf numFmtId="0" fontId="0" fillId="20" borderId="65" xfId="0" applyAlignment="1" applyBorder="1" applyFill="1">
      <alignment horizontal="center" vertical="center" wrapText="1"/>
    </xf>
    <xf numFmtId="0" fontId="19" fillId="7" borderId="31" xfId="7" applyAlignment="1" applyBorder="1" applyFont="1" applyFill="1">
      <alignment horizontal="center" vertical="center"/>
    </xf>
    <xf numFmtId="0" fontId="19" fillId="7" borderId="82" xfId="7" applyAlignment="1" applyBorder="1" applyFont="1" applyFill="1">
      <alignment horizontal="center" vertical="center"/>
    </xf>
    <xf numFmtId="0" fontId="6" fillId="12" borderId="70" xfId="12" applyAlignment="1" applyBorder="1" applyFont="1" applyFill="1">
      <alignment horizontal="center" vertical="center"/>
    </xf>
    <xf numFmtId="0" fontId="6" fillId="12" borderId="82" xfId="12" applyAlignment="1" applyBorder="1" applyFont="1" applyFill="1">
      <alignment horizontal="center" vertical="center"/>
    </xf>
    <xf numFmtId="0" fontId="6" fillId="13" borderId="70" xfId="13" applyAlignment="1" applyBorder="1" applyFont="1" applyFill="1">
      <alignment horizontal="center" vertical="center"/>
    </xf>
    <xf numFmtId="0" fontId="6" fillId="13" borderId="82" xfId="13" applyAlignment="1" applyBorder="1" applyFont="1" applyFill="1">
      <alignment horizontal="center" vertical="center"/>
    </xf>
    <xf numFmtId="0" fontId="6" fillId="14" borderId="83" xfId="14" applyAlignment="1" applyBorder="1" applyFont="1" applyFill="1">
      <alignment horizontal="center" vertical="center"/>
    </xf>
    <xf numFmtId="0" fontId="6" fillId="14" borderId="29" xfId="14" applyAlignment="1" applyBorder="1" applyFont="1" applyFill="1">
      <alignment horizontal="center" vertical="center"/>
    </xf>
    <xf numFmtId="0" fontId="17" fillId="11" borderId="0" xfId="11" applyAlignment="1" applyBorder="1" applyFont="1" applyFill="1">
      <alignment horizontal="center" vertical="center"/>
    </xf>
    <xf numFmtId="0" fontId="6" fillId="15" borderId="28" xfId="15" applyAlignment="1" applyBorder="1" applyFont="1" applyFill="1">
      <alignment horizontal="center" vertical="center"/>
    </xf>
    <xf numFmtId="0" fontId="6" fillId="15" borderId="0" xfId="15" applyAlignment="1" applyBorder="1" applyFont="1" applyFill="1">
      <alignment horizontal="center" vertical="center"/>
    </xf>
    <xf numFmtId="0" fontId="6" fillId="15" borderId="84" xfId="15" applyAlignment="1" applyBorder="1" applyFont="1" applyFill="1">
      <alignment horizontal="center" vertical="center"/>
    </xf>
    <xf numFmtId="0" fontId="19" fillId="7" borderId="85" xfId="7" applyAlignment="1" applyBorder="1" applyFont="1" applyFill="1">
      <alignment horizontal="center" vertical="center"/>
    </xf>
    <xf numFmtId="0" fontId="19" fillId="7" borderId="86" xfId="7" applyAlignment="1" applyBorder="1" applyFont="1" applyFill="1">
      <alignment horizontal="center" vertical="center"/>
    </xf>
    <xf numFmtId="0" fontId="19" fillId="7" borderId="35" xfId="7" applyAlignment="1" applyBorder="1" applyFont="1" applyFill="1">
      <alignment horizontal="center" vertical="center"/>
    </xf>
    <xf numFmtId="0" fontId="19" fillId="7" borderId="87" xfId="7" applyAlignment="1" applyBorder="1" applyFont="1" applyFill="1">
      <alignment horizontal="center" vertical="center"/>
    </xf>
    <xf numFmtId="0" fontId="19" fillId="7" borderId="88" xfId="7" applyAlignment="1" applyBorder="1" applyFont="1" applyFill="1">
      <alignment horizontal="center" vertical="center"/>
    </xf>
    <xf numFmtId="0" fontId="19" fillId="7" borderId="78" xfId="7" applyAlignment="1" applyBorder="1" applyFont="1" applyFill="1">
      <alignment horizontal="center" vertical="center"/>
    </xf>
    <xf numFmtId="0" fontId="19" fillId="7" borderId="79" xfId="7" applyAlignment="1" applyBorder="1" applyFont="1" applyFill="1">
      <alignment horizontal="center" vertical="center"/>
    </xf>
    <xf numFmtId="0" fontId="6" fillId="15" borderId="88" xfId="15" applyAlignment="1" applyBorder="1" applyFont="1" applyFill="1">
      <alignment horizontal="center" vertical="center"/>
    </xf>
    <xf numFmtId="0" fontId="6" fillId="15" borderId="70" xfId="15" applyAlignment="1" applyBorder="1" applyFont="1" applyFill="1">
      <alignment horizontal="center" vertical="center"/>
    </xf>
    <xf numFmtId="0" fontId="6" fillId="15" borderId="82" xfId="15" applyAlignment="1" applyBorder="1" applyFont="1" applyFill="1">
      <alignment horizontal="center" vertical="center"/>
    </xf>
    <xf numFmtId="0" fontId="16" fillId="6" borderId="89" xfId="6" applyAlignment="1" applyBorder="1" applyFont="1" applyFill="1">
      <alignment horizontal="center"/>
    </xf>
    <xf numFmtId="0" fontId="16" fillId="6" borderId="30" xfId="6" applyAlignment="1" applyBorder="1" applyFont="1" applyFill="1">
      <alignment horizontal="center"/>
    </xf>
    <xf numFmtId="0" fontId="16" fillId="6" borderId="90" xfId="6" applyAlignment="1" applyBorder="1" applyFont="1" applyFill="1">
      <alignment horizontal="center"/>
    </xf>
    <xf numFmtId="0" fontId="5" fillId="2" borderId="2" xfId="2" applyAlignment="1" applyBorder="1" applyFont="1" applyFill="1">
      <alignment horizontal="center" vertical="center"/>
    </xf>
    <xf numFmtId="0" fontId="19" fillId="7" borderId="91" xfId="7" applyAlignment="1" applyBorder="1" applyFont="1" applyFill="1">
      <alignment horizontal="center" vertical="center"/>
    </xf>
    <xf numFmtId="0" fontId="19" fillId="7" borderId="92" xfId="7" applyAlignment="1" applyBorder="1" applyFont="1" applyFill="1">
      <alignment horizontal="center" vertical="center"/>
    </xf>
    <xf numFmtId="0" fontId="19" fillId="7" borderId="93" xfId="7" applyAlignment="1" applyBorder="1" applyFont="1" applyFill="1">
      <alignment horizontal="center" vertical="center"/>
    </xf>
    <xf numFmtId="0" fontId="16" fillId="6" borderId="17" xfId="6" applyAlignment="1" applyBorder="1" applyFont="1" applyFill="1">
      <alignment horizontal="center"/>
    </xf>
    <xf numFmtId="0" fontId="16" fillId="6" borderId="5" xfId="6" applyAlignment="1" applyBorder="1" applyFont="1" applyFill="1">
      <alignment horizontal="center"/>
    </xf>
    <xf numFmtId="0" fontId="16" fillId="6" borderId="20" xfId="6" applyAlignment="1" applyBorder="1" applyFont="1" applyFill="1">
      <alignment horizontal="center"/>
    </xf>
    <xf numFmtId="0" fontId="19" fillId="7" borderId="94" xfId="7" applyAlignment="1" applyBorder="1" applyFont="1" applyFill="1">
      <alignment horizontal="center" vertical="center"/>
    </xf>
    <xf numFmtId="0" fontId="0" fillId="0" borderId="28" xfId="0" applyAlignment="1" applyBorder="1">
      <alignment horizontal="center"/>
    </xf>
    <xf numFmtId="0" fontId="0" fillId="0" borderId="0" xfId="0" applyAlignment="1">
      <alignment horizontal="center"/>
    </xf>
    <xf numFmtId="0" fontId="18" fillId="11" borderId="29" xfId="11" applyAlignment="1" applyBorder="1" applyFont="1" applyFill="1">
      <alignment horizontal="center" vertical="center"/>
    </xf>
    <xf numFmtId="0" fontId="17" fillId="11" borderId="10" xfId="11" applyAlignment="1" applyBorder="1" applyFont="1" applyFill="1">
      <alignment horizontal="center" vertical="center"/>
    </xf>
    <xf numFmtId="0" fontId="17" fillId="11" borderId="29" xfId="11" applyAlignment="1" applyBorder="1" applyFont="1" applyFill="1">
      <alignment horizontal="center" vertical="center"/>
    </xf>
    <xf numFmtId="0" fontId="17" fillId="11" borderId="95" xfId="11" applyAlignment="1" applyBorder="1" applyFont="1" applyFill="1">
      <alignment horizontal="center" vertical="center"/>
    </xf>
    <xf numFmtId="0" fontId="16" fillId="6" borderId="50" xfId="6" applyAlignment="1" applyBorder="1" applyFont="1" applyFill="1">
      <alignment horizontal="center" vertical="center" wrapText="1"/>
    </xf>
    <xf numFmtId="14" fontId="3" fillId="2" borderId="19" xfId="1" applyAlignment="1" applyBorder="1" applyFont="1" applyNumberFormat="1" applyFill="1">
      <alignment horizontal="center"/>
    </xf>
    <xf numFmtId="14" fontId="3" fillId="2" borderId="1" xfId="1" applyAlignment="1" applyBorder="1" applyFont="1" applyNumberFormat="1" applyFill="1">
      <alignment horizontal="center"/>
    </xf>
    <xf numFmtId="0" fontId="0" fillId="5" borderId="9" xfId="5" applyAlignment="1" applyBorder="1" applyFill="1">
      <alignment horizontal="center"/>
    </xf>
    <xf numFmtId="0" fontId="0" fillId="5" borderId="0" xfId="5" applyAlignment="1" applyBorder="1" applyFill="1">
      <alignment horizontal="center"/>
    </xf>
    <xf numFmtId="0" fontId="0" fillId="5" borderId="96" xfId="5" applyAlignment="1" applyBorder="1" applyFill="1">
      <alignment horizontal="center"/>
    </xf>
    <xf numFmtId="0" fontId="21" fillId="8" borderId="97" xfId="8" applyAlignment="1" applyBorder="1" applyFont="1" applyFill="1">
      <alignment horizontal="center" vertical="center"/>
    </xf>
    <xf numFmtId="0" fontId="21" fillId="8" borderId="98" xfId="8" applyAlignment="1" applyBorder="1" applyFont="1" applyFill="1">
      <alignment horizontal="center" vertical="center"/>
    </xf>
    <xf numFmtId="0" fontId="21" fillId="8" borderId="99" xfId="8" applyAlignment="1" applyBorder="1" applyFont="1" applyFill="1">
      <alignment horizontal="center" vertical="center"/>
    </xf>
    <xf numFmtId="0" fontId="19" fillId="7" borderId="100" xfId="7" applyAlignment="1" applyBorder="1" applyFont="1" applyFill="1">
      <alignment horizontal="center" vertical="center"/>
    </xf>
    <xf numFmtId="0" fontId="19" fillId="7" borderId="101" xfId="7" applyAlignment="1" applyBorder="1" applyFont="1" applyFill="1">
      <alignment horizontal="center" vertical="center"/>
    </xf>
    <xf numFmtId="0" fontId="3" fillId="2" borderId="102" xfId="1" applyAlignment="1" applyBorder="1" applyFont="1" applyFill="1">
      <alignment horizontal="center"/>
    </xf>
    <xf numFmtId="0" fontId="3" fillId="2" borderId="19" xfId="1" applyAlignment="1" applyBorder="1" applyFont="1" applyFill="1">
      <alignment horizontal="center"/>
    </xf>
    <xf numFmtId="0" fontId="16" fillId="6" borderId="103" xfId="6" applyAlignment="1" applyBorder="1" applyFont="1" applyFill="1">
      <alignment horizontal="center" vertical="center" wrapText="1"/>
    </xf>
    <xf numFmtId="0" fontId="0" fillId="5" borderId="80" xfId="5" applyAlignment="1" applyBorder="1" applyFont="1" applyFill="1">
      <alignment horizontal="center"/>
    </xf>
    <xf numFmtId="0" fontId="0" fillId="5" borderId="104" xfId="5" applyAlignment="1" applyBorder="1" applyFont="1" applyFill="1">
      <alignment horizontal="center"/>
    </xf>
    <xf numFmtId="0" fontId="0" fillId="0" borderId="0" xfId="0" applyBorder="1" applyFont="1" applyNumberForma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108" xfId="6" applyAlignment="1" applyBorder="1" applyFont="1" applyFill="1">
      <alignment horizontal="center" vertical="center"/>
    </xf>
    <xf numFmtId="0" fontId="16" fillId="6" borderId="108"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108" xfId="6" applyAlignment="1" applyBorder="1" applyFont="1" applyFill="1">
      <alignment horizontal="center" vertical="center"/>
    </xf>
    <xf numFmtId="0" fontId="16" fillId="6" borderId="108"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108" xfId="6" applyAlignment="1" applyBorder="1" applyFont="1" applyFill="1">
      <alignment horizontal="center" vertical="center"/>
    </xf>
    <xf numFmtId="0" fontId="16" fillId="6" borderId="108"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0" fillId="24" borderId="0" xfId="0" applyBorder="1" applyFont="1" applyNumberFormat="1" applyFill="1"/>
    <xf numFmtId="0" fontId="0" fillId="25" borderId="0" xfId="0" applyBorder="1" applyFont="1" applyNumberForma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108" xfId="6" applyAlignment="1" applyBorder="1" applyFont="1" applyFill="1">
      <alignment horizontal="center" vertical="center"/>
    </xf>
    <xf numFmtId="0" fontId="16" fillId="6" borderId="108"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108" xfId="6" applyAlignment="1" applyBorder="1" applyFont="1" applyFill="1">
      <alignment horizontal="center" vertical="center"/>
    </xf>
    <xf numFmtId="0" fontId="16" fillId="6" borderId="108"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16" fillId="6" borderId="44" xfId="6" applyAlignment="1" applyBorder="1" applyFont="1" applyFill="1">
      <alignment horizontal="center" vertical="center"/>
    </xf>
    <xf numFmtId="0" fontId="16" fillId="6" borderId="44" xfId="6" applyAlignment="1" applyBorder="1" applyFont="1" applyFill="1">
      <alignment horizontal="center" vertical="center"/>
    </xf>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xf numFmtId="0" fontId="6" fillId="18" borderId="107" xfId="2" applyBorder="1" applyFont="1" applyFill="1"/>
  </cellXfs>
  <cellStyles count="21">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s" xfId="9"/>
    <cellStyle name="Header 3" xfId="8"/>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 name="ConditionalFormatStyle" xfId="18"/>
    <cellStyle name="HeaderStyle" xfId="19"/>
    <cellStyle name="Hyperlink" xfId="20" builtinId="8"/>
  </cellStyles>
  <dxfs>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0.0499893185216834"/>
      </font>
      <fill>
        <patternFill>
          <fgColor rgb="FFA50F0F"/>
          <bgColor rgb="FFFF0000"/>
        </patternFill>
      </fill>
      <border>
        <left style="thin">
          <color indexed="0"/>
        </left>
        <top style="thin">
          <color indexed="0"/>
        </top>
        <bottom style="thin">
          <color indexed="0"/>
        </bottom>
      </border>
    </dxf>
  </dxfs>
  <tableStyles xmlns="http://schemas.openxmlformats.org/spreadsheetml/2006/main" count="0" defaultTableStyle="TableStyleMedium2" defaultPivotStyle="PivotStyleLight16"/>
</styleSheet>
</file>

<file path=xl/_rels/workbook.xml.rels><?xml version="1.0" encoding="utf-8" standalone="yes"?><Relationships xmlns="http://schemas.openxmlformats.org/package/2006/relationships"><Relationship Id="rId3" Type="http://schemas.openxmlformats.org/officeDocument/2006/relationships/worksheet" Target="worksheets/sheet3.xml" /><Relationship Id="rId1" Type="http://schemas.openxmlformats.org/officeDocument/2006/relationships/worksheet" Target="worksheets/sheet1.xml" /><Relationship Id="rId8" Type="http://schemas.openxmlformats.org/officeDocument/2006/relationships/worksheet" Target="worksheets/sheet8.xml" /><Relationship Id="rId4" Type="http://schemas.openxmlformats.org/officeDocument/2006/relationships/worksheet" Target="worksheets/sheet4.xml" /><Relationship Id="rId12" Type="http://schemas.openxmlformats.org/officeDocument/2006/relationships/sharedStrings" Target="sharedStrings.xml" /><Relationship Id="rId9" Type="http://schemas.openxmlformats.org/officeDocument/2006/relationships/externalLink" Target="/xl/externalLinks/externalLink1.xml" /><Relationship Id="rId13" Type="http://schemas.openxmlformats.org/officeDocument/2006/relationships/customXml" Target="../customXml/item1.xml" /><Relationship Id="rId5" Type="http://schemas.openxmlformats.org/officeDocument/2006/relationships/worksheet" Target="worksheets/sheet5.xml" /><Relationship Id="rId11" Type="http://schemas.openxmlformats.org/officeDocument/2006/relationships/styles" Target="styles.xml" /><Relationship Id="rId6" Type="http://schemas.openxmlformats.org/officeDocument/2006/relationships/worksheet" Target="worksheets/sheet6.xml" /><Relationship Id="rId10" Type="http://schemas.openxmlformats.org/officeDocument/2006/relationships/theme" Target="theme/theme1.xml" /><Relationship Id="rId7" Type="http://schemas.openxmlformats.org/officeDocument/2006/relationships/worksheet" Target="worksheets/sheet7.xml" /><Relationship Id="rId2" Type="http://schemas.openxmlformats.org/officeDocument/2006/relationships/worksheet" Target="worksheets/sheet2.xml" /><Relationship Id="rId14" Type="http://schemas.openxmlformats.org/officeDocument/2006/relationships/externalLink" Target="/xl/externalLinks/externalLink1.xml" /><Relationship Id="rId15" Type="http://schemas.openxmlformats.org/officeDocument/2006/relationships/customXml" Target="../customXml/item1.xml" /><Relationship Id="rId16" Type="http://schemas.openxmlformats.org/officeDocument/2006/relationships/externalLink" Target="/xl/externalLinks/externalLink1.xml" /><Relationship Id="rId17" Type="http://schemas.openxmlformats.org/officeDocument/2006/relationships/customXml" Target="../customXml/item1.xml" /><Relationship Id="rId18" Type="http://schemas.openxmlformats.org/officeDocument/2006/relationships/externalLink" Target="/xl/externalLinks/externalLink1.xml" /><Relationship Id="rId19" Type="http://schemas.openxmlformats.org/officeDocument/2006/relationships/customXml" Target="../customXml/item1.xml" /></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_rels/drawing3.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2</xdr:col>
      <xdr:colOff>126969</xdr:colOff>
      <xdr:row>0</xdr:row>
      <xdr:rowOff>167640</xdr:rowOff>
    </xdr:from>
    <xdr:to>
      <xdr:col>3</xdr:col>
      <xdr:colOff>482203</xdr:colOff>
      <xdr:row>6</xdr:row>
      <xdr:rowOff>28575</xdr:rowOff>
    </xdr:to>
    <xdr:pic macro="[0]!Measurements_Clear">
      <xdr:nvPicPr>
        <xdr:cNvPr id="2" name="Picture 1">
          <a:extLst xmlns:a="http://schemas.openxmlformats.org/drawingml/2006/main">
            <a:ext uri="{FF2B5EF4-FFF2-40B4-BE49-F238E27FC236}">
              <a16:creationId xmlns:a16="http://schemas.microsoft.com/office/drawing/2014/main" id="{00000000-0008-0000-0000-000002000000}"/>
            </a:ext>
          </a:extLst>
        </xdr:cNvPr>
        <xdr:cNvPicPr>
          <a:picLocks noChangeAspect="1"/>
        </xdr:cNvPicPr>
      </xdr:nvPicPr>
      <xdr:blipFill>
        <a:blip xmlns:d5p1="http://schemas.openxmlformats.org/officeDocument/2006/relationships" d5p1:embed="rId1">
          <a:extLst xmlns:a="http://schemas.openxmlformats.org/drawingml/2006/main">
            <a:ext uri="{28A0092B-C50C-407E-A947-70E740481C1C}">
              <a14:useLocalDpi xmlns:a14="http://schemas.microsoft.com/office/drawing/2010/main" val="0"/>
            </a:ext>
          </a:extLst>
        </a:blip>
        <a:srcRect/>
        <a:stretch>
          <a:fillRect/>
        </a:stretch>
      </xdr:blipFill>
      <xdr:spPr>
        <a:xfrm>
          <a:off x="1344083" y="167217"/>
          <a:ext cx="979497" cy="1067858"/>
        </a:xfrm>
        <a:prstGeom xmlns:a="http://schemas.openxmlformats.org/drawingml/2006/main"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180975</xdr:rowOff>
        </xdr:from>
        <xdr:to>
          <xdr:col>9</xdr:col>
          <xdr:colOff>971494</xdr:colOff>
          <xdr:row>34</xdr:row>
          <xdr:rowOff>171926</xdr:rowOff>
        </xdr:to>
        <xdr:sp xmlns:xdr="http://schemas.openxmlformats.org/drawingml/2006/spreadsheetDrawing" macro="" textlink="">
          <xdr:nvSpPr>
            <xdr:cNvPr id="1025" name="Button 1" hidden="1">
              <a:extLst xmlns:a="http://schemas.openxmlformats.org/drawingml/2006/main">
                <a:ext uri="{63B3BB69-23CF-44E3-9099-C40C66FF867C}">
                  <a14:compatExt xmlns:a14="http://schemas.microsoft.com/office/drawing/2010/main" spid="_x0000_s1025"/>
                </a:ext>
                <a:ext uri="{FF2B5EF4-FFF2-40B4-BE49-F238E27FC236}">
                  <a16:creationId xmlns:a16="http://schemas.microsoft.com/office/drawing/2014/main" id="{00000000-0008-0000-0500-000001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PUSH TO SELECTED ACCELERATOR (FROM MEASURE TAB)</a:t>
              </a:r>
            </a:p>
          </xdr:txBody>
        </xdr:sp>
        <xdr:clientData/>
      </xdr:twoCellAnchor>
    </mc:Choice>
  </mc:AlternateContent>
  <mc:AlternateContent xmlns:mc="http://schemas.openxmlformats.org/markup-compatibility/2006">
    <mc:Choice xmlns:a14="http://schemas.microsoft.com/office/drawing/2010/main" Requires="a14">
      <xdr:twoCellAnchor>
        <xdr:from>
          <xdr:col>3</xdr:col>
          <xdr:colOff>381428</xdr:colOff>
          <xdr:row>2</xdr:row>
          <xdr:rowOff>38576</xdr:rowOff>
        </xdr:from>
        <xdr:to>
          <xdr:col>4</xdr:col>
          <xdr:colOff>676517</xdr:colOff>
          <xdr:row>2</xdr:row>
          <xdr:rowOff>219075</xdr:rowOff>
        </xdr:to>
        <xdr:sp xmlns:xdr="http://schemas.openxmlformats.org/drawingml/2006/spreadsheetDrawing" macro="" textlink="">
          <xdr:nvSpPr>
            <xdr:cNvPr id="1026" name="Button 2" hidden="1">
              <a:extLst xmlns:a="http://schemas.openxmlformats.org/drawingml/2006/main">
                <a:ext uri="{63B3BB69-23CF-44E3-9099-C40C66FF867C}">
                  <a14:compatExt xmlns:a14="http://schemas.microsoft.com/office/drawing/2010/main" spid="_x0000_s1026"/>
                </a:ext>
                <a:ext uri="{FF2B5EF4-FFF2-40B4-BE49-F238E27FC236}">
                  <a16:creationId xmlns:a16="http://schemas.microsoft.com/office/drawing/2014/main" id="{00000000-0008-0000-0500-000002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mc:AlternateContent xmlns:mc="http://schemas.openxmlformats.org/markup-compatibility/2006">
    <mc:Choice xmlns:a14="http://schemas.microsoft.com/office/drawing/2010/main" Requires="a14">
      <xdr:twoCellAnchor>
        <xdr:from>
          <xdr:col>8</xdr:col>
          <xdr:colOff>419323</xdr:colOff>
          <xdr:row>2</xdr:row>
          <xdr:rowOff>38576</xdr:rowOff>
        </xdr:from>
        <xdr:to>
          <xdr:col>9</xdr:col>
          <xdr:colOff>961913</xdr:colOff>
          <xdr:row>3</xdr:row>
          <xdr:rowOff>0</xdr:rowOff>
        </xdr:to>
        <xdr:sp xmlns:xdr="http://schemas.openxmlformats.org/drawingml/2006/spreadsheetDrawing" macro="" textlink="">
          <xdr:nvSpPr>
            <xdr:cNvPr id="1027" name="Button 3" hidden="1">
              <a:extLst xmlns:a="http://schemas.openxmlformats.org/drawingml/2006/main">
                <a:ext uri="{63B3BB69-23CF-44E3-9099-C40C66FF867C}">
                  <a14:compatExt xmlns:a14="http://schemas.microsoft.com/office/drawing/2010/main" spid="_x0000_s1027"/>
                </a:ext>
                <a:ext uri="{FF2B5EF4-FFF2-40B4-BE49-F238E27FC236}">
                  <a16:creationId xmlns:a16="http://schemas.microsoft.com/office/drawing/2014/main" id="{00000000-0008-0000-0500-000003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126969</xdr:colOff>
      <xdr:row>0</xdr:row>
      <xdr:rowOff>167640</xdr:rowOff>
    </xdr:from>
    <xdr:to>
      <xdr:col>3</xdr:col>
      <xdr:colOff>482203</xdr:colOff>
      <xdr:row>6</xdr:row>
      <xdr:rowOff>28575</xdr:rowOff>
    </xdr:to>
    <xdr:pic macro="[0]!Measurements_Clear">
      <xdr:nvPicPr>
        <xdr:cNvPr id="2" name="Picture 1">
          <a:extLst xmlns:a="http://schemas.openxmlformats.org/drawingml/2006/main">
            <a:ext uri="{FF2B5EF4-FFF2-40B4-BE49-F238E27FC236}">
              <a16:creationId xmlns:a16="http://schemas.microsoft.com/office/drawing/2014/main" id="{00000000-0008-0000-0000-000002000000}"/>
            </a:ext>
          </a:extLst>
        </xdr:cNvPr>
        <xdr:cNvPicPr>
          <a:picLocks noChangeAspect="1"/>
        </xdr:cNvPicPr>
      </xdr:nvPicPr>
      <xdr:blipFill>
        <a:blip xmlns:d5p1="http://schemas.openxmlformats.org/officeDocument/2006/relationships" d5p1:embed="rId1">
          <a:extLst xmlns:a="http://schemas.openxmlformats.org/drawingml/2006/main">
            <a:ext uri="{28A0092B-C50C-407E-A947-70E740481C1C}">
              <a14:useLocalDpi xmlns:a14="http://schemas.microsoft.com/office/drawing/2010/main" val="0"/>
            </a:ext>
          </a:extLst>
        </a:blip>
        <a:srcRect/>
        <a:stretch>
          <a:fillRect/>
        </a:stretch>
      </xdr:blipFill>
      <xdr:spPr>
        <a:xfrm>
          <a:off x="1344083" y="167217"/>
          <a:ext cx="979497" cy="1067858"/>
        </a:xfrm>
        <a:prstGeom xmlns:a="http://schemas.openxmlformats.org/drawingml/2006/main" prst="rect">
          <a:avLst/>
        </a:prstGeom>
        <a:noFill/>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180975</xdr:rowOff>
        </xdr:from>
        <xdr:to>
          <xdr:col>9</xdr:col>
          <xdr:colOff>971494</xdr:colOff>
          <xdr:row>34</xdr:row>
          <xdr:rowOff>171926</xdr:rowOff>
        </xdr:to>
        <xdr:sp xmlns:xdr="http://schemas.openxmlformats.org/drawingml/2006/spreadsheetDrawing" macro="" textlink="">
          <xdr:nvSpPr>
            <xdr:cNvPr id="1025" name="Button 1" hidden="1">
              <a:extLst xmlns:a="http://schemas.openxmlformats.org/drawingml/2006/main">
                <a:ext uri="{63B3BB69-23CF-44E3-9099-C40C66FF867C}">
                  <a14:compatExt xmlns:a14="http://schemas.microsoft.com/office/drawing/2010/main" spid="_x0000_s1025"/>
                </a:ext>
                <a:ext uri="{FF2B5EF4-FFF2-40B4-BE49-F238E27FC236}">
                  <a16:creationId xmlns:a16="http://schemas.microsoft.com/office/drawing/2014/main" id="{00000000-0008-0000-0500-000001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PUSH TO SELECTED ACCELERATOR (FROM MEASURE TAB)</a:t>
              </a:r>
            </a:p>
          </xdr:txBody>
        </xdr:sp>
        <xdr:clientData/>
      </xdr:twoCellAnchor>
    </mc:Choice>
  </mc:AlternateContent>
  <mc:AlternateContent xmlns:mc="http://schemas.openxmlformats.org/markup-compatibility/2006">
    <mc:Choice xmlns:a14="http://schemas.microsoft.com/office/drawing/2010/main" Requires="a14">
      <xdr:twoCellAnchor>
        <xdr:from>
          <xdr:col>3</xdr:col>
          <xdr:colOff>381428</xdr:colOff>
          <xdr:row>2</xdr:row>
          <xdr:rowOff>38576</xdr:rowOff>
        </xdr:from>
        <xdr:to>
          <xdr:col>4</xdr:col>
          <xdr:colOff>676517</xdr:colOff>
          <xdr:row>2</xdr:row>
          <xdr:rowOff>219075</xdr:rowOff>
        </xdr:to>
        <xdr:sp xmlns:xdr="http://schemas.openxmlformats.org/drawingml/2006/spreadsheetDrawing" macro="" textlink="">
          <xdr:nvSpPr>
            <xdr:cNvPr id="1026" name="Button 2" hidden="1">
              <a:extLst xmlns:a="http://schemas.openxmlformats.org/drawingml/2006/main">
                <a:ext uri="{63B3BB69-23CF-44E3-9099-C40C66FF867C}">
                  <a14:compatExt xmlns:a14="http://schemas.microsoft.com/office/drawing/2010/main" spid="_x0000_s1026"/>
                </a:ext>
                <a:ext uri="{FF2B5EF4-FFF2-40B4-BE49-F238E27FC236}">
                  <a16:creationId xmlns:a16="http://schemas.microsoft.com/office/drawing/2014/main" id="{00000000-0008-0000-0500-000002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mc:AlternateContent xmlns:mc="http://schemas.openxmlformats.org/markup-compatibility/2006">
    <mc:Choice xmlns:a14="http://schemas.microsoft.com/office/drawing/2010/main" Requires="a14">
      <xdr:twoCellAnchor>
        <xdr:from>
          <xdr:col>8</xdr:col>
          <xdr:colOff>419323</xdr:colOff>
          <xdr:row>2</xdr:row>
          <xdr:rowOff>38576</xdr:rowOff>
        </xdr:from>
        <xdr:to>
          <xdr:col>9</xdr:col>
          <xdr:colOff>961913</xdr:colOff>
          <xdr:row>3</xdr:row>
          <xdr:rowOff>0</xdr:rowOff>
        </xdr:to>
        <xdr:sp xmlns:xdr="http://schemas.openxmlformats.org/drawingml/2006/spreadsheetDrawing" macro="" textlink="">
          <xdr:nvSpPr>
            <xdr:cNvPr id="1027" name="Button 3" hidden="1">
              <a:extLst xmlns:a="http://schemas.openxmlformats.org/drawingml/2006/main">
                <a:ext uri="{63B3BB69-23CF-44E3-9099-C40C66FF867C}">
                  <a14:compatExt xmlns:a14="http://schemas.microsoft.com/office/drawing/2010/main" spid="_x0000_s1027"/>
                </a:ext>
                <a:ext uri="{FF2B5EF4-FFF2-40B4-BE49-F238E27FC236}">
                  <a16:creationId xmlns:a16="http://schemas.microsoft.com/office/drawing/2014/main" id="{00000000-0008-0000-0500-000003040000}"/>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Century Gothic"/>
                </a:rPr>
                <a:t>Clear Values</a:t>
              </a:r>
            </a:p>
          </xdr:txBody>
        </xdr:sp>
        <xdr:clientData/>
      </xdr:twoCellAnchor>
    </mc:Choice>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Z:\Users\Rex\Dropbox\Cardan.Uab.Machines\QA%20Documents\Users\Rex\Desktop\Cardan_Annual.xlsx" TargetMode="External" /></Relationships>
</file>

<file path=xl/externalLinks/externalLink1.xml><?xml version="1.0" encoding="utf-8"?>
<externalLink xmlns="http://schemas.openxmlformats.org/spreadsheetml/2006/main">
  <externalBook xmlns:d2p1="http://schemas.openxmlformats.org/officeDocument/2006/relationships" d2p1: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v>
          </cell>
          <cell r="G3">
            <v>1</v>
          </cell>
          <cell r="H3">
            <v>1.033</v>
          </cell>
          <cell r="I3">
            <v>1.053</v>
          </cell>
          <cell r="K3">
            <v>1.081</v>
          </cell>
          <cell r="L3">
            <v>1.1</v>
          </cell>
          <cell r="M3">
            <v>0.701</v>
          </cell>
          <cell r="N3">
            <v>0.537</v>
          </cell>
          <cell r="O3">
            <v>0.479</v>
          </cell>
          <cell r="P3">
            <v>0.393</v>
          </cell>
          <cell r="Q3">
            <v>0.949</v>
          </cell>
          <cell r="R3">
            <v>0.924</v>
          </cell>
          <cell r="S3">
            <v>0.9</v>
          </cell>
          <cell r="T3">
            <v>0.876</v>
          </cell>
          <cell r="U3">
            <v>0.85</v>
          </cell>
          <cell r="V3">
            <v>0.766</v>
          </cell>
          <cell r="W3">
            <v>0.654</v>
          </cell>
        </row>
        <row r="4">
          <cell r="A4">
            <v>15</v>
          </cell>
          <cell r="C4">
            <v>2.7</v>
          </cell>
          <cell r="E4">
            <v>0.944</v>
          </cell>
          <cell r="G4">
            <v>1</v>
          </cell>
          <cell r="H4">
            <v>1.029</v>
          </cell>
          <cell r="I4">
            <v>1.049</v>
          </cell>
          <cell r="K4">
            <v>1.074</v>
          </cell>
          <cell r="L4">
            <v>1.088</v>
          </cell>
          <cell r="M4">
            <v>0.75</v>
          </cell>
          <cell r="N4">
            <v>0.607</v>
          </cell>
          <cell r="O4">
            <v>0.517</v>
          </cell>
          <cell r="P4">
            <v>0.428</v>
          </cell>
          <cell r="Q4">
            <v>0.961</v>
          </cell>
          <cell r="R4">
            <v>0.941</v>
          </cell>
          <cell r="S4">
            <v>0.922</v>
          </cell>
          <cell r="T4">
            <v>0.902</v>
          </cell>
          <cell r="U4">
            <v>0.882</v>
          </cell>
          <cell r="V4">
            <v>0.811</v>
          </cell>
          <cell r="W4">
            <v>0.713</v>
          </cell>
        </row>
        <row r="8">
          <cell r="A8">
            <v>6</v>
          </cell>
          <cell r="C8">
            <v>1.3</v>
          </cell>
          <cell r="D8">
            <v>0.967</v>
          </cell>
          <cell r="E8">
            <v>1</v>
          </cell>
          <cell r="F8">
            <v>1.002</v>
          </cell>
          <cell r="G8">
            <v>1.01</v>
          </cell>
          <cell r="H8">
            <v>1.005</v>
          </cell>
        </row>
        <row r="9">
          <cell r="A9">
            <v>9</v>
          </cell>
          <cell r="C9">
            <v>2</v>
          </cell>
          <cell r="D9">
            <v>0.982</v>
          </cell>
          <cell r="E9">
            <v>1</v>
          </cell>
          <cell r="F9">
            <v>1</v>
          </cell>
          <cell r="G9">
            <v>0.987</v>
          </cell>
          <cell r="H9">
            <v>0.965</v>
          </cell>
        </row>
        <row r="10">
          <cell r="A10">
            <v>12</v>
          </cell>
          <cell r="C10">
            <v>2.9</v>
          </cell>
          <cell r="D10">
            <v>0.981</v>
          </cell>
          <cell r="E10">
            <v>1</v>
          </cell>
          <cell r="F10">
            <v>0.992</v>
          </cell>
          <cell r="G10">
            <v>0.978</v>
          </cell>
          <cell r="H10">
            <v>0.951</v>
          </cell>
        </row>
        <row r="11">
          <cell r="A11">
            <v>15</v>
          </cell>
          <cell r="C11">
            <v>3.2</v>
          </cell>
          <cell r="D11">
            <v>0.989</v>
          </cell>
          <cell r="E11">
            <v>1</v>
          </cell>
          <cell r="F11">
            <v>0.985</v>
          </cell>
          <cell r="G11">
            <v>0.974</v>
          </cell>
          <cell r="H11">
            <v>0.944</v>
          </cell>
        </row>
        <row r="12">
          <cell r="A12">
            <v>18</v>
          </cell>
          <cell r="C12">
            <v>2.2</v>
          </cell>
          <cell r="D12">
            <v>0.998</v>
          </cell>
          <cell r="E12">
            <v>1</v>
          </cell>
          <cell r="F12">
            <v>0.978</v>
          </cell>
          <cell r="G12">
            <v>0.963</v>
          </cell>
          <cell r="H12">
            <v>0.929</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3" Type="http://schemas.openxmlformats.org/officeDocument/2006/relationships/vmlDrawing" Target="/xl/drawings/vmlDrawing1.vml" /><Relationship Id="rId2" Type="http://schemas.openxmlformats.org/officeDocument/2006/relationships/drawing" Target="/xl/drawings/drawing1.xml" /><Relationship Id="rId1" Type="http://schemas.openxmlformats.org/officeDocument/2006/relationships/printerSettings" Target="../printerSettings/printerSettings1.bin" /><Relationship Id="rId4" Type="http://schemas.openxmlformats.org/officeDocument/2006/relationships/comments" Target="/xl/comments1.xml" /></Relationships>
</file>

<file path=xl/worksheets/_rels/sheet3.xml.rels><?xml version="1.0" encoding="utf-8" standalone="yes"?><Relationships xmlns="http://schemas.openxmlformats.org/package/2006/relationships"><Relationship Id="rId3" Type="http://schemas.openxmlformats.org/officeDocument/2006/relationships/comments" Target="/xl/comments2.xml" /><Relationship Id="rId2" Type="http://schemas.openxmlformats.org/officeDocument/2006/relationships/vmlDrawing" Target="/xl/drawings/vmlDrawing2.vml" /><Relationship Id="rId1" Type="http://schemas.openxmlformats.org/officeDocument/2006/relationships/printerSettings" Target="../printerSettings/printerSettings2.bin" /></Relationships>
</file>

<file path=xl/worksheets/_rels/sheet5.xml.rels><?xml version="1.0" encoding="utf-8" standalone="yes"?><Relationships xmlns="http://schemas.openxmlformats.org/package/2006/relationships"><Relationship Id="rId3" Type="http://schemas.openxmlformats.org/officeDocument/2006/relationships/comments" Target="/xl/comments3.xml" /><Relationship Id="rId2" Type="http://schemas.openxmlformats.org/officeDocument/2006/relationships/vmlDrawing" Target="/xl/drawings/vmlDrawing3.vml" /><Relationship Id="rId1" Type="http://schemas.openxmlformats.org/officeDocument/2006/relationships/printerSettings" Target="../printerSettings/printerSettings3.bin" /></Relationships>
</file>

<file path=xl/worksheets/_rels/sheet7.xml.rels><?xml version="1.0" encoding="utf-8" standalone="yes"?><Relationships xmlns="http://schemas.openxmlformats.org/package/2006/relationships"><Relationship Id="rId3" Type="http://schemas.openxmlformats.org/officeDocument/2006/relationships/vmlDrawing" Target="/xl/drawings/vmlDrawing4.vml" /><Relationship Id="rId7" Type="http://schemas.openxmlformats.org/officeDocument/2006/relationships/comments" Target="/xl/comments4.xml" /><Relationship Id="rId2" Type="http://schemas.openxmlformats.org/officeDocument/2006/relationships/drawing" Target="/xl/drawings/drawing2.xml" /><Relationship Id="rId1" Type="http://schemas.openxmlformats.org/officeDocument/2006/relationships/printerSettings" Target="../printerSettings/printerSettings4.bin" /><Relationship Id="rId6" Type="http://schemas.openxmlformats.org/officeDocument/2006/relationships/ctrlProp" Target="../ctrlProps/ctrlProp3.xml" /><Relationship Id="rId5" Type="http://schemas.openxmlformats.org/officeDocument/2006/relationships/ctrlProp" Target="../ctrlProps/ctrlProp2.xml" /><Relationship Id="rId4" Type="http://schemas.openxmlformats.org/officeDocument/2006/relationships/ctrlProp" Target="../ctrlProps/ctrlProp1.xml" /></Relationships>
</file>

<file path=xl/worksheets/_rels/sheet8.xml.rels><?xml version="1.0" encoding="utf-8" standalone="yes"?><Relationships xmlns="http://schemas.openxmlformats.org/package/2006/relationships"><Relationship Id="rId3" Type="http://schemas.openxmlformats.org/officeDocument/2006/relationships/comments" Target="/xl/comments5.xml" /><Relationship Id="rId2" Type="http://schemas.openxmlformats.org/officeDocument/2006/relationships/vmlDrawing" Target="/xl/drawings/vmlDrawing5.vml" /><Relationship Id="rId1" Type="http://schemas.openxmlformats.org/officeDocument/2006/relationships/printerSettings" Target="../printerSettings/printerSettings5.bin"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N15"/>
  <sheetViews>
    <sheetView view="normal" workbookViewId="0">
      <selection pane="topLeft" activeCell="L2" sqref="L2"/>
    </sheetView>
  </sheetViews>
  <sheetFormatPr defaultColWidth="8.5625" defaultRowHeight="14.25" baseColWidth="0"/>
  <cols>
    <col min="1" max="2" width="8.5625" style="208" customWidth="1"/>
    <col min="3" max="3" width="10.3125" style="208" customWidth="1"/>
    <col min="4" max="8" width="8.5625" style="208" customWidth="1"/>
    <col min="9" max="9" width="11.94140625" style="208" customWidth="1"/>
    <col min="10" max="10" width="15" style="208" customWidth="1"/>
    <col min="11" max="11" width="17.12109375" style="208" customWidth="1"/>
    <col min="12" max="16384" width="8.5625" style="208" customWidth="1"/>
  </cols>
  <sheetData>
    <row r="1" spans="1:14">
      <c r="A1" s="208" t="s">
        <v>119</v>
      </c>
      <c r="B1" s="208" t="s">
        <v>120</v>
      </c>
      <c r="C1" s="208" t="s">
        <v>121</v>
      </c>
      <c r="D1" s="208" t="s">
        <v>122</v>
      </c>
      <c r="E1" s="208" t="s">
        <v>123</v>
      </c>
      <c r="F1" s="208" t="s">
        <v>124</v>
      </c>
      <c r="G1" s="208" t="s">
        <v>125</v>
      </c>
      <c r="H1" s="208" t="s">
        <v>126</v>
      </c>
      <c r="I1" s="208" t="s">
        <v>127</v>
      </c>
      <c r="J1" s="208" t="s">
        <v>128</v>
      </c>
      <c r="K1" s="208" t="s">
        <v>129</v>
      </c>
      <c r="L1" s="208" t="s">
        <v>130</v>
      </c>
      <c r="M1" s="208" t="s">
        <v>131</v>
      </c>
      <c r="N1" s="208" t="s">
        <v>132</v>
      </c>
    </row>
    <row r="2" spans="1:14">
      <c r="A2" s="274" t="s">
        <v>133</v>
      </c>
      <c r="B2" s="274" t="s">
        <v>134</v>
      </c>
      <c r="C2" s="274">
        <v>100</v>
      </c>
      <c r="D2" s="274"/>
      <c r="E2" s="274">
        <v>5</v>
      </c>
      <c r="F2" s="274">
        <v>5</v>
      </c>
      <c r="G2" s="274">
        <v>5</v>
      </c>
      <c r="H2" s="274">
        <v>5</v>
      </c>
      <c r="I2" s="274">
        <v>600</v>
      </c>
      <c r="J2" s="274">
        <v>100</v>
      </c>
      <c r="K2" s="274">
        <v>2</v>
      </c>
      <c r="L2" s="274">
        <v>-1.332E-07</v>
      </c>
      <c r="M2" s="274">
        <v>-1.332E-07</v>
      </c>
      <c r="N2" s="274"/>
    </row>
    <row r="3" spans="1:14">
      <c r="A3" s="274" t="s">
        <v>135</v>
      </c>
      <c r="B3" s="274" t="s">
        <v>134</v>
      </c>
      <c r="C3" s="274">
        <v>100</v>
      </c>
      <c r="D3" s="274"/>
      <c r="E3" s="274">
        <v>5</v>
      </c>
      <c r="F3" s="274">
        <v>5</v>
      </c>
      <c r="G3" s="274">
        <v>5</v>
      </c>
      <c r="H3" s="274">
        <v>5</v>
      </c>
      <c r="I3" s="274">
        <v>600</v>
      </c>
      <c r="J3" s="274">
        <v>100</v>
      </c>
      <c r="K3" s="274">
        <v>2</v>
      </c>
      <c r="L3" s="274">
        <v>-1.513E-07</v>
      </c>
      <c r="M3" s="274">
        <v>-1.513E-07</v>
      </c>
      <c r="N3" s="274"/>
    </row>
    <row r="4" spans="1:14">
      <c r="A4" s="274" t="s">
        <v>133</v>
      </c>
      <c r="B4" s="274" t="s">
        <v>134</v>
      </c>
      <c r="C4" s="274">
        <v>100</v>
      </c>
      <c r="D4" s="274"/>
      <c r="E4" s="274">
        <v>5</v>
      </c>
      <c r="F4" s="274">
        <v>5</v>
      </c>
      <c r="G4" s="274">
        <v>5</v>
      </c>
      <c r="H4" s="274">
        <v>5</v>
      </c>
      <c r="I4" s="274">
        <v>600</v>
      </c>
      <c r="J4" s="274">
        <v>16</v>
      </c>
      <c r="K4" s="274">
        <v>2</v>
      </c>
      <c r="L4" s="274">
        <v>-1.994E-07</v>
      </c>
      <c r="M4" s="274">
        <v>-1.993E-07</v>
      </c>
      <c r="N4" s="274"/>
    </row>
    <row r="5" spans="1:14">
      <c r="A5" s="274" t="s">
        <v>135</v>
      </c>
      <c r="B5" s="274" t="s">
        <v>134</v>
      </c>
      <c r="C5" s="274">
        <v>100</v>
      </c>
      <c r="D5" s="274"/>
      <c r="E5" s="274">
        <v>5</v>
      </c>
      <c r="F5" s="274">
        <v>5</v>
      </c>
      <c r="G5" s="274">
        <v>5</v>
      </c>
      <c r="H5" s="274">
        <v>5</v>
      </c>
      <c r="I5" s="274">
        <v>600</v>
      </c>
      <c r="J5" s="274">
        <v>27</v>
      </c>
      <c r="K5" s="274">
        <v>2</v>
      </c>
      <c r="L5" s="274">
        <v>-1.966E-07</v>
      </c>
      <c r="M5" s="274">
        <v>-1.966E-07</v>
      </c>
      <c r="N5" s="274"/>
    </row>
    <row r="6" spans="1:14">
      <c r="A6" s="274" t="s">
        <v>9</v>
      </c>
      <c r="B6" s="274" t="s">
        <v>134</v>
      </c>
      <c r="C6" s="274">
        <v>100</v>
      </c>
      <c r="D6" s="274" t="s">
        <v>136</v>
      </c>
      <c r="E6" s="274"/>
      <c r="F6" s="274"/>
      <c r="G6" s="274"/>
      <c r="H6" s="274"/>
      <c r="I6" s="274">
        <v>600</v>
      </c>
      <c r="J6" s="274">
        <v>14.8</v>
      </c>
      <c r="K6" s="274">
        <v>2</v>
      </c>
      <c r="L6" s="274">
        <v>-2.183E-07</v>
      </c>
      <c r="M6" s="274">
        <v>-2.182E-07</v>
      </c>
      <c r="N6" s="274"/>
    </row>
    <row r="7" spans="1:14">
      <c r="A7" s="274" t="s">
        <v>9</v>
      </c>
      <c r="B7" s="274" t="s">
        <v>134</v>
      </c>
      <c r="C7" s="274">
        <v>100</v>
      </c>
      <c r="D7" s="274" t="s">
        <v>136</v>
      </c>
      <c r="E7" s="274"/>
      <c r="F7" s="274"/>
      <c r="G7" s="274"/>
      <c r="H7" s="274"/>
      <c r="I7" s="274">
        <v>600</v>
      </c>
      <c r="J7" s="274">
        <v>21.5</v>
      </c>
      <c r="K7" s="274">
        <v>2</v>
      </c>
      <c r="L7" s="274">
        <v>-1.584E-07</v>
      </c>
      <c r="M7" s="274">
        <v>-1.59E-07</v>
      </c>
      <c r="N7" s="274"/>
    </row>
    <row r="8" spans="1:14">
      <c r="A8" s="274" t="s">
        <v>10</v>
      </c>
      <c r="B8" s="274" t="s">
        <v>134</v>
      </c>
      <c r="C8" s="274">
        <v>100</v>
      </c>
      <c r="D8" s="274" t="s">
        <v>136</v>
      </c>
      <c r="E8" s="274"/>
      <c r="F8" s="274"/>
      <c r="G8" s="274"/>
      <c r="H8" s="274"/>
      <c r="I8" s="274">
        <v>600</v>
      </c>
      <c r="J8" s="274">
        <v>22.1</v>
      </c>
      <c r="K8" s="274">
        <v>2</v>
      </c>
      <c r="L8" s="274">
        <v>-2.197E-07</v>
      </c>
      <c r="M8" s="274">
        <v>-2.197E-07</v>
      </c>
      <c r="N8" s="274"/>
    </row>
    <row r="9" spans="1:14">
      <c r="A9" s="274" t="s">
        <v>10</v>
      </c>
      <c r="B9" s="274" t="s">
        <v>134</v>
      </c>
      <c r="C9" s="274">
        <v>100</v>
      </c>
      <c r="D9" s="274" t="s">
        <v>136</v>
      </c>
      <c r="E9" s="274"/>
      <c r="F9" s="274"/>
      <c r="G9" s="274"/>
      <c r="H9" s="274"/>
      <c r="I9" s="274">
        <v>600</v>
      </c>
      <c r="J9" s="274">
        <v>31.5</v>
      </c>
      <c r="K9" s="274">
        <v>2</v>
      </c>
      <c r="L9" s="274">
        <v>-1.686E-07</v>
      </c>
      <c r="M9" s="274">
        <v>-1.687E-07</v>
      </c>
      <c r="N9" s="274"/>
    </row>
    <row r="10" spans="1:14">
      <c r="A10" s="274" t="s">
        <v>11</v>
      </c>
      <c r="B10" s="274" t="s">
        <v>134</v>
      </c>
      <c r="C10" s="274">
        <v>100</v>
      </c>
      <c r="D10" s="274" t="s">
        <v>136</v>
      </c>
      <c r="E10" s="274"/>
      <c r="F10" s="274"/>
      <c r="G10" s="274"/>
      <c r="H10" s="274"/>
      <c r="I10" s="274">
        <v>600</v>
      </c>
      <c r="J10" s="274">
        <v>30.8</v>
      </c>
      <c r="K10" s="274">
        <v>2</v>
      </c>
      <c r="L10" s="274">
        <v>-2.24E-07</v>
      </c>
      <c r="M10" s="274">
        <v>-2.241E-07</v>
      </c>
      <c r="N10" s="274"/>
    </row>
    <row r="11" spans="1:14">
      <c r="A11" s="274" t="s">
        <v>11</v>
      </c>
      <c r="B11" s="274" t="s">
        <v>134</v>
      </c>
      <c r="C11" s="274">
        <v>100</v>
      </c>
      <c r="D11" s="274" t="s">
        <v>136</v>
      </c>
      <c r="E11" s="274"/>
      <c r="F11" s="274"/>
      <c r="G11" s="274"/>
      <c r="H11" s="274"/>
      <c r="I11" s="274">
        <v>600</v>
      </c>
      <c r="J11" s="274">
        <v>44.5</v>
      </c>
      <c r="K11" s="274">
        <v>2</v>
      </c>
      <c r="L11" s="274">
        <v>-1.673E-07</v>
      </c>
      <c r="M11" s="274">
        <v>-1.675E-07</v>
      </c>
      <c r="N11" s="274"/>
    </row>
    <row r="12" spans="1:14">
      <c r="A12" s="274" t="s">
        <v>12</v>
      </c>
      <c r="B12" s="274" t="s">
        <v>134</v>
      </c>
      <c r="C12" s="274">
        <v>100</v>
      </c>
      <c r="D12" s="274" t="s">
        <v>136</v>
      </c>
      <c r="E12" s="274"/>
      <c r="F12" s="274"/>
      <c r="G12" s="274"/>
      <c r="H12" s="274"/>
      <c r="I12" s="274">
        <v>600</v>
      </c>
      <c r="J12" s="274">
        <v>38.7</v>
      </c>
      <c r="K12" s="274">
        <v>2</v>
      </c>
      <c r="L12" s="274">
        <v>-2.229E-07</v>
      </c>
      <c r="M12" s="274">
        <v>-2.231E-07</v>
      </c>
      <c r="N12" s="274"/>
    </row>
    <row r="13" spans="1:14">
      <c r="A13" s="274" t="s">
        <v>12</v>
      </c>
      <c r="B13" s="274" t="s">
        <v>134</v>
      </c>
      <c r="C13" s="274">
        <v>100</v>
      </c>
      <c r="D13" s="274" t="s">
        <v>136</v>
      </c>
      <c r="E13" s="274"/>
      <c r="F13" s="274"/>
      <c r="G13" s="274"/>
      <c r="H13" s="274"/>
      <c r="I13" s="274">
        <v>600</v>
      </c>
      <c r="J13" s="274">
        <v>55.5</v>
      </c>
      <c r="K13" s="274">
        <v>2</v>
      </c>
      <c r="L13" s="274">
        <v>-1.698E-07</v>
      </c>
      <c r="M13" s="274">
        <v>-1.701E-07</v>
      </c>
      <c r="N13" s="274"/>
    </row>
    <row r="14" spans="1:14">
      <c r="A14" s="274" t="s">
        <v>13</v>
      </c>
      <c r="B14" s="274" t="s">
        <v>134</v>
      </c>
      <c r="C14" s="274">
        <v>100</v>
      </c>
      <c r="D14" s="274" t="s">
        <v>136</v>
      </c>
      <c r="E14" s="274"/>
      <c r="F14" s="274"/>
      <c r="G14" s="274"/>
      <c r="H14" s="274"/>
      <c r="I14" s="274">
        <v>600</v>
      </c>
      <c r="J14" s="274">
        <v>46.9</v>
      </c>
      <c r="K14" s="274">
        <v>2</v>
      </c>
      <c r="L14" s="274">
        <v>-2.198E-07</v>
      </c>
      <c r="M14" s="274">
        <v>-2.201E-07</v>
      </c>
      <c r="N14" s="274"/>
    </row>
    <row r="15" spans="1:14">
      <c r="A15" s="274" t="s">
        <v>13</v>
      </c>
      <c r="B15" s="274" t="s">
        <v>134</v>
      </c>
      <c r="C15" s="274">
        <v>100</v>
      </c>
      <c r="D15" s="274" t="s">
        <v>136</v>
      </c>
      <c r="E15" s="274"/>
      <c r="F15" s="274"/>
      <c r="G15" s="274"/>
      <c r="H15" s="274"/>
      <c r="I15" s="274">
        <v>600</v>
      </c>
      <c r="J15" s="274">
        <v>65.5</v>
      </c>
      <c r="K15" s="274">
        <v>2</v>
      </c>
      <c r="L15" s="274">
        <v>-1.745E-07</v>
      </c>
      <c r="M15" s="274">
        <v>-1.739E-07</v>
      </c>
      <c r="N15" s="274"/>
    </row>
  </sheetData>
  <pageMargins left="0.7" right="0.7" top="0.75" bottom="0.75" header="0.3" footer="0.3"/>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1">
    <tabColor indexed="8"/>
  </sheetPr>
  <dimension ref="B1:L46"/>
  <sheetViews>
    <sheetView showGridLines="0" zoomScale="90" view="normal" tabSelected="1" workbookViewId="0">
      <selection pane="topLeft" activeCell="J6" sqref="J6"/>
    </sheetView>
  </sheetViews>
  <sheetFormatPr defaultRowHeight="14.25" baseColWidth="0"/>
  <cols>
    <col min="1" max="1" width="4.37109375" customWidth="1"/>
    <col min="2" max="2" width="11.5" customWidth="1"/>
    <col min="3" max="3" width="8.12109375" customWidth="1"/>
    <col min="4" max="4" width="8" customWidth="1"/>
    <col min="5" max="5" width="10.37109375" customWidth="1"/>
    <col min="6" max="6" width="25.37109375" customWidth="1"/>
    <col min="7" max="7" width="15.62109375" customWidth="1"/>
    <col min="8" max="9" width="18.37109375" customWidth="1"/>
    <col min="10" max="10" width="24" customWidth="1"/>
    <col min="11" max="11" width="12.87109375" customWidth="1"/>
    <col min="12" max="12" width="4.62109375" customWidth="1"/>
    <col min="15" max="15" width="37.37109375" customWidth="1"/>
  </cols>
  <sheetData>
    <row r="1" spans="2:12">
      <c r="B1" s="120" t="s">
        <v>114</v>
      </c>
      <c r="C1" s="120"/>
      <c r="D1" s="120"/>
      <c r="E1" s="120"/>
      <c r="F1" s="120"/>
      <c r="G1" s="120"/>
      <c r="H1" s="121" t="s">
        <v>46</v>
      </c>
      <c r="I1" s="121"/>
      <c r="J1" s="121"/>
      <c r="K1" s="121"/>
      <c r="L1" s="43"/>
    </row>
    <row r="2" spans="2:12" ht="11.25" customHeight="1">
      <c r="B2" s="120"/>
      <c r="C2" s="120"/>
      <c r="D2" s="120"/>
      <c r="E2" s="120"/>
      <c r="F2" s="120"/>
      <c r="G2" s="120"/>
      <c r="H2" s="121"/>
      <c r="I2" s="121"/>
      <c r="J2" s="121"/>
      <c r="K2" s="121"/>
      <c r="L2" s="43"/>
    </row>
    <row r="3" spans="2:12">
      <c r="B3" s="40"/>
      <c r="C3" s="40"/>
      <c r="D3" s="40"/>
      <c r="E3" s="40"/>
      <c r="F3" s="41" t="s">
        <v>30</v>
      </c>
      <c r="G3" s="132" t="s">
        <v>69</v>
      </c>
      <c r="H3" s="133"/>
      <c r="I3" s="42" t="s">
        <v>74</v>
      </c>
      <c r="J3" s="3">
        <v>100</v>
      </c>
      <c r="L3" s="43"/>
    </row>
    <row r="4" spans="2:12">
      <c r="B4" s="40"/>
      <c r="C4" s="40"/>
      <c r="D4" s="40"/>
      <c r="E4" s="40"/>
      <c r="F4" s="41" t="s">
        <v>31</v>
      </c>
      <c r="G4" s="130">
        <v>42844</v>
      </c>
      <c r="H4" s="131"/>
      <c r="I4" s="41" t="s">
        <v>28</v>
      </c>
      <c r="J4" s="3">
        <v>20.9</v>
      </c>
      <c r="K4" s="40" t="s">
        <v>32</v>
      </c>
      <c r="L4" s="43"/>
    </row>
    <row r="5" spans="2:12">
      <c r="B5" s="40"/>
      <c r="C5" s="40"/>
      <c r="D5" s="40"/>
      <c r="E5" s="42" t="str">
        <f ca="1">"Ion Chamber (Cal: "&amp;TEXT(Current_Chamber_CalDate,"mm/dd/yyyy")&amp;")"</f>
        <v>Ion Chamber (Cal: 11/09/2016)</v>
      </c>
      <c r="F5" s="137"/>
      <c r="G5" s="132" t="s">
        <v>76</v>
      </c>
      <c r="H5" s="133"/>
      <c r="I5" s="41" t="s">
        <v>29</v>
      </c>
      <c r="J5" s="3">
        <v>749.4</v>
      </c>
      <c r="K5" s="40" t="s">
        <v>33</v>
      </c>
      <c r="L5" s="43"/>
    </row>
    <row r="6" spans="2:12">
      <c r="B6" s="40"/>
      <c r="C6" s="40"/>
      <c r="D6" s="40"/>
      <c r="E6" s="42" t="str">
        <f ca="1">"Electrometer (Cal: "&amp;TEXT(Current_Electrometer_CalDate,"mm/dd/yyyy")&amp;")"</f>
        <v>Electrometer (Cal: 11/05/2015)</v>
      </c>
      <c r="F6" s="137"/>
      <c r="G6" s="132" t="s">
        <v>115</v>
      </c>
      <c r="H6" s="133"/>
      <c r="I6" s="42" t="s">
        <v>35</v>
      </c>
      <c r="J6" s="62">
        <f ca="1">IFERROR(((273.2+T)/295.2)*760/P,"")</f>
        <v>1.0103656547641</v>
      </c>
      <c r="K6" s="40"/>
      <c r="L6" s="43"/>
    </row>
    <row r="7" spans="2:12" ht="7.5" customHeight="1">
      <c r="B7" s="43"/>
      <c r="C7" s="43"/>
      <c r="D7" s="43"/>
      <c r="E7" s="43"/>
      <c r="F7" s="43"/>
      <c r="G7" s="43"/>
      <c r="H7" s="43"/>
      <c r="I7" s="43"/>
      <c r="J7" s="43"/>
      <c r="K7" s="43"/>
      <c r="L7" s="43"/>
    </row>
    <row r="8" spans="2:12" ht="6.75" customHeight="1">
      <c r="B8" s="43"/>
      <c r="C8" s="43"/>
      <c r="D8" s="43"/>
      <c r="E8" s="43"/>
      <c r="F8" s="43"/>
      <c r="G8" s="43"/>
      <c r="H8" s="43"/>
      <c r="I8" s="43"/>
      <c r="J8" s="43"/>
      <c r="K8" s="43"/>
      <c r="L8" s="43"/>
    </row>
    <row r="9" spans="2:11" ht="21" customHeight="1">
      <c r="B9" s="134" t="s">
        <v>3</v>
      </c>
      <c r="C9" s="135"/>
      <c r="D9" s="135"/>
      <c r="E9" s="135"/>
      <c r="F9" s="135"/>
      <c r="G9" s="135"/>
      <c r="H9" s="135"/>
      <c r="I9" s="135"/>
      <c r="J9" s="135"/>
      <c r="K9" s="136"/>
    </row>
    <row r="10" spans="2:11" ht="15.75" customHeight="1" thickBot="1">
      <c r="B10" s="127" t="str">
        <f ca="1">INDEX(Machines!A5:AF20,MATCH(MEASURE!H1,Machines,0),2)&amp;"X"</f>
        <v>6X</v>
      </c>
      <c r="C10" s="128"/>
      <c r="D10" s="128"/>
      <c r="E10" s="128"/>
      <c r="F10" s="128"/>
      <c r="G10" s="128"/>
      <c r="H10" s="128"/>
      <c r="I10" s="128"/>
      <c r="J10" s="128"/>
      <c r="K10" s="129"/>
    </row>
    <row r="11" spans="2:11" ht="15">
      <c r="B11" s="25"/>
      <c r="C11" s="123" t="s">
        <v>71</v>
      </c>
      <c r="D11" s="123"/>
      <c r="E11" s="123"/>
      <c r="F11" s="26" t="s">
        <v>72</v>
      </c>
      <c r="G11" s="123" t="s">
        <v>27</v>
      </c>
      <c r="H11" s="123"/>
      <c r="I11" s="26" t="s">
        <v>34</v>
      </c>
      <c r="J11" s="68" t="s">
        <v>75</v>
      </c>
      <c r="K11" s="85" t="s">
        <v>0</v>
      </c>
    </row>
    <row r="12" spans="2:11" ht="14.65">
      <c r="B12" s="14" t="s">
        <v>2</v>
      </c>
      <c r="C12" s="5" t="s">
        <v>6</v>
      </c>
      <c r="D12" s="5" t="s">
        <v>7</v>
      </c>
      <c r="E12" s="5" t="s">
        <v>8</v>
      </c>
      <c r="F12" s="6" t="s">
        <v>84</v>
      </c>
      <c r="G12" s="6" t="s">
        <v>61</v>
      </c>
      <c r="H12" s="7" t="s">
        <v>62</v>
      </c>
      <c r="I12" s="5"/>
      <c r="J12" s="6" t="str">
        <f ca="1">IF(Current_IsSADType,"M(10) / (TMR(10)*#MU)","M(10)/PDD(10)/#MU")</f>
        <v>M(10) / (TMR(10)*#MU)</v>
      </c>
      <c r="K12" s="344"/>
    </row>
    <row r="13" spans="2:11">
      <c r="B13" s="14">
        <f ca="1">Current_dmax_LowX</f>
        <v>1.6</v>
      </c>
      <c r="C13" s="3">
        <f ca="1">Autodrive!L4*-100000000</f>
        <v>19.94</v>
      </c>
      <c r="D13" s="3">
        <f ca="1">Autodrive!M4*-100000000</f>
        <v>19.93</v>
      </c>
      <c r="E13" s="27">
        <f ca="1">IFERROR(AVERAGE(C13:D13),"")</f>
        <v>19.935</v>
      </c>
      <c r="F13" s="27">
        <f ca="1">IFERROR(E13*Current_Ppol_LowX*Current_Pion_LowX*Current_Pelec*CTP,"")</f>
        <v>20.195460105786</v>
      </c>
      <c r="G13" s="27">
        <f ca="1">IFERROR(F13/(10000000)*Current_NdwCo60,"")</f>
        <v>97.483485930629</v>
      </c>
      <c r="H13" s="27">
        <f ca="1">IFERROR(G13*Current_kQ_LowX,"")</f>
        <v>97.0233638770364</v>
      </c>
      <c r="I13" s="99">
        <f ca="1">IFERROR(E14/E13,"")</f>
        <v>0.668171557562077</v>
      </c>
      <c r="J13" s="100"/>
      <c r="K13" s="342" t="str">
        <f ca="1">IFERROR(IF(ABS(I13-Current_PDD10_LowX)&gt;0.02,"ENERGY FAIL","PASSED"),"")</f>
        <v>PASSED</v>
      </c>
    </row>
    <row r="14" spans="2:11" ht="14.65" thickBot="1">
      <c r="B14" s="14">
        <v>10</v>
      </c>
      <c r="C14" s="22">
        <f ca="1">Autodrive!L2*-100000000</f>
        <v>13.32</v>
      </c>
      <c r="D14" s="22">
        <f ca="1">Autodrive!M2*-100000000</f>
        <v>13.32</v>
      </c>
      <c r="E14" s="27">
        <f ca="1">IFERROR(AVERAGE(C14:D14),"")</f>
        <v>13.32</v>
      </c>
      <c r="F14" s="27">
        <f ca="1">IFERROR(E14*Current_Ppol_LowX*Current_Pelec*Current_Pion_LowX*CTP,"")</f>
        <v>13.4940320345658</v>
      </c>
      <c r="G14" s="27">
        <f ca="1">IFERROR(F14/(10000000)*Current_NdwCo60,"")</f>
        <v>65.1356926308491</v>
      </c>
      <c r="H14" s="27">
        <f ca="1">IFERROR(G14*Current_kQ_LowX,"")</f>
        <v>64.8282521616315</v>
      </c>
      <c r="I14" s="91">
        <f ca="1">IFERROR((H14/Current_TMR_PDD10_LowX)*Current_InvSq/MU,"")</f>
        <v>1.00955193198937</v>
      </c>
      <c r="J14" s="84" t="str">
        <f ca="1">IF(I14="","",TEXT(I14,"0.000") &amp;" cGy/MU @ dmax")</f>
        <v>1.01 cGy/MU @ dmax</v>
      </c>
      <c r="K14" s="87" t="str">
        <f ca="1">IFERROR(IF(ABS(I14-1)&lt;0.02,"PASSED","OUTPUT FAIL"),"")</f>
        <v>PASSED</v>
      </c>
    </row>
    <row r="15" spans="2:11" ht="16.5" customHeight="1" thickBot="1">
      <c r="B15" s="139" t="str">
        <f ca="1">INDEX(Machines!A5:AF20,MATCH(MEASURE!H1,Machines,0),3)&amp;"X"</f>
        <v>15X</v>
      </c>
      <c r="C15" s="140"/>
      <c r="D15" s="140"/>
      <c r="E15" s="140"/>
      <c r="F15" s="140"/>
      <c r="G15" s="140"/>
      <c r="H15" s="140"/>
      <c r="I15" s="140"/>
      <c r="J15" s="140"/>
      <c r="K15" s="138"/>
    </row>
    <row r="16" spans="2:11" ht="15">
      <c r="B16" s="25"/>
      <c r="C16" s="123" t="s">
        <v>71</v>
      </c>
      <c r="D16" s="123"/>
      <c r="E16" s="123"/>
      <c r="F16" s="26" t="s">
        <v>72</v>
      </c>
      <c r="G16" s="122" t="s">
        <v>27</v>
      </c>
      <c r="H16" s="122"/>
      <c r="I16" s="26" t="s">
        <v>34</v>
      </c>
      <c r="J16" s="26" t="s">
        <v>75</v>
      </c>
      <c r="K16" s="85" t="s">
        <v>0</v>
      </c>
    </row>
    <row r="17" spans="2:11" ht="14.65">
      <c r="B17" s="14" t="s">
        <v>2</v>
      </c>
      <c r="C17" s="5" t="s">
        <v>6</v>
      </c>
      <c r="D17" s="5" t="s">
        <v>7</v>
      </c>
      <c r="E17" s="5" t="s">
        <v>8</v>
      </c>
      <c r="F17" s="6" t="s">
        <v>84</v>
      </c>
      <c r="G17" s="6" t="s">
        <v>61</v>
      </c>
      <c r="H17" s="7" t="s">
        <v>62</v>
      </c>
      <c r="I17" s="5"/>
      <c r="J17" s="6" t="str">
        <f ca="1">IF(Current_IsSADType,"M(10) / (TMR(10)*#MU)","M(10)/PDD(10)/#MU")</f>
        <v>M(10) / (TMR(10)*#MU)</v>
      </c>
      <c r="K17" s="378"/>
    </row>
    <row r="18" spans="2:11">
      <c r="B18" s="14">
        <f ca="1">Current_dmax_HighX</f>
        <v>2.7</v>
      </c>
      <c r="C18" s="3">
        <f ca="1">Autodrive!L5*-100000000</f>
        <v>19.66</v>
      </c>
      <c r="D18" s="3">
        <f ca="1">Autodrive!M5*-100000000</f>
        <v>19.66</v>
      </c>
      <c r="E18" s="27">
        <f ca="1">IFERROR(AVERAGE(C18:D18),"")</f>
        <v>19.66</v>
      </c>
      <c r="F18" s="4">
        <f ca="1">IFERROR(E18*Current_Ppol_HighX*Current_Pion_HighX*Current_Pelec*CTP,"")</f>
        <v>19.9526606775118</v>
      </c>
      <c r="G18" s="4">
        <f ca="1">IFERROR(F18/(10000000)*Current_NdwCo60,"")</f>
        <v>96.3114930903495</v>
      </c>
      <c r="H18" s="4">
        <f ca="1">IFERROR(G18*Current_kQ_LowX,"")</f>
        <v>95.8569028429631</v>
      </c>
      <c r="I18" s="99">
        <f ca="1">IFERROR(E19/E18,"")</f>
        <v>0.769582909460834</v>
      </c>
      <c r="J18" s="100"/>
      <c r="K18" s="376" t="str">
        <f ca="1">IFERROR(IF(ABS(I18-Current_PDD10_HighX)&gt;0.02,"ENERGY FAIL","PASSED"),"")</f>
        <v>PASSED</v>
      </c>
    </row>
    <row r="19" spans="2:11" ht="14.65" thickBot="1">
      <c r="B19" s="14">
        <v>10</v>
      </c>
      <c r="C19" s="22">
        <f ca="1">Autodrive!L3*-100000000</f>
        <v>15.13</v>
      </c>
      <c r="D19" s="22">
        <f ca="1">Autodrive!M3*-100000000</f>
        <v>15.13</v>
      </c>
      <c r="E19" s="27">
        <f ca="1">IFERROR(AVERAGE(C19:D19),"")</f>
        <v>15.13</v>
      </c>
      <c r="F19" s="27">
        <f ca="1">IFERROR(E19*Current_Ppol_HighX*Current_Pion_HighX*Current_Pelec*CTP,"")</f>
        <v>15.3552266556843</v>
      </c>
      <c r="G19" s="27">
        <f ca="1">IFERROR(F19/(10000000)*Current_NdwCo60,"")</f>
        <v>74.1196790669881</v>
      </c>
      <c r="H19" s="27">
        <f ca="1">IFERROR(G19*Current_kQ_HighX,"")</f>
        <v>72.6580389957871</v>
      </c>
      <c r="I19" s="91">
        <f ca="1">IFERROR((H19/Current_TMR_PDD10_HighX)*Current_InvSq/MU,"")</f>
        <v>1.0105313469529</v>
      </c>
      <c r="J19" s="84" t="str">
        <f ca="1">IF(I19="","",TEXT(I19,"0.000") &amp;" cGy/MU @ dmax")</f>
        <v>1.011 cGy/MU @ dmax</v>
      </c>
      <c r="K19" s="88" t="str">
        <f ca="1">IFERROR(IF(ABS(I19-1)&lt;0.02,"PASSED","OUTPUT FAIL"),"")</f>
        <v>PASSED</v>
      </c>
    </row>
    <row r="20" ht="6" customHeight="1"/>
    <row r="21" spans="2:11" ht="18.75" customHeight="1">
      <c r="B21" s="124" t="s">
        <v>1</v>
      </c>
      <c r="C21" s="125"/>
      <c r="D21" s="125"/>
      <c r="E21" s="125"/>
      <c r="F21" s="125"/>
      <c r="G21" s="125"/>
      <c r="H21" s="125"/>
      <c r="I21" s="125"/>
      <c r="J21" s="125"/>
      <c r="K21" s="126"/>
    </row>
    <row r="22" spans="2:11" ht="15.75" customHeight="1" thickBot="1">
      <c r="B22" s="127" t="str">
        <f ca="1">INDEX(Machines!A5:AF20,MATCH(MEASURE!H1,Machines,0),4)&amp;"E"</f>
        <v>6E</v>
      </c>
      <c r="C22" s="128"/>
      <c r="D22" s="128"/>
      <c r="E22" s="128"/>
      <c r="F22" s="128"/>
      <c r="G22" s="128"/>
      <c r="H22" s="128"/>
      <c r="I22" s="128"/>
      <c r="J22" s="128"/>
      <c r="K22" s="129"/>
    </row>
    <row r="23" spans="2:11" ht="15">
      <c r="B23" s="25"/>
      <c r="C23" s="123" t="s">
        <v>71</v>
      </c>
      <c r="D23" s="123"/>
      <c r="E23" s="123"/>
      <c r="F23" s="26" t="s">
        <v>72</v>
      </c>
      <c r="G23" s="123" t="s">
        <v>38</v>
      </c>
      <c r="H23" s="123"/>
      <c r="I23" s="26"/>
      <c r="J23" s="26" t="s">
        <v>75</v>
      </c>
      <c r="K23" s="85" t="s">
        <v>0</v>
      </c>
    </row>
    <row r="24" spans="2:11" ht="14.65">
      <c r="B24" s="14" t="s">
        <v>2</v>
      </c>
      <c r="C24" s="5" t="s">
        <v>6</v>
      </c>
      <c r="D24" s="5" t="s">
        <v>7</v>
      </c>
      <c r="E24" s="5" t="s">
        <v>8</v>
      </c>
      <c r="F24" s="6" t="s">
        <v>84</v>
      </c>
      <c r="G24" s="6" t="s">
        <v>61</v>
      </c>
      <c r="H24" s="7" t="s">
        <v>87</v>
      </c>
      <c r="I24" s="5"/>
      <c r="J24" s="6" t="s">
        <v>39</v>
      </c>
      <c r="K24" s="382"/>
    </row>
    <row r="25" spans="2:11" ht="14.65" thickBot="1">
      <c r="B25" s="55" t="e">
        <f ca="1">TEXT(Current_dref_E1+0.5*Current_rcav,"0.00")</f>
        <v>#NAME?</v>
      </c>
      <c r="C25" s="3">
        <f ca="1">Autodrive!L6*-100000000</f>
        <v>21.83</v>
      </c>
      <c r="D25" s="3">
        <f ca="1">Autodrive!M6*-100000000</f>
        <v>21.82</v>
      </c>
      <c r="E25" s="27">
        <f ca="1">IFERROR(AVERAGE(C25:D25),"")</f>
        <v>21.825</v>
      </c>
      <c r="F25" s="4">
        <f ca="1">IFERROR(E25*Current_Ppol_E1*Current_Pion_E1*Current_Pelec*CTP,"")</f>
        <v>22.380398569804</v>
      </c>
      <c r="G25" s="4">
        <f ca="1">IFERROR(F25/(10000000)*Current_NdwCo60,"")</f>
        <v>108.030183896444</v>
      </c>
      <c r="H25" s="4">
        <f ca="1">IFERROR(G25*Current_kecal*Current_E1kpR50/Current_ConeF_E1,"")</f>
        <v>100.658813466338</v>
      </c>
      <c r="I25" s="92">
        <f ca="1">IFERROR((H25/Current_elPDD_E1)/MU,"")</f>
        <v>1.0073940499033</v>
      </c>
      <c r="J25" s="84" t="str">
        <f ca="1">IF(I25="","",TEXT(I25,"0.000") &amp;" cGy/MU @ dmax")</f>
        <v>1.007 cGy/MU @ dmax</v>
      </c>
      <c r="K25" s="388" t="str">
        <f ca="1">IFERROR(IF(ABS(I25-1)&lt;0.02,"PASSED","OUTPUT FAIL"),"")</f>
        <v>PASSED</v>
      </c>
    </row>
    <row r="26" spans="2:11">
      <c r="B26" s="55" t="str">
        <f ca="1">TEXT(Current_R80_E1+0.5*Current_rcav,"0.00")</f>
        <v>2.15</v>
      </c>
      <c r="C26" s="3">
        <f ca="1">Autodrive!L7*-100000000</f>
        <v>15.84</v>
      </c>
      <c r="D26" s="3">
        <f ca="1">Autodrive!M7*-100000000</f>
        <v>15.9</v>
      </c>
      <c r="E26" s="27">
        <f ca="1">IFERROR(AVERAGE(C26:D26),"")</f>
        <v>15.87</v>
      </c>
      <c r="F26" s="4">
        <f ca="1">IFERROR(E26*Current_Ppol_E1*Current_Pion_E1*Current_Pelec*CTP,"")</f>
        <v>16.273856829452</v>
      </c>
      <c r="G26" s="4">
        <f ca="1">IFERROR(F26/(10000000)*Current_NdwCo60,"")</f>
        <v>78.5539069157648</v>
      </c>
      <c r="H26" s="4">
        <f ca="1">IFERROR(G26*Current_kecal*Current_E1kpR50,"")</f>
        <v>73.1938313727734</v>
      </c>
      <c r="I26" s="84">
        <f ca="1">IFERROR(E26/E25,"")</f>
        <v>0.727147766323024</v>
      </c>
      <c r="J26" s="92" t="str">
        <f ca="1">IF(I26="","",TEXT(I26,"0.000") &amp;" cGy/MU @ dmax")</f>
        <v>0.727 cGy/MU @ dmax</v>
      </c>
      <c r="K26" s="101" t="str">
        <f ca="1">IF(ISNUMBER(E26),IFERROR(IF(AND(I26&gt;Current_LowETol_E1,I26&lt;Current_HighETol_E1),"PASSED","ENERGY FAIL"),""),"")</f>
        <v>PASSED</v>
      </c>
    </row>
    <row r="27" spans="2:11" ht="15.75" customHeight="1" thickBot="1">
      <c r="B27" s="127" t="str">
        <f ca="1">INDEX(Machines!A5:AF20,MATCH(MEASURE!H1,Machines,0),5)&amp;"E"</f>
        <v>9E</v>
      </c>
      <c r="C27" s="128"/>
      <c r="D27" s="128"/>
      <c r="E27" s="128"/>
      <c r="F27" s="128"/>
      <c r="G27" s="128"/>
      <c r="H27" s="128"/>
      <c r="I27" s="128"/>
      <c r="J27" s="128"/>
      <c r="K27" s="138"/>
    </row>
    <row r="28" spans="2:11" ht="15">
      <c r="B28" s="25"/>
      <c r="C28" s="123" t="s">
        <v>71</v>
      </c>
      <c r="D28" s="123"/>
      <c r="E28" s="123"/>
      <c r="F28" s="26" t="s">
        <v>72</v>
      </c>
      <c r="G28" s="123" t="s">
        <v>38</v>
      </c>
      <c r="H28" s="123"/>
      <c r="I28" s="26"/>
      <c r="J28" s="26" t="s">
        <v>75</v>
      </c>
      <c r="K28" s="89" t="s">
        <v>0</v>
      </c>
    </row>
    <row r="29" spans="2:11" ht="14.65">
      <c r="B29" s="14" t="s">
        <v>2</v>
      </c>
      <c r="C29" s="5" t="s">
        <v>6</v>
      </c>
      <c r="D29" s="5" t="s">
        <v>7</v>
      </c>
      <c r="E29" s="5" t="s">
        <v>8</v>
      </c>
      <c r="F29" s="6" t="s">
        <v>84</v>
      </c>
      <c r="G29" s="6" t="s">
        <v>61</v>
      </c>
      <c r="H29" s="7" t="s">
        <v>87</v>
      </c>
      <c r="I29" s="5"/>
      <c r="J29" s="6" t="s">
        <v>39</v>
      </c>
      <c r="K29" s="392"/>
    </row>
    <row r="30" spans="2:11" ht="14.65" thickBot="1">
      <c r="B30" s="55" t="e">
        <f ca="1">TEXT(Current_dref_E2+0.5*Current_rcav,"0.00")</f>
        <v>#NAME?</v>
      </c>
      <c r="C30" s="3">
        <f ca="1">Autodrive!L8*-100000000</f>
        <v>21.97</v>
      </c>
      <c r="D30" s="3">
        <f ca="1">Autodrive!M8*-100000000</f>
        <v>21.97</v>
      </c>
      <c r="E30" s="27">
        <f ca="1">IFERROR(AVERAGE(C30:D30),"")</f>
        <v>21.97</v>
      </c>
      <c r="F30" s="4">
        <f ca="1">IFERROR(E30*Current_Ppol_E2*Current_Pion_E2*Current_Pelec*CTP,"")</f>
        <v>22.4863124238741</v>
      </c>
      <c r="G30" s="4">
        <f ca="1">IFERROR(F30/(10000000)*Current_NdwCo60,"")</f>
        <v>108.54143007004</v>
      </c>
      <c r="H30" s="4">
        <f ca="1">IFERROR(G30*Current_kecal*Current_E2kpR50/Current_ConeF_E2,"")</f>
        <v>100.022328642395</v>
      </c>
      <c r="I30" s="92">
        <f ca="1">IFERROR((H30/Current_elPDD_E2)/MU,"")</f>
        <v>1.00082378069237</v>
      </c>
      <c r="J30" s="84" t="str">
        <f ca="1">IF(I30="","",TEXT(I30,"0.000") &amp;" cGy/MU @ dmax")</f>
        <v>1.001 cGy/MU @ dmax</v>
      </c>
      <c r="K30" s="398" t="str">
        <f ca="1">IFERROR(IF(ABS(I30-1)&lt;0.02,"PASSED","OUTPUT FAIL"),"")</f>
        <v>PASSED</v>
      </c>
    </row>
    <row r="31" spans="2:11">
      <c r="B31" s="55" t="str">
        <f ca="1">TEXT(Current_R80_E2+0.5*Current_rcav,"0.00")</f>
        <v>3.15</v>
      </c>
      <c r="C31" s="3">
        <f ca="1">Autodrive!L9*-100000000</f>
        <v>16.86</v>
      </c>
      <c r="D31" s="3">
        <f ca="1">Autodrive!M9*-100000000</f>
        <v>16.87</v>
      </c>
      <c r="E31" s="27">
        <f ca="1">IFERROR(AVERAGE(C31:D31),"")</f>
        <v>16.865</v>
      </c>
      <c r="F31" s="4">
        <f ca="1">IFERROR(E31*Current_Ppol_E2*Current_Pion_E2*Current_Pelec*CTP,"")</f>
        <v>17.2613408752225</v>
      </c>
      <c r="G31" s="4">
        <f ca="1">IFERROR(F31/(10000000)*Current_NdwCo60,"")</f>
        <v>83.320492404699</v>
      </c>
      <c r="H31" s="4">
        <f ca="1">IFERROR(G31*Current_kecal*Current_E2kpR50,"")</f>
        <v>76.7809090830226</v>
      </c>
      <c r="I31" s="84">
        <f ca="1">IFERROR(E31/E30,"")</f>
        <v>0.767637687756031</v>
      </c>
      <c r="J31" s="92" t="str">
        <f ca="1">IF(I31="","",TEXT(I31,"0.000") &amp;" cGy/MU @ dmax")</f>
        <v>0.768 cGy/MU @ dmax</v>
      </c>
      <c r="K31" s="101" t="str">
        <f ca="1">IF(ISNUMBER(E31),IFERROR(IF(AND(I31&gt;Current_LowETol_E1,I31&lt;Current_HighETol_E1),"PASSED","ENERGY FAIL"),""),"")</f>
        <v>PASSED</v>
      </c>
    </row>
    <row r="32" spans="2:11" ht="15.75" customHeight="1" thickBot="1">
      <c r="B32" s="127" t="str">
        <f ca="1">INDEX(Machines!A5:AF20,MATCH(MEASURE!H1,Machines,0),6)&amp;"E"</f>
        <v>12E</v>
      </c>
      <c r="C32" s="128"/>
      <c r="D32" s="128"/>
      <c r="E32" s="128"/>
      <c r="F32" s="128"/>
      <c r="G32" s="128"/>
      <c r="H32" s="128"/>
      <c r="I32" s="128"/>
      <c r="J32" s="128"/>
      <c r="K32" s="138"/>
    </row>
    <row r="33" spans="2:11" ht="15">
      <c r="B33" s="25"/>
      <c r="C33" s="123" t="s">
        <v>71</v>
      </c>
      <c r="D33" s="123"/>
      <c r="E33" s="123"/>
      <c r="F33" s="26" t="s">
        <v>72</v>
      </c>
      <c r="G33" s="123" t="s">
        <v>38</v>
      </c>
      <c r="H33" s="123"/>
      <c r="I33" s="26"/>
      <c r="J33" s="26" t="s">
        <v>75</v>
      </c>
      <c r="K33" s="85" t="s">
        <v>0</v>
      </c>
    </row>
    <row r="34" spans="2:11" ht="14.65">
      <c r="B34" s="14" t="s">
        <v>2</v>
      </c>
      <c r="C34" s="5" t="s">
        <v>6</v>
      </c>
      <c r="D34" s="5" t="s">
        <v>7</v>
      </c>
      <c r="E34" s="5" t="s">
        <v>8</v>
      </c>
      <c r="F34" s="6" t="s">
        <v>84</v>
      </c>
      <c r="G34" s="6" t="s">
        <v>61</v>
      </c>
      <c r="H34" s="7" t="s">
        <v>87</v>
      </c>
      <c r="I34" s="5"/>
      <c r="J34" s="6" t="s">
        <v>39</v>
      </c>
      <c r="K34" s="402"/>
    </row>
    <row r="35" spans="2:11" ht="14.65" thickBot="1">
      <c r="B35" s="55" t="e">
        <f ca="1">TEXT(Current_dref_E3+0.5*Current_rcav,"0.00")</f>
        <v>#NAME?</v>
      </c>
      <c r="C35" s="3">
        <f ca="1">Autodrive!L10*-100000000</f>
        <v>22.4</v>
      </c>
      <c r="D35" s="3">
        <f ca="1">Autodrive!M10*-100000000</f>
        <v>22.41</v>
      </c>
      <c r="E35" s="27">
        <f ca="1">IFERROR(AVERAGE(C35:D35),"")</f>
        <v>22.405</v>
      </c>
      <c r="F35" s="4">
        <f ca="1">IFERROR(E35*Current_Ppol_E3*Current_Pion_E3*Current_Pelec*CTP,"")</f>
        <v>22.8822026696355</v>
      </c>
      <c r="G35" s="4">
        <f ca="1">IFERROR(F35/(10000000)*Current_NdwCo60,"")</f>
        <v>110.452392286331</v>
      </c>
      <c r="H35" s="4">
        <f ca="1">IFERROR(G35*Current_kecal*Current_E3kpR50/Current_ConeF_E3,"")</f>
        <v>100.938401033214</v>
      </c>
      <c r="I35" s="92">
        <f ca="1">IFERROR((H35/Current_elPDD_E3)/MU,"")</f>
        <v>1.01069791762505</v>
      </c>
      <c r="J35" s="84" t="str">
        <f ca="1">IF(I35="","",TEXT(I35,"0.000") &amp;" cGy/MU @ dmax")</f>
        <v>1.011 cGy/MU @ dmax</v>
      </c>
      <c r="K35" s="408" t="str">
        <f ca="1">IFERROR(IF(ABS(I35-1)&lt;0.02,"PASSED","OUTPUT FAIL"),"")</f>
        <v>PASSED</v>
      </c>
    </row>
    <row r="36" spans="2:11">
      <c r="B36" s="55" t="str">
        <f ca="1">TEXT(Current_R80_E3+0.5*Current_rcav,"0.00")</f>
        <v>4.45</v>
      </c>
      <c r="C36" s="3">
        <f ca="1">Autodrive!L11*-100000000</f>
        <v>16.73</v>
      </c>
      <c r="D36" s="3">
        <f ca="1">Autodrive!M11*-100000000</f>
        <v>16.75</v>
      </c>
      <c r="E36" s="27">
        <f ca="1">IFERROR(AVERAGE(C36:D36),"")</f>
        <v>16.74</v>
      </c>
      <c r="F36" s="4">
        <f ca="1">IFERROR(E36*Current_Ppol_E3*Current_Pion_E3*Current_Pelec*CTP,"")</f>
        <v>17.0965441950323</v>
      </c>
      <c r="G36" s="4">
        <f ca="1">IFERROR(F36/(10000000)*Current_NdwCo60,"")</f>
        <v>82.5250188294209</v>
      </c>
      <c r="H36" s="4">
        <f ca="1">IFERROR(G36*Current_kecal*Current_E3kpR50,"")</f>
        <v>75.4165959962506</v>
      </c>
      <c r="I36" s="84">
        <f ca="1">IFERROR(E36/E35,"")</f>
        <v>0.747154652979246</v>
      </c>
      <c r="J36" s="92" t="str">
        <f ca="1">IF(I36="","",TEXT(I36,"0.000") &amp;" cGy/MU @ dmax")</f>
        <v>0.747 cGy/MU @ dmax</v>
      </c>
      <c r="K36" s="101" t="str">
        <f ca="1">IF(ISNUMBER(E36),IFERROR(IF(AND(I36&gt;Current_LowETol_E1,I36&lt;Current_HighETol_E1),"PASSED","ENERGY FAIL"),""),"")</f>
        <v>PASSED</v>
      </c>
    </row>
    <row r="37" spans="2:11" ht="15.75" customHeight="1" thickBot="1">
      <c r="B37" s="127" t="str">
        <f ca="1">INDEX(Machines!A5:AF20,MATCH(MEASURE!H1,Machines,0),7)&amp;"E"</f>
        <v>15E</v>
      </c>
      <c r="C37" s="128"/>
      <c r="D37" s="128"/>
      <c r="E37" s="128"/>
      <c r="F37" s="128"/>
      <c r="G37" s="128"/>
      <c r="H37" s="128"/>
      <c r="I37" s="128"/>
      <c r="J37" s="128"/>
      <c r="K37" s="138"/>
    </row>
    <row r="38" spans="2:11" ht="15">
      <c r="B38" s="25"/>
      <c r="C38" s="123" t="s">
        <v>71</v>
      </c>
      <c r="D38" s="123"/>
      <c r="E38" s="123"/>
      <c r="F38" s="26" t="s">
        <v>72</v>
      </c>
      <c r="G38" s="123" t="s">
        <v>38</v>
      </c>
      <c r="H38" s="123"/>
      <c r="I38" s="26"/>
      <c r="J38" s="26" t="s">
        <v>75</v>
      </c>
      <c r="K38" s="85" t="s">
        <v>0</v>
      </c>
    </row>
    <row r="39" spans="2:11" ht="14.65">
      <c r="B39" s="14" t="s">
        <v>2</v>
      </c>
      <c r="C39" s="5" t="s">
        <v>6</v>
      </c>
      <c r="D39" s="5" t="s">
        <v>7</v>
      </c>
      <c r="E39" s="5" t="s">
        <v>8</v>
      </c>
      <c r="F39" s="6" t="s">
        <v>84</v>
      </c>
      <c r="G39" s="6" t="s">
        <v>61</v>
      </c>
      <c r="H39" s="7" t="s">
        <v>87</v>
      </c>
      <c r="I39" s="5"/>
      <c r="J39" s="6" t="s">
        <v>39</v>
      </c>
      <c r="K39" s="414"/>
    </row>
    <row r="40" spans="2:11" ht="14.65" thickBot="1">
      <c r="B40" s="55" t="e">
        <f ca="1">TEXT(Current_dref_E4+0.5*Current_rcav,"0.00")</f>
        <v>#NAME?</v>
      </c>
      <c r="C40" s="3">
        <f ca="1">Autodrive!L12*-100000000</f>
        <v>22.29</v>
      </c>
      <c r="D40" s="3">
        <f ca="1">Autodrive!M12*-100000000</f>
        <v>22.31</v>
      </c>
      <c r="E40" s="27">
        <f ca="1">IFERROR(AVERAGE(C40:D40),"")</f>
        <v>22.3</v>
      </c>
      <c r="F40" s="4">
        <f ca="1">IFERROR(E40*Current_Ppol_E4*Current_Pion_E4*Current_Pelec*CTP,"")</f>
        <v>22.8067033101382</v>
      </c>
      <c r="G40" s="4">
        <f ca="1">IFERROR(F40/(10000000)*Current_NdwCo60,"")</f>
        <v>110.087956878037</v>
      </c>
      <c r="H40" s="4">
        <f ca="1">IFERROR(G40*Current_kecal*Current_E4kpR50/Current_ConeF_E4,"")</f>
        <v>100.064513720963</v>
      </c>
      <c r="I40" s="92">
        <f ca="1">IFERROR((H40/Current_elPDD_E4)/MU,"")</f>
        <v>1.00668524870184</v>
      </c>
      <c r="J40" s="84" t="str">
        <f ca="1">IF(I40="","",TEXT(I40,"0.000") &amp;" cGy/MU @ dmax")</f>
        <v>1.007 cGy/MU @ dmax</v>
      </c>
      <c r="K40" s="420" t="str">
        <f ca="1">IFERROR(IF(ABS(I40-1)&lt;0.02,"PASSED","OUTPUT FAIL"),"")</f>
        <v>PASSED</v>
      </c>
    </row>
    <row r="41" spans="2:11">
      <c r="B41" s="55" t="str">
        <f ca="1">TEXT(Current_R80_E4+0.5*Current_rcav,"0.00")</f>
        <v>5.55</v>
      </c>
      <c r="C41" s="3">
        <f ca="1">Autodrive!L13*-100000000</f>
        <v>16.98</v>
      </c>
      <c r="D41" s="3">
        <f ca="1">Autodrive!M13*-100000000</f>
        <v>17.01</v>
      </c>
      <c r="E41" s="27">
        <f ca="1">IFERROR(AVERAGE(C41:D41),"")</f>
        <v>16.995</v>
      </c>
      <c r="F41" s="4">
        <f ca="1">IFERROR(E41*Current_Ppol_E4*Current_Pion_E4*Current_Pelec*CTP,"")</f>
        <v>17.3811624554169</v>
      </c>
      <c r="G41" s="4">
        <f ca="1">IFERROR(F41/(10000000)*Current_NdwCo60,"")</f>
        <v>83.8988711722974</v>
      </c>
      <c r="H41" s="4">
        <f ca="1">IFERROR(G41*Current_kecal*Current_E4kpR50,"")</f>
        <v>76.2599287303927</v>
      </c>
      <c r="I41" s="84">
        <f ca="1">IFERROR(E41/E40,"")</f>
        <v>0.762107623318386</v>
      </c>
      <c r="J41" s="92" t="str">
        <f ca="1">IF(I41="","",TEXT(I41,"0.000") &amp;" cGy/MU @ dmax")</f>
        <v>0.762 cGy/MU @ dmax</v>
      </c>
      <c r="K41" s="101" t="str">
        <f ca="1">IF(ISNUMBER(E41),IFERROR(IF(AND(I41&gt;Current_LowETol_E1,I41&lt;Current_HighETol_E1),"PASSED","ENERGY FAIL"),""),"")</f>
        <v>PASSED</v>
      </c>
    </row>
    <row r="42" spans="2:11" ht="15" customHeight="1" thickBot="1">
      <c r="B42" s="127" t="str">
        <f ca="1">INDEX(Machines!A5:AF20,MATCH(MEASURE!H1,Machines,0),8)&amp;"E"</f>
        <v>18E</v>
      </c>
      <c r="C42" s="128"/>
      <c r="D42" s="128"/>
      <c r="E42" s="128"/>
      <c r="F42" s="128"/>
      <c r="G42" s="128"/>
      <c r="H42" s="128"/>
      <c r="I42" s="128"/>
      <c r="J42" s="128"/>
      <c r="K42" s="138"/>
    </row>
    <row r="43" spans="2:11" ht="15">
      <c r="B43" s="25"/>
      <c r="C43" s="123" t="s">
        <v>71</v>
      </c>
      <c r="D43" s="123"/>
      <c r="E43" s="123"/>
      <c r="F43" s="26" t="s">
        <v>72</v>
      </c>
      <c r="G43" s="123" t="s">
        <v>38</v>
      </c>
      <c r="H43" s="123"/>
      <c r="I43" s="26"/>
      <c r="J43" s="26" t="s">
        <v>75</v>
      </c>
      <c r="K43" s="85" t="s">
        <v>0</v>
      </c>
    </row>
    <row r="44" spans="2:11" ht="14.65">
      <c r="B44" s="14" t="s">
        <v>2</v>
      </c>
      <c r="C44" s="5" t="s">
        <v>6</v>
      </c>
      <c r="D44" s="5" t="s">
        <v>7</v>
      </c>
      <c r="E44" s="5" t="s">
        <v>8</v>
      </c>
      <c r="F44" s="6" t="s">
        <v>84</v>
      </c>
      <c r="G44" s="6" t="s">
        <v>61</v>
      </c>
      <c r="H44" s="7" t="s">
        <v>87</v>
      </c>
      <c r="I44" s="5"/>
      <c r="J44" s="6" t="s">
        <v>39</v>
      </c>
      <c r="K44" s="422"/>
    </row>
    <row r="45" spans="2:11" ht="14.65" thickBot="1">
      <c r="B45" s="55" t="e">
        <f ca="1">TEXT(Current_dref_E5+0.5*Current_rcav,"0.00")</f>
        <v>#NAME?</v>
      </c>
      <c r="C45" s="3">
        <f ca="1">Autodrive!L14*-100000000</f>
        <v>21.98</v>
      </c>
      <c r="D45" s="3">
        <f ca="1">Autodrive!M14*-100000000</f>
        <v>22.01</v>
      </c>
      <c r="E45" s="27">
        <f ca="1">IFERROR(AVERAGE(C45:D45),"")</f>
        <v>21.995</v>
      </c>
      <c r="F45" s="4">
        <f ca="1">IFERROR(E45*Current_Ppol_E5*Current_Pion_E5*Current_Pelec*CTP,"")</f>
        <v>22.5520828343886</v>
      </c>
      <c r="G45" s="4">
        <f ca="1">IFERROR(F45/(10000000)*Current_NdwCo60,"")</f>
        <v>108.858903841594</v>
      </c>
      <c r="H45" s="4">
        <f ca="1">IFERROR(G45*Current_kecal*Current_E5kpR50/Current_ConeF_E5,"")</f>
        <v>98.5720828536373</v>
      </c>
      <c r="I45" s="93">
        <f ca="1">IFERROR((H45/Current_elPDD_E5)/MU,"")</f>
        <v>1.0167311279385</v>
      </c>
      <c r="J45" s="84" t="str">
        <f ca="1">IF(I45="","",TEXT(I45,"0.000") &amp;" cGy/MU @ dmax")</f>
        <v>1.017 cGy/MU @ dmax</v>
      </c>
      <c r="K45" s="428" t="str">
        <f ca="1">IFERROR(IF(ABS(I45-1)&lt;0.02,"PASSED","OUTPUT FAIL"),"")</f>
        <v>PASSED</v>
      </c>
    </row>
    <row r="46" spans="2:11">
      <c r="B46" s="55" t="str">
        <f ca="1">TEXT(Current_R80_E5+0.5*Current_rcav,"0.00")</f>
        <v>6.55</v>
      </c>
      <c r="C46" s="3">
        <f ca="1">Autodrive!L15*-100000000</f>
        <v>17.45</v>
      </c>
      <c r="D46" s="3">
        <f ca="1">Autodrive!M15*-100000000</f>
        <v>17.39</v>
      </c>
      <c r="E46" s="27">
        <f ca="1">IFERROR(AVERAGE(C46:D46),"")</f>
        <v>17.42</v>
      </c>
      <c r="F46" s="4">
        <f ca="1">IFERROR(E46*Current_Ppol_E5*Current_Pion_E5*Current_Pelec*CTP,"")</f>
        <v>17.8612085917277</v>
      </c>
      <c r="G46" s="4">
        <f ca="1">IFERROR(F46/(10000000)*Current_NdwCo60,"")</f>
        <v>86.2160538722696</v>
      </c>
      <c r="H46" s="4">
        <f ca="1">IFERROR(G46*Current_kecal*Current_E5kpR50,"")</f>
        <v>78.0689103573705</v>
      </c>
      <c r="I46" s="84">
        <f ca="1">IFERROR(E46/E45,"")</f>
        <v>0.791998181404865</v>
      </c>
      <c r="J46" s="92" t="str">
        <f ca="1">IF(I46="","",TEXT(I46,"0.000") &amp;" cGy/MU @ dmax")</f>
        <v>0.792 cGy/MU @ dmax</v>
      </c>
      <c r="K46" s="101" t="str">
        <f ca="1">IF(ISNUMBER(E46),IFERROR(IF(AND(I46&gt;Current_LowETol_E1,I46&lt;Current_HighETol_E1),"PASSED","ENERGY FAIL"),""),"")</f>
        <v>PASSED</v>
      </c>
    </row>
  </sheetData>
  <mergeCells count="31">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s>
  <conditionalFormatting sqref="K14">
    <cfRule type="cellIs" dxfId="0" operator="notEqual" priority="61">
      <formula>"PASSED"</formula>
    </cfRule>
  </conditionalFormatting>
  <conditionalFormatting sqref="K19">
    <cfRule type="cellIs" dxfId="1" operator="notEqual" priority="30">
      <formula>"PASSED"</formula>
    </cfRule>
  </conditionalFormatting>
  <conditionalFormatting sqref="K25">
    <cfRule type="cellIs" dxfId="2" operator="notEqual" priority="29">
      <formula>"PASSED"</formula>
    </cfRule>
  </conditionalFormatting>
  <conditionalFormatting sqref="K30">
    <cfRule type="cellIs" dxfId="3" operator="notEqual" priority="28">
      <formula>"PASSED"</formula>
    </cfRule>
  </conditionalFormatting>
  <conditionalFormatting sqref="K35">
    <cfRule type="cellIs" dxfId="4" operator="notEqual" priority="27">
      <formula>"PASSED"</formula>
    </cfRule>
  </conditionalFormatting>
  <conditionalFormatting sqref="K40">
    <cfRule type="cellIs" dxfId="5" operator="notEqual" priority="26">
      <formula>"PASSED"</formula>
    </cfRule>
  </conditionalFormatting>
  <conditionalFormatting sqref="K45">
    <cfRule type="cellIs" dxfId="6" operator="notEqual" priority="25">
      <formula>"PASSED"</formula>
    </cfRule>
  </conditionalFormatting>
  <conditionalFormatting sqref="E5:F5">
    <cfRule type="expression" dxfId="7" priority="22">
      <formula>AND(ABS(Current_Chamber_CalDate-TODAY())&gt;665, ABS(Current_Chamber_CalDate-TODAY())&lt;695)</formula>
    </cfRule>
    <cfRule type="expression" dxfId="8" priority="23">
      <formula>ABS(Current_Chamber_CalDate-TODAY())&gt;695</formula>
    </cfRule>
  </conditionalFormatting>
  <conditionalFormatting sqref="E6:F6">
    <cfRule type="expression" dxfId="9" priority="17">
      <formula>AND(ABS(Current_Electrometer_CalDate-TODAY())&gt;665, ABS(Current_Electrometer_CalDate-TODAY())&lt;695)</formula>
    </cfRule>
    <cfRule type="expression" dxfId="10" priority="18">
      <formula>ABS(Current_Electrometer_CalDate-TODAY())&gt;695</formula>
    </cfRule>
  </conditionalFormatting>
  <conditionalFormatting sqref="K13">
    <cfRule type="cellIs" dxfId="11" operator="notEqual" priority="15">
      <formula>"PASSED"</formula>
    </cfRule>
  </conditionalFormatting>
  <conditionalFormatting sqref="K18">
    <cfRule type="cellIs" dxfId="12" operator="notEqual" priority="14">
      <formula>"PASSED"</formula>
    </cfRule>
  </conditionalFormatting>
  <conditionalFormatting sqref="K26">
    <cfRule type="cellIs" dxfId="13" operator="notEqual" priority="13">
      <formula>"PASSED"</formula>
    </cfRule>
  </conditionalFormatting>
  <conditionalFormatting sqref="K31">
    <cfRule type="cellIs" dxfId="14" operator="notEqual" priority="4">
      <formula>"PASSED"</formula>
    </cfRule>
  </conditionalFormatting>
  <conditionalFormatting sqref="K36">
    <cfRule type="cellIs" dxfId="15" operator="notEqual" priority="3">
      <formula>"PASSED"</formula>
    </cfRule>
  </conditionalFormatting>
  <conditionalFormatting sqref="K41">
    <cfRule type="cellIs" dxfId="16" operator="notEqual" priority="2">
      <formula>"PASSED"</formula>
    </cfRule>
  </conditionalFormatting>
  <conditionalFormatting sqref="K46">
    <cfRule type="cellIs" dxfId="17" operator="notEqual" priority="1">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headerFooter scaleWithDoc="1" alignWithMargins="0" differentFirst="0" differentOddEven="0"/>
  <drawing r:id="rId2"/>
  <legacyDrawing r:id="rId3"/>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3"/>
  <dimension ref="A1:U21"/>
  <sheetViews>
    <sheetView zoomScale="98" view="normal" workbookViewId="0">
      <selection pane="topLeft" activeCell="M27" sqref="M27"/>
    </sheetView>
  </sheetViews>
  <sheetFormatPr defaultRowHeight="14.25" baseColWidth="0"/>
  <cols>
    <col min="1" max="1" width="31.25" customWidth="1"/>
    <col min="2" max="2" width="10.62109375" customWidth="1"/>
    <col min="3" max="3" width="12.12109375" customWidth="1"/>
    <col min="13" max="13" width="10" customWidth="1"/>
    <col min="14" max="14" width="15.12109375" customWidth="1"/>
    <col min="20" max="20" width="29.37109375" customWidth="1"/>
    <col min="21" max="21" width="4.12109375" customWidth="1"/>
  </cols>
  <sheetData>
    <row r="1" spans="1:21" ht="21.75">
      <c r="A1" s="146" t="s">
        <v>59</v>
      </c>
      <c r="B1" s="146"/>
      <c r="C1" s="146"/>
      <c r="D1" s="146"/>
      <c r="E1" s="146"/>
      <c r="F1" s="146"/>
      <c r="G1" s="146"/>
      <c r="H1" s="146"/>
      <c r="I1" s="146"/>
      <c r="J1" s="146"/>
      <c r="K1" s="146"/>
      <c r="L1" s="146"/>
      <c r="M1" s="146"/>
      <c r="N1" s="146"/>
      <c r="O1" s="146"/>
      <c r="P1" s="146"/>
      <c r="Q1" s="146"/>
      <c r="R1" s="146"/>
      <c r="S1" s="146"/>
      <c r="T1" s="146"/>
      <c r="U1" s="146"/>
    </row>
    <row r="2" spans="1:21" ht="17.25">
      <c r="A2" s="2" t="s">
        <v>43</v>
      </c>
      <c r="B2" s="141" t="s">
        <v>41</v>
      </c>
      <c r="C2" s="142"/>
      <c r="D2" s="142"/>
      <c r="E2" s="142"/>
      <c r="F2" s="142"/>
      <c r="G2" s="143"/>
      <c r="H2" s="147" t="s">
        <v>40</v>
      </c>
      <c r="I2" s="148"/>
      <c r="J2" s="141" t="s">
        <v>26</v>
      </c>
      <c r="K2" s="143"/>
      <c r="L2" s="2"/>
      <c r="M2" s="2"/>
      <c r="N2" s="39"/>
      <c r="O2" s="144" t="s">
        <v>37</v>
      </c>
      <c r="P2" s="145"/>
      <c r="Q2" s="145"/>
      <c r="R2" s="145"/>
      <c r="S2" s="145"/>
      <c r="T2" s="61" t="s">
        <v>103</v>
      </c>
      <c r="U2" s="94"/>
    </row>
    <row r="3" spans="1:21">
      <c r="A3" s="14"/>
      <c r="B3" s="9">
        <v>58</v>
      </c>
      <c r="C3" s="10">
        <v>63</v>
      </c>
      <c r="D3" s="10">
        <v>66</v>
      </c>
      <c r="E3" s="10">
        <v>71</v>
      </c>
      <c r="F3" s="10">
        <v>81</v>
      </c>
      <c r="G3" s="11">
        <v>93</v>
      </c>
      <c r="H3" s="12" t="s">
        <v>48</v>
      </c>
      <c r="I3" s="12" t="s">
        <v>47</v>
      </c>
      <c r="J3" s="12" t="s">
        <v>48</v>
      </c>
      <c r="K3" s="12" t="s">
        <v>47</v>
      </c>
      <c r="L3" s="12" t="s">
        <v>36</v>
      </c>
      <c r="M3" s="13" t="s">
        <v>42</v>
      </c>
      <c r="N3" s="36" t="s">
        <v>60</v>
      </c>
      <c r="O3" s="37" t="str">
        <f ca="1">INDEX(MachineData,MATCH(SelectedMachine,Machines,0),3)&amp;"E"</f>
        <v>6E</v>
      </c>
      <c r="P3" s="37" t="str">
        <f ca="1">INDEX(MachineData,MATCH(SelectedMachine,Machines,0),4)&amp;"E"</f>
        <v>9E</v>
      </c>
      <c r="Q3" s="37" t="str">
        <f ca="1">INDEX(MachineData,MATCH(SelectedMachine,Machines,0),5)&amp;"E"</f>
        <v>12E</v>
      </c>
      <c r="R3" s="37" t="str">
        <f ca="1">INDEX(MachineData,MATCH(SelectedMachine,Machines,0),6)&amp;"E"</f>
        <v>15E</v>
      </c>
      <c r="S3" s="37" t="str">
        <f ca="1">INDEX(MachineData,MATCH(SelectedMachine,Machines,0),7)&amp;"E"</f>
        <v>18E</v>
      </c>
      <c r="T3" s="95"/>
      <c r="U3" s="5"/>
    </row>
    <row r="4" spans="1:21">
      <c r="A4" s="15" t="s">
        <v>76</v>
      </c>
      <c r="B4" s="3">
        <v>1</v>
      </c>
      <c r="C4" s="3">
        <v>0.999</v>
      </c>
      <c r="D4" s="3">
        <v>0.996</v>
      </c>
      <c r="E4" s="3">
        <v>0.99</v>
      </c>
      <c r="F4" s="3">
        <v>0.972</v>
      </c>
      <c r="G4" s="3">
        <v>0.948</v>
      </c>
      <c r="H4" s="27">
        <f ca="1">INDEX(MachineData,MATCH(SelectedMachine,Machines,0),8)</f>
        <v>66.6</v>
      </c>
      <c r="I4" s="27">
        <f ca="1">INDEX(MachineData,MATCH(SelectedMachine,Machines,0),9)</f>
        <v>76.4</v>
      </c>
      <c r="J4" s="4">
        <f ca="1">FORECAST(H4,OFFSET($B4:$G4,0,MATCH(H4,$B$3:$G$3,1)-1,1,2), OFFSET($B$3:$G$3,0,MATCH(H4,$B$3:$G$3,1)-1,1,2))</f>
        <v>0.99528</v>
      </c>
      <c r="K4" s="4">
        <f ca="1">FORECAST(I4,OFFSET($B4:$G4,0,MATCH(I4,$B$3:$G$3,1)-1,1,2), OFFSET($B$3:$G$3,0,MATCH(I4,$B$3:$G$3,1)-1,1,2))</f>
        <v>0.98028</v>
      </c>
      <c r="L4" s="3">
        <v>0.906</v>
      </c>
      <c r="M4" s="3">
        <v>0.305</v>
      </c>
      <c r="N4" s="51">
        <v>48270000</v>
      </c>
      <c r="O4" s="27">
        <f ca="1">0.9905+0.071*EXP(-Current_R50_E1/3.67)</f>
        <v>1.0284388965409828</v>
      </c>
      <c r="P4" s="27">
        <f ca="1">0.9905+0.071*EXP(-Current_R50_E2/3.67)</f>
        <v>1.0171224127746152</v>
      </c>
      <c r="Q4" s="27">
        <f ca="1">0.9905+0.071*EXP(-Current_R50_E3/3.67)</f>
        <v>1.008679272235143</v>
      </c>
      <c r="R4" s="27">
        <f ca="1">0.9905+0.071*EXP(-Current_R50_E4/3.67)</f>
        <v>1.0032567255115941</v>
      </c>
      <c r="S4" s="27">
        <f ca="1">0.9905+0.071*EXP(-Current_R50_E5/3.67)</f>
        <v>0.99945162598773163</v>
      </c>
      <c r="T4" s="96">
        <v>42683</v>
      </c>
      <c r="U4" s="98">
        <f ca="1">IF(ISBLANK(T4),"",ABS(T4-TODAY()))</f>
        <v>162</v>
      </c>
    </row>
    <row r="5" spans="1:21">
      <c r="A5" s="15" t="s">
        <v>77</v>
      </c>
      <c r="B5" s="3">
        <v>1</v>
      </c>
      <c r="C5" s="3">
        <v>0.996</v>
      </c>
      <c r="D5" s="3">
        <v>0.992</v>
      </c>
      <c r="E5" s="3">
        <v>0.984</v>
      </c>
      <c r="F5" s="3">
        <v>0.967</v>
      </c>
      <c r="G5" s="3">
        <v>0.946</v>
      </c>
      <c r="H5" s="27">
        <f ca="1">INDEX(MachineData,MATCH(SelectedMachine,Machines,0),8)</f>
        <v>66.6</v>
      </c>
      <c r="I5" s="27">
        <f ca="1">INDEX(MachineData,MATCH(SelectedMachine,Machines,0),9)</f>
        <v>76.4</v>
      </c>
      <c r="J5" s="4">
        <f ca="1">FORECAST(H5,OFFSET($B5:$G5,0,MATCH(H5,$B$3:$G$3,1)-1,1,2), OFFSET($B$3:$G$3,0,MATCH(H5,$B$3:$G$3,1)-1,1,2))</f>
        <v>0.99104</v>
      </c>
      <c r="K5" s="4">
        <f ca="1">FORECAST(I5,OFFSET($B5:$G5,0,MATCH(I5,$B$3:$G$3,1)-1,1,2), OFFSET($B$3:$G$3,0,MATCH(I5,$B$3:$G$3,1)-1,1,2))</f>
        <v>0.97482000000000013</v>
      </c>
      <c r="L5" s="3">
        <v>0.898</v>
      </c>
      <c r="M5" s="3">
        <v>0.275</v>
      </c>
      <c r="N5" s="51">
        <v>54960000</v>
      </c>
      <c r="O5" s="27">
        <f ca="1">0.9905+0.071*EXP(-Current_R50_E1/3.67)</f>
        <v>1.0284388965409828</v>
      </c>
      <c r="P5" s="27">
        <f ca="1">0.9905+0.071*EXP(-Current_R50_E2/3.67)</f>
        <v>1.0171224127746152</v>
      </c>
      <c r="Q5" s="27">
        <f ca="1">0.9905+0.071*EXP(-Current_R50_E3/3.67)</f>
        <v>1.008679272235143</v>
      </c>
      <c r="R5" s="27">
        <f ca="1">0.9905+0.071*EXP(-Current_R50_E4/3.67)</f>
        <v>1.0032567255115941</v>
      </c>
      <c r="S5" s="27">
        <f ca="1">0.9905+0.071*EXP(-Current_R50_E5/3.67)</f>
        <v>0.99945162598773163</v>
      </c>
      <c r="T5" s="96">
        <v>41017</v>
      </c>
      <c r="U5" s="98">
        <f ca="1">IF(ISBLANK(T5),"",ABS(T5-TODAY()))</f>
        <v>1828</v>
      </c>
    </row>
    <row r="6" spans="1:21">
      <c r="A6" s="15" t="s">
        <v>113</v>
      </c>
      <c r="B6" s="3">
        <v>1</v>
      </c>
      <c r="C6" s="3">
        <v>0.999</v>
      </c>
      <c r="D6" s="3">
        <v>0.996</v>
      </c>
      <c r="E6" s="3">
        <v>0.99</v>
      </c>
      <c r="F6" s="3">
        <v>0.972</v>
      </c>
      <c r="G6" s="3">
        <v>0.948</v>
      </c>
      <c r="H6" s="27">
        <f ca="1">INDEX(MachineData,MATCH(SelectedMachine,Machines,0),8)</f>
        <v>66.6</v>
      </c>
      <c r="I6" s="27">
        <f ca="1">INDEX(MachineData,MATCH(SelectedMachine,Machines,0),9)</f>
        <v>76.4</v>
      </c>
      <c r="J6" s="4">
        <f ca="1">FORECAST(H6,OFFSET($B6:$G6,0,MATCH(H6,$B$3:$G$3,1)-1,1,2), OFFSET($B$3:$G$3,0,MATCH(H6,$B$3:$G$3,1)-1,1,2))</f>
        <v>0.99528</v>
      </c>
      <c r="K6" s="4">
        <f ca="1">FORECAST(I6,OFFSET($B6:$G6,0,MATCH(I6,$B$3:$G$3,1)-1,1,2), OFFSET($B$3:$G$3,0,MATCH(I6,$B$3:$G$3,1)-1,1,2))</f>
        <v>0.98028</v>
      </c>
      <c r="L6" s="3">
        <v>0.906</v>
      </c>
      <c r="M6" s="3">
        <v>0.305</v>
      </c>
      <c r="N6" s="51">
        <v>49150000</v>
      </c>
      <c r="O6" s="27">
        <f ca="1">0.9905+0.071*EXP(-Current_R50_E1/3.67)</f>
        <v>1.0284388965409828</v>
      </c>
      <c r="P6" s="27">
        <f ca="1">0.9905+0.071*EXP(-Current_R50_E2/3.67)</f>
        <v>1.0171224127746152</v>
      </c>
      <c r="Q6" s="27">
        <f ca="1">0.9905+0.071*EXP(-Current_R50_E3/3.67)</f>
        <v>1.008679272235143</v>
      </c>
      <c r="R6" s="27">
        <f ca="1">0.9905+0.071*EXP(-Current_R50_E4/3.67)</f>
        <v>1.0032567255115941</v>
      </c>
      <c r="S6" s="27">
        <f ca="1">0.9905+0.071*EXP(-Current_R50_E5/3.67)</f>
        <v>0.99945162598773163</v>
      </c>
      <c r="T6" s="96">
        <v>42282</v>
      </c>
      <c r="U6" s="98">
        <f ca="1">IF(ISBLANK(T6),"",ABS(T6-TODAY()))</f>
        <v>563</v>
      </c>
    </row>
    <row r="7" spans="1:21">
      <c r="A7" s="15" t="s">
        <v>105</v>
      </c>
      <c r="B7" s="3">
        <v>1</v>
      </c>
      <c r="C7" s="3">
        <v>0.999</v>
      </c>
      <c r="D7" s="3">
        <v>0.996</v>
      </c>
      <c r="E7" s="3">
        <v>0.99</v>
      </c>
      <c r="F7" s="3">
        <v>0.972</v>
      </c>
      <c r="G7" s="3">
        <v>0.948</v>
      </c>
      <c r="H7" s="27">
        <f ca="1">INDEX(MachineData,MATCH(SelectedMachine,Machines,0),8)</f>
        <v>66.6</v>
      </c>
      <c r="I7" s="27">
        <f ca="1">INDEX(MachineData,MATCH(SelectedMachine,Machines,0),9)</f>
        <v>76.4</v>
      </c>
      <c r="J7" s="4">
        <f ca="1">FORECAST(H7,OFFSET($B7:$G7,0,MATCH(H7,$B$3:$G$3,1)-1,1,2), OFFSET($B$3:$G$3,0,MATCH(H7,$B$3:$G$3,1)-1,1,2))</f>
        <v>0.99528</v>
      </c>
      <c r="K7" s="4">
        <f ca="1">FORECAST(I7,OFFSET($B7:$G7,0,MATCH(I7,$B$3:$G$3,1)-1,1,2), OFFSET($B$3:$G$3,0,MATCH(I7,$B$3:$G$3,1)-1,1,2))</f>
        <v>0.98028</v>
      </c>
      <c r="L7" s="3">
        <v>0.906</v>
      </c>
      <c r="M7" s="3">
        <v>0.305</v>
      </c>
      <c r="N7" s="51">
        <v>48040000</v>
      </c>
      <c r="O7" s="27">
        <f ca="1">0.9905+0.071*EXP(-Current_R50_E1/3.67)</f>
        <v>1.0284388965409828</v>
      </c>
      <c r="P7" s="27">
        <f ca="1">0.9905+0.071*EXP(-Current_R50_E2/3.67)</f>
        <v>1.0171224127746152</v>
      </c>
      <c r="Q7" s="27">
        <f ca="1">0.9905+0.071*EXP(-Current_R50_E3/3.67)</f>
        <v>1.008679272235143</v>
      </c>
      <c r="R7" s="27">
        <f ca="1">0.9905+0.071*EXP(-Current_R50_E4/3.67)</f>
        <v>1.0032567255115941</v>
      </c>
      <c r="S7" s="27">
        <f ca="1">0.9905+0.071*EXP(-Current_R50_E5/3.67)</f>
        <v>0.99945162598773163</v>
      </c>
      <c r="T7" s="96">
        <v>42050</v>
      </c>
      <c r="U7" s="98">
        <f ca="1">IF(ISBLANK(T7),"",ABS(T7-TODAY()))</f>
        <v>795</v>
      </c>
    </row>
    <row r="8" spans="1:21">
      <c r="A8" s="15"/>
      <c r="B8" s="3"/>
      <c r="C8" s="3"/>
      <c r="D8" s="3"/>
      <c r="E8" s="3"/>
      <c r="F8" s="3"/>
      <c r="G8" s="3"/>
      <c r="H8" s="27">
        <f ca="1">INDEX(MachineData,MATCH(SelectedMachine,Machines,0),8)</f>
        <v>66.6</v>
      </c>
      <c r="I8" s="27">
        <f ca="1">INDEX(MachineData,MATCH(SelectedMachine,Machines,0),9)</f>
        <v>76.4</v>
      </c>
      <c r="J8" s="4" t="e">
        <f ca="1">INTERPOLATE($B$3:$G$3,$B8:$G8,INDEX(MachineData,MATCH(SelectedMachine,Machines,0),8))</f>
        <v>#NAME?</v>
      </c>
      <c r="K8" s="4" t="e">
        <f ca="1">INTERPOLATE($B$3:$G$3,$B8:$G8,INDEX(MachineData,MATCH(SelectedMachine,Machines,0),9))</f>
        <v>#NAME?</v>
      </c>
      <c r="L8" s="3"/>
      <c r="M8" s="3"/>
      <c r="N8" s="51"/>
      <c r="O8" s="27">
        <f ca="1">0.9905+0.071*EXP(-Current_R50_E1/3.67)</f>
        <v>1.0284388965409828</v>
      </c>
      <c r="P8" s="27">
        <f ca="1">0.9905+0.071*EXP(-Current_R50_E2/3.67)</f>
        <v>1.0171224127746152</v>
      </c>
      <c r="Q8" s="27">
        <f ca="1">0.9905+0.071*EXP(-Current_R50_E3/3.67)</f>
        <v>1.008679272235143</v>
      </c>
      <c r="R8" s="27">
        <f ca="1">0.9905+0.071*EXP(-Current_R50_E4/3.67)</f>
        <v>1.0032567255115941</v>
      </c>
      <c r="S8" s="27">
        <f ca="1">0.9905+0.071*EXP(-Current_R50_E5/3.67)</f>
        <v>0.99945162598773163</v>
      </c>
      <c r="T8" s="96"/>
      <c r="U8" s="98" t="str">
        <f ca="1">IF(ISBLANK(T8),"",ABS(T8-TODAY()))</f>
        <v/>
      </c>
    </row>
    <row r="9" spans="1:21">
      <c r="A9" s="15"/>
      <c r="B9" s="3"/>
      <c r="C9" s="3"/>
      <c r="D9" s="3"/>
      <c r="E9" s="3"/>
      <c r="F9" s="3"/>
      <c r="G9" s="3"/>
      <c r="H9" s="27">
        <f ca="1">INDEX(MachineData,MATCH(SelectedMachine,Machines,0),8)</f>
        <v>66.6</v>
      </c>
      <c r="I9" s="27">
        <f ca="1">INDEX(MachineData,MATCH(SelectedMachine,Machines,0),9)</f>
        <v>76.4</v>
      </c>
      <c r="J9" s="4" t="e">
        <f ca="1">INTERPOLATE($B$3:$G$3,$B9:$G9,INDEX(MachineData,MATCH(SelectedMachine,Machines,0),8))</f>
        <v>#NAME?</v>
      </c>
      <c r="K9" s="4" t="e">
        <f ca="1">INTERPOLATE($B$3:$G$3,$B9:$G9,INDEX(MachineData,MATCH(SelectedMachine,Machines,0),9))</f>
        <v>#NAME?</v>
      </c>
      <c r="L9" s="3"/>
      <c r="M9" s="3"/>
      <c r="N9" s="51"/>
      <c r="O9" s="27">
        <f ca="1">0.9905+0.071*EXP(-Current_R50_E1/3.67)</f>
        <v>1.0284388965409828</v>
      </c>
      <c r="P9" s="27">
        <f ca="1">0.9905+0.071*EXP(-Current_R50_E2/3.67)</f>
        <v>1.0171224127746152</v>
      </c>
      <c r="Q9" s="27">
        <f ca="1">0.9905+0.071*EXP(-Current_R50_E3/3.67)</f>
        <v>1.008679272235143</v>
      </c>
      <c r="R9" s="27">
        <f ca="1">0.9905+0.071*EXP(-Current_R50_E4/3.67)</f>
        <v>1.0032567255115941</v>
      </c>
      <c r="S9" s="27">
        <f ca="1">0.9905+0.071*EXP(-Current_R50_E5/3.67)</f>
        <v>0.99945162598773163</v>
      </c>
      <c r="T9" s="96"/>
      <c r="U9" s="98" t="str">
        <f ca="1">IF(ISBLANK(T9),"",ABS(T9-TODAY()))</f>
        <v/>
      </c>
    </row>
    <row r="10" spans="1:21">
      <c r="A10" s="15"/>
      <c r="B10" s="3"/>
      <c r="C10" s="3"/>
      <c r="D10" s="3"/>
      <c r="E10" s="3"/>
      <c r="F10" s="3"/>
      <c r="G10" s="3"/>
      <c r="H10" s="27">
        <f ca="1">INDEX(MachineData,MATCH(SelectedMachine,Machines,0),8)</f>
        <v>66.6</v>
      </c>
      <c r="I10" s="27">
        <f ca="1">INDEX(MachineData,MATCH(SelectedMachine,Machines,0),9)</f>
        <v>76.4</v>
      </c>
      <c r="J10" s="4" t="e">
        <f ca="1">INTERPOLATE($B$3:$G$3,$B10:$G10,INDEX(MachineData,MATCH(SelectedMachine,Machines,0),8))</f>
        <v>#NAME?</v>
      </c>
      <c r="K10" s="4" t="e">
        <f ca="1">INTERPOLATE($B$3:$G$3,$B10:$G10,INDEX(MachineData,MATCH(SelectedMachine,Machines,0),9))</f>
        <v>#NAME?</v>
      </c>
      <c r="L10" s="3"/>
      <c r="M10" s="3"/>
      <c r="N10" s="51"/>
      <c r="O10" s="27">
        <f ca="1">0.9905+0.071*EXP(-Current_R50_E1/3.67)</f>
        <v>1.0284388965409828</v>
      </c>
      <c r="P10" s="27">
        <f ca="1">0.9905+0.071*EXP(-Current_R50_E2/3.67)</f>
        <v>1.0171224127746152</v>
      </c>
      <c r="Q10" s="27">
        <f ca="1">0.9905+0.071*EXP(-Current_R50_E3/3.67)</f>
        <v>1.008679272235143</v>
      </c>
      <c r="R10" s="27">
        <f ca="1">0.9905+0.071*EXP(-Current_R50_E4/3.67)</f>
        <v>1.0032567255115941</v>
      </c>
      <c r="S10" s="27">
        <f ca="1">0.9905+0.071*EXP(-Current_R50_E5/3.67)</f>
        <v>0.99945162598773163</v>
      </c>
      <c r="T10" s="96"/>
      <c r="U10" s="98" t="str">
        <f ca="1">IF(ISBLANK(T10),"",ABS(T10-TODAY()))</f>
        <v/>
      </c>
    </row>
    <row r="11" spans="1:21">
      <c r="A11" s="15"/>
      <c r="B11" s="3"/>
      <c r="C11" s="3"/>
      <c r="D11" s="3"/>
      <c r="E11" s="3"/>
      <c r="F11" s="3"/>
      <c r="G11" s="3"/>
      <c r="H11" s="27">
        <f ca="1">INDEX(MachineData,MATCH(SelectedMachine,Machines,0),8)</f>
        <v>66.6</v>
      </c>
      <c r="I11" s="27">
        <f ca="1">INDEX(MachineData,MATCH(SelectedMachine,Machines,0),9)</f>
        <v>76.4</v>
      </c>
      <c r="J11" s="4" t="e">
        <f ca="1">INTERPOLATE($B$3:$G$3,$B11:$G11,INDEX(MachineData,MATCH(SelectedMachine,Machines,0),8))</f>
        <v>#NAME?</v>
      </c>
      <c r="K11" s="4" t="e">
        <f ca="1">INTERPOLATE($B$3:$G$3,$B11:$G11,INDEX(MachineData,MATCH(SelectedMachine,Machines,0),9))</f>
        <v>#NAME?</v>
      </c>
      <c r="L11" s="3"/>
      <c r="M11" s="3"/>
      <c r="N11" s="51"/>
      <c r="O11" s="27">
        <f ca="1">0.9905+0.071*EXP(-Current_R50_E1/3.67)</f>
        <v>1.0284388965409828</v>
      </c>
      <c r="P11" s="27">
        <f ca="1">0.9905+0.071*EXP(-Current_R50_E2/3.67)</f>
        <v>1.0171224127746152</v>
      </c>
      <c r="Q11" s="27">
        <f ca="1">0.9905+0.071*EXP(-Current_R50_E3/3.67)</f>
        <v>1.008679272235143</v>
      </c>
      <c r="R11" s="27">
        <f ca="1">0.9905+0.071*EXP(-Current_R50_E4/3.67)</f>
        <v>1.0032567255115941</v>
      </c>
      <c r="S11" s="27">
        <f ca="1">0.9905+0.071*EXP(-Current_R50_E5/3.67)</f>
        <v>0.99945162598773163</v>
      </c>
      <c r="T11" s="96"/>
      <c r="U11" s="98" t="str">
        <f ca="1">IF(ISBLANK(T11),"",ABS(T11-TODAY()))</f>
        <v/>
      </c>
    </row>
    <row r="12" spans="1:21">
      <c r="A12" s="15"/>
      <c r="B12" s="3"/>
      <c r="C12" s="3"/>
      <c r="D12" s="3"/>
      <c r="E12" s="3"/>
      <c r="F12" s="3"/>
      <c r="G12" s="3"/>
      <c r="H12" s="27">
        <f ca="1">INDEX(MachineData,MATCH(SelectedMachine,Machines,0),8)</f>
        <v>66.6</v>
      </c>
      <c r="I12" s="27">
        <f ca="1">INDEX(MachineData,MATCH(SelectedMachine,Machines,0),9)</f>
        <v>76.4</v>
      </c>
      <c r="J12" s="4" t="e">
        <f ca="1">INTERPOLATE($B$3:$G$3,$B12:$G12,INDEX(MachineData,MATCH(SelectedMachine,Machines,0),8))</f>
        <v>#NAME?</v>
      </c>
      <c r="K12" s="4" t="e">
        <f ca="1">INTERPOLATE($B$3:$G$3,$B12:$G12,INDEX(MachineData,MATCH(SelectedMachine,Machines,0),9))</f>
        <v>#NAME?</v>
      </c>
      <c r="L12" s="3"/>
      <c r="M12" s="3"/>
      <c r="N12" s="51"/>
      <c r="O12" s="27">
        <f ca="1">0.9905+0.071*EXP(-Current_R50_E1/3.67)</f>
        <v>1.0284388965409828</v>
      </c>
      <c r="P12" s="27">
        <f ca="1">0.9905+0.071*EXP(-Current_R50_E2/3.67)</f>
        <v>1.0171224127746152</v>
      </c>
      <c r="Q12" s="27">
        <f ca="1">0.9905+0.071*EXP(-Current_R50_E3/3.67)</f>
        <v>1.008679272235143</v>
      </c>
      <c r="R12" s="27">
        <f ca="1">0.9905+0.071*EXP(-Current_R50_E4/3.67)</f>
        <v>1.0032567255115941</v>
      </c>
      <c r="S12" s="27">
        <f ca="1">0.9905+0.071*EXP(-Current_R50_E5/3.67)</f>
        <v>0.99945162598773163</v>
      </c>
      <c r="T12" s="96"/>
      <c r="U12" s="98" t="str">
        <f ca="1">IF(ISBLANK(T12),"",ABS(T12-TODAY()))</f>
        <v/>
      </c>
    </row>
    <row r="13" spans="1:21">
      <c r="A13" s="15"/>
      <c r="B13" s="3"/>
      <c r="C13" s="3"/>
      <c r="D13" s="3"/>
      <c r="E13" s="3"/>
      <c r="F13" s="3"/>
      <c r="G13" s="3"/>
      <c r="H13" s="27">
        <f ca="1">INDEX(MachineData,MATCH(SelectedMachine,Machines,0),8)</f>
        <v>66.6</v>
      </c>
      <c r="I13" s="27">
        <f ca="1">INDEX(MachineData,MATCH(SelectedMachine,Machines,0),9)</f>
        <v>76.4</v>
      </c>
      <c r="J13" s="4" t="e">
        <f ca="1">INTERPOLATE($B$3:$G$3,$B13:$G13,INDEX(MachineData,MATCH(SelectedMachine,Machines,0),8))</f>
        <v>#NAME?</v>
      </c>
      <c r="K13" s="4" t="e">
        <f ca="1">INTERPOLATE($B$3:$G$3,$B13:$G13,INDEX(MachineData,MATCH(SelectedMachine,Machines,0),9))</f>
        <v>#NAME?</v>
      </c>
      <c r="L13" s="3"/>
      <c r="M13" s="3"/>
      <c r="N13" s="51"/>
      <c r="O13" s="27">
        <f ca="1">0.9905+0.071*EXP(-Current_R50_E1/3.67)</f>
        <v>1.0284388965409828</v>
      </c>
      <c r="P13" s="27">
        <f ca="1">0.9905+0.071*EXP(-Current_R50_E2/3.67)</f>
        <v>1.0171224127746152</v>
      </c>
      <c r="Q13" s="27">
        <f ca="1">0.9905+0.071*EXP(-Current_R50_E3/3.67)</f>
        <v>1.008679272235143</v>
      </c>
      <c r="R13" s="27">
        <f ca="1">0.9905+0.071*EXP(-Current_R50_E4/3.67)</f>
        <v>1.0032567255115941</v>
      </c>
      <c r="S13" s="27">
        <f ca="1">0.9905+0.071*EXP(-Current_R50_E5/3.67)</f>
        <v>0.99945162598773163</v>
      </c>
      <c r="T13" s="96"/>
      <c r="U13" s="98" t="str">
        <f ca="1">IF(ISBLANK(T13),"",ABS(T13-TODAY()))</f>
        <v/>
      </c>
    </row>
    <row r="14" spans="1:21">
      <c r="A14" s="15"/>
      <c r="B14" s="3"/>
      <c r="C14" s="3"/>
      <c r="D14" s="3"/>
      <c r="E14" s="3"/>
      <c r="F14" s="3"/>
      <c r="G14" s="3"/>
      <c r="H14" s="27">
        <f ca="1">INDEX(MachineData,MATCH(SelectedMachine,Machines,0),8)</f>
        <v>66.6</v>
      </c>
      <c r="I14" s="27">
        <f ca="1">INDEX(MachineData,MATCH(SelectedMachine,Machines,0),9)</f>
        <v>76.4</v>
      </c>
      <c r="J14" s="4" t="e">
        <f ca="1">INTERPOLATE($B$3:$G$3,$B14:$G14,INDEX(MachineData,MATCH(SelectedMachine,Machines,0),8))</f>
        <v>#NAME?</v>
      </c>
      <c r="K14" s="4" t="e">
        <f ca="1">INTERPOLATE($B$3:$G$3,$B14:$G14,INDEX(MachineData,MATCH(SelectedMachine,Machines,0),9))</f>
        <v>#NAME?</v>
      </c>
      <c r="L14" s="3"/>
      <c r="M14" s="3"/>
      <c r="N14" s="51"/>
      <c r="O14" s="27">
        <f ca="1">0.9905+0.071*EXP(-Current_R50_E1/3.67)</f>
        <v>1.0284388965409828</v>
      </c>
      <c r="P14" s="27">
        <f ca="1">0.9905+0.071*EXP(-Current_R50_E2/3.67)</f>
        <v>1.0171224127746152</v>
      </c>
      <c r="Q14" s="27">
        <f ca="1">0.9905+0.071*EXP(-Current_R50_E3/3.67)</f>
        <v>1.008679272235143</v>
      </c>
      <c r="R14" s="27">
        <f ca="1">0.9905+0.071*EXP(-Current_R50_E4/3.67)</f>
        <v>1.0032567255115941</v>
      </c>
      <c r="S14" s="27">
        <f ca="1">0.9905+0.071*EXP(-Current_R50_E5/3.67)</f>
        <v>0.99945162598773163</v>
      </c>
      <c r="T14" s="96"/>
      <c r="U14" s="98" t="str">
        <f ca="1">IF(ISBLANK(T14),"",ABS(T14-TODAY()))</f>
        <v/>
      </c>
    </row>
    <row r="15" spans="1:21">
      <c r="A15" s="15"/>
      <c r="B15" s="3"/>
      <c r="C15" s="3"/>
      <c r="D15" s="3"/>
      <c r="E15" s="3"/>
      <c r="F15" s="3"/>
      <c r="G15" s="3"/>
      <c r="H15" s="27">
        <f ca="1">INDEX(MachineData,MATCH(SelectedMachine,Machines,0),8)</f>
        <v>66.6</v>
      </c>
      <c r="I15" s="27">
        <f ca="1">INDEX(MachineData,MATCH(SelectedMachine,Machines,0),9)</f>
        <v>76.4</v>
      </c>
      <c r="J15" s="4" t="e">
        <f ca="1">INTERPOLATE($B$3:$G$3,$B15:$G15,INDEX(MachineData,MATCH(SelectedMachine,Machines,0),8))</f>
        <v>#NAME?</v>
      </c>
      <c r="K15" s="4" t="e">
        <f ca="1">INTERPOLATE($B$3:$G$3,$B15:$G15,INDEX(MachineData,MATCH(SelectedMachine,Machines,0),9))</f>
        <v>#NAME?</v>
      </c>
      <c r="L15" s="3"/>
      <c r="M15" s="3"/>
      <c r="N15" s="51"/>
      <c r="O15" s="27">
        <f ca="1">0.9905+0.071*EXP(-Current_R50_E1/3.67)</f>
        <v>1.0284388965409828</v>
      </c>
      <c r="P15" s="27">
        <f ca="1">0.9905+0.071*EXP(-Current_R50_E2/3.67)</f>
        <v>1.0171224127746152</v>
      </c>
      <c r="Q15" s="27">
        <f ca="1">0.9905+0.071*EXP(-Current_R50_E3/3.67)</f>
        <v>1.008679272235143</v>
      </c>
      <c r="R15" s="27">
        <f ca="1">0.9905+0.071*EXP(-Current_R50_E4/3.67)</f>
        <v>1.0032567255115941</v>
      </c>
      <c r="S15" s="27">
        <f ca="1">0.9905+0.071*EXP(-Current_R50_E5/3.67)</f>
        <v>0.99945162598773163</v>
      </c>
      <c r="T15" s="96"/>
      <c r="U15" s="98" t="str">
        <f ca="1">IF(ISBLANK(T15),"",ABS(T15-TODAY()))</f>
        <v/>
      </c>
    </row>
    <row r="16" spans="1:21">
      <c r="A16" s="15"/>
      <c r="B16" s="3"/>
      <c r="C16" s="3"/>
      <c r="D16" s="3"/>
      <c r="E16" s="3"/>
      <c r="F16" s="3"/>
      <c r="G16" s="3"/>
      <c r="H16" s="27">
        <f ca="1">INDEX(MachineData,MATCH(SelectedMachine,Machines,0),8)</f>
        <v>66.6</v>
      </c>
      <c r="I16" s="27">
        <f ca="1">INDEX(MachineData,MATCH(SelectedMachine,Machines,0),9)</f>
        <v>76.4</v>
      </c>
      <c r="J16" s="4" t="e">
        <f ca="1">INTERPOLATE($B$3:$G$3,$B16:$G16,INDEX(MachineData,MATCH(SelectedMachine,Machines,0),8))</f>
        <v>#NAME?</v>
      </c>
      <c r="K16" s="4" t="e">
        <f ca="1">INTERPOLATE($B$3:$G$3,$B16:$G16,INDEX(MachineData,MATCH(SelectedMachine,Machines,0),9))</f>
        <v>#NAME?</v>
      </c>
      <c r="L16" s="3"/>
      <c r="M16" s="3"/>
      <c r="N16" s="51"/>
      <c r="O16" s="27">
        <f ca="1">0.9905+0.071*EXP(-Current_R50_E1/3.67)</f>
        <v>1.0284388965409828</v>
      </c>
      <c r="P16" s="27">
        <f ca="1">0.9905+0.071*EXP(-Current_R50_E2/3.67)</f>
        <v>1.0171224127746152</v>
      </c>
      <c r="Q16" s="27">
        <f ca="1">0.9905+0.071*EXP(-Current_R50_E3/3.67)</f>
        <v>1.008679272235143</v>
      </c>
      <c r="R16" s="27">
        <f ca="1">0.9905+0.071*EXP(-Current_R50_E4/3.67)</f>
        <v>1.0032567255115941</v>
      </c>
      <c r="S16" s="27">
        <f ca="1">0.9905+0.071*EXP(-Current_R50_E5/3.67)</f>
        <v>0.99945162598773163</v>
      </c>
      <c r="T16" s="96"/>
      <c r="U16" s="98" t="str">
        <f ca="1">IF(ISBLANK(T16),"",ABS(T16-TODAY()))</f>
        <v/>
      </c>
    </row>
    <row r="17" spans="1:21">
      <c r="A17" s="15"/>
      <c r="B17" s="3"/>
      <c r="C17" s="3"/>
      <c r="D17" s="3"/>
      <c r="E17" s="3"/>
      <c r="F17" s="3"/>
      <c r="G17" s="3"/>
      <c r="H17" s="27">
        <f ca="1">INDEX(MachineData,MATCH(SelectedMachine,Machines,0),8)</f>
        <v>66.6</v>
      </c>
      <c r="I17" s="27">
        <f ca="1">INDEX(MachineData,MATCH(SelectedMachine,Machines,0),9)</f>
        <v>76.4</v>
      </c>
      <c r="J17" s="4" t="e">
        <f ca="1">INTERPOLATE($B$3:$G$3,$B17:$G17,INDEX(MachineData,MATCH(SelectedMachine,Machines,0),8))</f>
        <v>#NAME?</v>
      </c>
      <c r="K17" s="4" t="e">
        <f ca="1">INTERPOLATE($B$3:$G$3,$B17:$G17,INDEX(MachineData,MATCH(SelectedMachine,Machines,0),9))</f>
        <v>#NAME?</v>
      </c>
      <c r="L17" s="3"/>
      <c r="M17" s="3"/>
      <c r="N17" s="51"/>
      <c r="O17" s="27">
        <f ca="1">0.9905+0.071*EXP(-Current_R50_E1/3.67)</f>
        <v>1.0284388965409828</v>
      </c>
      <c r="P17" s="27">
        <f ca="1">0.9905+0.071*EXP(-Current_R50_E2/3.67)</f>
        <v>1.0171224127746152</v>
      </c>
      <c r="Q17" s="27">
        <f ca="1">0.9905+0.071*EXP(-Current_R50_E3/3.67)</f>
        <v>1.008679272235143</v>
      </c>
      <c r="R17" s="27">
        <f ca="1">0.9905+0.071*EXP(-Current_R50_E4/3.67)</f>
        <v>1.0032567255115941</v>
      </c>
      <c r="S17" s="27">
        <f ca="1">0.9905+0.071*EXP(-Current_R50_E5/3.67)</f>
        <v>0.99945162598773163</v>
      </c>
      <c r="T17" s="96"/>
      <c r="U17" s="98" t="str">
        <f ca="1">IF(ISBLANK(T17),"",ABS(T17-TODAY()))</f>
        <v/>
      </c>
    </row>
    <row r="18" spans="1:21">
      <c r="A18" s="15"/>
      <c r="B18" s="3"/>
      <c r="C18" s="3"/>
      <c r="D18" s="3"/>
      <c r="E18" s="3"/>
      <c r="F18" s="3"/>
      <c r="G18" s="3"/>
      <c r="H18" s="27">
        <f ca="1">INDEX(MachineData,MATCH(SelectedMachine,Machines,0),8)</f>
        <v>66.6</v>
      </c>
      <c r="I18" s="27">
        <f ca="1">INDEX(MachineData,MATCH(SelectedMachine,Machines,0),9)</f>
        <v>76.4</v>
      </c>
      <c r="J18" s="4" t="e">
        <f ca="1">INTERPOLATE($B$3:$G$3,$B18:$G18,INDEX(MachineData,MATCH(SelectedMachine,Machines,0),8))</f>
        <v>#NAME?</v>
      </c>
      <c r="K18" s="4" t="e">
        <f ca="1">INTERPOLATE($B$3:$G$3,$B18:$G18,INDEX(MachineData,MATCH(SelectedMachine,Machines,0),9))</f>
        <v>#NAME?</v>
      </c>
      <c r="L18" s="3"/>
      <c r="M18" s="3"/>
      <c r="N18" s="51"/>
      <c r="O18" s="27">
        <f ca="1">0.9905+0.071*EXP(-Current_R50_E1/3.67)</f>
        <v>1.0284388965409828</v>
      </c>
      <c r="P18" s="27">
        <f ca="1">0.9905+0.071*EXP(-Current_R50_E2/3.67)</f>
        <v>1.0171224127746152</v>
      </c>
      <c r="Q18" s="27">
        <f ca="1">0.9905+0.071*EXP(-Current_R50_E3/3.67)</f>
        <v>1.008679272235143</v>
      </c>
      <c r="R18" s="27">
        <f ca="1">0.9905+0.071*EXP(-Current_R50_E4/3.67)</f>
        <v>1.0032567255115941</v>
      </c>
      <c r="S18" s="27">
        <f ca="1">0.9905+0.071*EXP(-Current_R50_E5/3.67)</f>
        <v>0.99945162598773163</v>
      </c>
      <c r="T18" s="96"/>
      <c r="U18" s="98" t="str">
        <f ca="1">IF(ISBLANK(T18),"",ABS(T18-TODAY()))</f>
        <v/>
      </c>
    </row>
    <row r="19" spans="1:21">
      <c r="A19" s="15"/>
      <c r="B19" s="3"/>
      <c r="C19" s="3"/>
      <c r="D19" s="3"/>
      <c r="E19" s="3"/>
      <c r="F19" s="3"/>
      <c r="G19" s="3"/>
      <c r="H19" s="27">
        <f ca="1">INDEX(MachineData,MATCH(SelectedMachine,Machines,0),8)</f>
        <v>66.6</v>
      </c>
      <c r="I19" s="27">
        <f ca="1">INDEX(MachineData,MATCH(SelectedMachine,Machines,0),9)</f>
        <v>76.4</v>
      </c>
      <c r="J19" s="4" t="e">
        <f ca="1">INTERPOLATE($B$3:$G$3,$B19:$G19,INDEX(MachineData,MATCH(SelectedMachine,Machines,0),8))</f>
        <v>#NAME?</v>
      </c>
      <c r="K19" s="4" t="e">
        <f ca="1">INTERPOLATE($B$3:$G$3,$B19:$G19,INDEX(MachineData,MATCH(SelectedMachine,Machines,0),9))</f>
        <v>#NAME?</v>
      </c>
      <c r="L19" s="3"/>
      <c r="M19" s="3"/>
      <c r="N19" s="51"/>
      <c r="O19" s="27">
        <f ca="1">0.9905+0.071*EXP(-Current_R50_E1/3.67)</f>
        <v>1.0284388965409828</v>
      </c>
      <c r="P19" s="27">
        <f ca="1">0.9905+0.071*EXP(-Current_R50_E2/3.67)</f>
        <v>1.0171224127746152</v>
      </c>
      <c r="Q19" s="27">
        <f ca="1">0.9905+0.071*EXP(-Current_R50_E3/3.67)</f>
        <v>1.008679272235143</v>
      </c>
      <c r="R19" s="27">
        <f ca="1">0.9905+0.071*EXP(-Current_R50_E4/3.67)</f>
        <v>1.0032567255115941</v>
      </c>
      <c r="S19" s="27">
        <f ca="1">0.9905+0.071*EXP(-Current_R50_E5/3.67)</f>
        <v>0.99945162598773163</v>
      </c>
      <c r="T19" s="96"/>
      <c r="U19" s="98" t="str">
        <f ca="1">IF(ISBLANK(T19),"",ABS(T19-TODAY()))</f>
        <v/>
      </c>
    </row>
    <row r="20" spans="1:21">
      <c r="A20" s="15"/>
      <c r="B20" s="3"/>
      <c r="C20" s="3"/>
      <c r="D20" s="3"/>
      <c r="E20" s="3"/>
      <c r="F20" s="3"/>
      <c r="G20" s="3"/>
      <c r="H20" s="27">
        <f ca="1">INDEX(MachineData,MATCH(SelectedMachine,Machines,0),8)</f>
        <v>66.6</v>
      </c>
      <c r="I20" s="27">
        <f ca="1">INDEX(MachineData,MATCH(SelectedMachine,Machines,0),9)</f>
        <v>76.4</v>
      </c>
      <c r="J20" s="4" t="e">
        <f ca="1">INTERPOLATE($B$3:$G$3,$B20:$G20,INDEX(MachineData,MATCH(SelectedMachine,Machines,0),8))</f>
        <v>#NAME?</v>
      </c>
      <c r="K20" s="4" t="e">
        <f ca="1">INTERPOLATE($B$3:$G$3,$B20:$G20,INDEX(MachineData,MATCH(SelectedMachine,Machines,0),9))</f>
        <v>#NAME?</v>
      </c>
      <c r="L20" s="3"/>
      <c r="M20" s="3"/>
      <c r="N20" s="51"/>
      <c r="O20" s="27">
        <f ca="1">0.9905+0.071*EXP(-Current_R50_E1/3.67)</f>
        <v>1.0284388965409828</v>
      </c>
      <c r="P20" s="27">
        <f ca="1">0.9905+0.071*EXP(-Current_R50_E2/3.67)</f>
        <v>1.0171224127746152</v>
      </c>
      <c r="Q20" s="27">
        <f ca="1">0.9905+0.071*EXP(-Current_R50_E3/3.67)</f>
        <v>1.008679272235143</v>
      </c>
      <c r="R20" s="27">
        <f ca="1">0.9905+0.071*EXP(-Current_R50_E4/3.67)</f>
        <v>1.0032567255115941</v>
      </c>
      <c r="S20" s="27">
        <f ca="1">0.9905+0.071*EXP(-Current_R50_E5/3.67)</f>
        <v>0.99945162598773163</v>
      </c>
      <c r="T20" s="96"/>
      <c r="U20" s="98" t="str">
        <f ca="1">IF(ISBLANK(T20),"",ABS(T20-TODAY()))</f>
        <v/>
      </c>
    </row>
    <row r="21" spans="1:21">
      <c r="A21" s="15"/>
      <c r="B21" s="3"/>
      <c r="C21" s="3"/>
      <c r="D21" s="3"/>
      <c r="E21" s="3"/>
      <c r="F21" s="3"/>
      <c r="G21" s="3"/>
      <c r="H21" s="27">
        <f ca="1">INDEX(MachineData,MATCH(SelectedMachine,Machines,0),8)</f>
        <v>66.6</v>
      </c>
      <c r="I21" s="27">
        <f ca="1">INDEX(MachineData,MATCH(SelectedMachine,Machines,0),9)</f>
        <v>76.4</v>
      </c>
      <c r="J21" s="4" t="e">
        <f ca="1">INTERPOLATE($B$3:$G$3,$B21:$G21,INDEX(MachineData,MATCH(SelectedMachine,Machines,0),8))</f>
        <v>#NAME?</v>
      </c>
      <c r="K21" s="4" t="e">
        <f ca="1">INTERPOLATE($B$3:$G$3,$B21:$G21,INDEX(MachineData,MATCH(SelectedMachine,Machines,0),9))</f>
        <v>#NAME?</v>
      </c>
      <c r="L21" s="3"/>
      <c r="M21" s="3"/>
      <c r="N21" s="51"/>
      <c r="O21" s="27">
        <f ca="1">0.9905+0.071*EXP(-Current_R50_E1/3.67)</f>
        <v>1.0284388965409828</v>
      </c>
      <c r="P21" s="27">
        <f ca="1">0.9905+0.071*EXP(-Current_R50_E2/3.67)</f>
        <v>1.0171224127746152</v>
      </c>
      <c r="Q21" s="27">
        <f ca="1">0.9905+0.071*EXP(-Current_R50_E3/3.67)</f>
        <v>1.008679272235143</v>
      </c>
      <c r="R21" s="27">
        <f ca="1">0.9905+0.071*EXP(-Current_R50_E4/3.67)</f>
        <v>1.0032567255115941</v>
      </c>
      <c r="S21" s="27">
        <f ca="1">0.9905+0.071*EXP(-Current_R50_E5/3.67)</f>
        <v>0.99945162598773163</v>
      </c>
      <c r="T21" s="96"/>
      <c r="U21" s="98" t="str">
        <f ca="1">IF(ISBLANK(T21),"",ABS(T21-TODAY()))</f>
        <v/>
      </c>
    </row>
  </sheetData>
  <mergeCells count="5">
    <mergeCell ref="B2:G2"/>
    <mergeCell ref="J2:K2"/>
    <mergeCell ref="O2:S2"/>
    <mergeCell ref="A1:U1"/>
    <mergeCell ref="H2:I2"/>
  </mergeCells>
  <conditionalFormatting sqref="T4">
    <cfRule type="expression" dxfId="18" priority="12">
      <formula>AND(NOT(ISBLANK(T4)),AND(ABS(T4-TODAY())&gt;665,ABS(T4-TODAY())&lt;695))</formula>
    </cfRule>
    <cfRule type="expression" dxfId="19" priority="13">
      <formula>AND(NOT(ISBLANK(T4)),ABS(T4-TODAY())&gt;695)</formula>
    </cfRule>
  </conditionalFormatting>
  <conditionalFormatting sqref="U4:U21">
    <cfRule type="iconSet" priority="3">
      <iconSet iconSet="3Symbols" reverse="1" showValue="0">
        <cfvo type="percent" val="0" gte="1"/>
        <cfvo type="num" val="665" gte="1"/>
        <cfvo type="num" val="695" gte="0"/>
      </iconSet>
    </cfRule>
  </conditionalFormatting>
  <conditionalFormatting sqref="T5:T21">
    <cfRule type="expression" dxfId="20" priority="1">
      <formula>AND(NOT(ISBLANK(T5)),AND(ABS(T5-TODAY())&gt;665,ABS(T5-TODAY())&lt;695))</formula>
    </cfRule>
    <cfRule type="expression" dxfId="21" priority="2">
      <formula>AND(NOT(ISBLANK(T5)),ABS(T5-TODAY())&gt;695)</formula>
    </cfRule>
  </conditionalFormatting>
  <pageMargins left="0.7" right="0.7" top="0.75" bottom="0.75" header="0.3" footer="0.3"/>
  <pageSetup orientation="portrait" verticalDpi="4"/>
  <headerFooter scaleWithDoc="1" alignWithMargins="0" differentFirst="0" differentOddEven="0"/>
  <legacyDrawing r:id="rId2"/>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7"/>
  <dimension ref="A1:D24"/>
  <sheetViews>
    <sheetView view="normal" workbookViewId="0">
      <selection pane="topLeft" activeCell="B30" sqref="B30"/>
    </sheetView>
  </sheetViews>
  <sheetFormatPr defaultRowHeight="14.25" baseColWidth="0"/>
  <cols>
    <col min="1" max="1" width="35.25" customWidth="1"/>
    <col min="2" max="2" width="26.75" customWidth="1"/>
    <col min="3" max="3" width="26.12109375" customWidth="1"/>
    <col min="4" max="4" width="5" customWidth="1"/>
  </cols>
  <sheetData>
    <row r="1" spans="1:4" ht="51.75" customHeight="1" thickBot="1">
      <c r="A1" s="150" t="s">
        <v>118</v>
      </c>
      <c r="B1" s="151"/>
      <c r="C1" s="151"/>
      <c r="D1" s="152"/>
    </row>
    <row r="2" spans="1:4">
      <c r="A2" s="149" t="s">
        <v>79</v>
      </c>
      <c r="B2" s="149"/>
      <c r="C2" s="149"/>
      <c r="D2" s="149"/>
    </row>
    <row r="3" spans="1:4" ht="17.25">
      <c r="A3" s="2" t="s">
        <v>80</v>
      </c>
      <c r="B3" s="61" t="s">
        <v>81</v>
      </c>
      <c r="C3" s="61" t="s">
        <v>103</v>
      </c>
      <c r="D3" s="94"/>
    </row>
    <row r="4" spans="1:4">
      <c r="A4" s="15" t="s">
        <v>85</v>
      </c>
      <c r="B4" s="3">
        <v>1.003</v>
      </c>
      <c r="C4" s="96">
        <v>42137</v>
      </c>
      <c r="D4" s="98">
        <f ca="1">IF(ISBLANK(C4),"",ABS(C4-TODAY()))</f>
        <v>708</v>
      </c>
    </row>
    <row r="5" spans="1:4">
      <c r="A5" s="15" t="s">
        <v>86</v>
      </c>
      <c r="B5" s="3">
        <v>0.999</v>
      </c>
      <c r="C5" s="96">
        <v>41409</v>
      </c>
      <c r="D5" s="98">
        <f ca="1">IF(ISBLANK(C5),"",ABS(C5-TODAY()))</f>
        <v>1436</v>
      </c>
    </row>
    <row r="6" spans="1:4">
      <c r="A6" s="15" t="s">
        <v>115</v>
      </c>
      <c r="B6" s="3">
        <v>0.999</v>
      </c>
      <c r="C6" s="96">
        <v>42313</v>
      </c>
      <c r="D6" s="98">
        <f ca="1">IF(ISBLANK(C6),"",ABS(C6-TODAY()))</f>
        <v>532</v>
      </c>
    </row>
    <row r="7" spans="1:4">
      <c r="A7" s="15"/>
      <c r="B7" s="3"/>
      <c r="C7" s="96"/>
      <c r="D7" s="98" t="str">
        <f ca="1">IF(ISBLANK(C7),"",ABS(C7-TODAY()))</f>
        <v/>
      </c>
    </row>
    <row r="8" spans="1:4">
      <c r="A8" s="15"/>
      <c r="B8" s="3"/>
      <c r="C8" s="96"/>
      <c r="D8" s="98" t="str">
        <f ca="1">IF(ISBLANK(C8),"",ABS(C8-TODAY()))</f>
        <v/>
      </c>
    </row>
    <row r="9" spans="1:4">
      <c r="A9" s="15"/>
      <c r="B9" s="3"/>
      <c r="C9" s="96"/>
      <c r="D9" s="98" t="str">
        <f ca="1">IF(ISBLANK(C9),"",ABS(C9-TODAY()))</f>
        <v/>
      </c>
    </row>
    <row r="10" spans="1:4">
      <c r="A10" s="15"/>
      <c r="B10" s="3"/>
      <c r="C10" s="96"/>
      <c r="D10" s="98" t="str">
        <f ca="1">IF(ISBLANK(C10),"",ABS(C10-TODAY()))</f>
        <v/>
      </c>
    </row>
    <row r="11" spans="1:4">
      <c r="A11" s="15"/>
      <c r="B11" s="3"/>
      <c r="C11" s="96"/>
      <c r="D11" s="98" t="str">
        <f ca="1">IF(ISBLANK(C11),"",ABS(C11-TODAY()))</f>
        <v/>
      </c>
    </row>
    <row r="12" spans="1:4">
      <c r="A12" s="15"/>
      <c r="B12" s="3"/>
      <c r="C12" s="96"/>
      <c r="D12" s="98" t="str">
        <f ca="1">IF(ISBLANK(C12),"",ABS(C12-TODAY()))</f>
        <v/>
      </c>
    </row>
    <row r="13" spans="1:4">
      <c r="A13" s="15"/>
      <c r="B13" s="3"/>
      <c r="C13" s="96"/>
      <c r="D13" s="98" t="str">
        <f ca="1">IF(ISBLANK(C13),"",ABS(C13-TODAY()))</f>
        <v/>
      </c>
    </row>
    <row r="14" spans="1:4">
      <c r="A14" s="15"/>
      <c r="B14" s="3"/>
      <c r="C14" s="96"/>
      <c r="D14" s="98" t="str">
        <f ca="1">IF(ISBLANK(C14),"",ABS(C14-TODAY()))</f>
        <v/>
      </c>
    </row>
    <row r="15" spans="1:4">
      <c r="A15" s="15"/>
      <c r="B15" s="3"/>
      <c r="C15" s="96"/>
      <c r="D15" s="98" t="str">
        <f ca="1">IF(ISBLANK(C15),"",ABS(C15-TODAY()))</f>
        <v/>
      </c>
    </row>
    <row r="16" spans="1:4">
      <c r="A16" s="15"/>
      <c r="B16" s="3"/>
      <c r="C16" s="96"/>
      <c r="D16" s="98" t="str">
        <f ca="1">IF(ISBLANK(C16),"",ABS(C16-TODAY()))</f>
        <v/>
      </c>
    </row>
    <row r="17" spans="1:4">
      <c r="A17" s="15"/>
      <c r="B17" s="3"/>
      <c r="C17" s="96"/>
      <c r="D17" s="98" t="str">
        <f ca="1">IF(ISBLANK(C17),"",ABS(C17-TODAY()))</f>
        <v/>
      </c>
    </row>
    <row r="18" spans="1:4">
      <c r="A18" s="15"/>
      <c r="B18" s="3"/>
      <c r="C18" s="96"/>
      <c r="D18" s="98" t="str">
        <f ca="1">IF(ISBLANK(C18),"",ABS(C18-TODAY()))</f>
        <v/>
      </c>
    </row>
    <row r="19" spans="1:4">
      <c r="A19" s="15"/>
      <c r="B19" s="3"/>
      <c r="C19" s="96"/>
      <c r="D19" s="98" t="str">
        <f ca="1">IF(ISBLANK(C19),"",ABS(C19-TODAY()))</f>
        <v/>
      </c>
    </row>
    <row r="20" spans="1:4">
      <c r="A20" s="15"/>
      <c r="B20" s="3"/>
      <c r="C20" s="96"/>
      <c r="D20" s="98" t="str">
        <f ca="1">IF(ISBLANK(C20),"",ABS(C20-TODAY()))</f>
        <v/>
      </c>
    </row>
    <row r="21" spans="1:4">
      <c r="A21" s="15"/>
      <c r="B21" s="3"/>
      <c r="C21" s="96"/>
      <c r="D21" s="98" t="str">
        <f ca="1">IF(ISBLANK(C21),"",ABS(C21-TODAY()))</f>
        <v/>
      </c>
    </row>
    <row r="22" spans="1:4">
      <c r="A22" s="15"/>
      <c r="B22" s="3"/>
      <c r="C22" s="96"/>
      <c r="D22" s="98" t="str">
        <f ca="1">IF(ISBLANK(C22),"",ABS(C22-TODAY()))</f>
        <v/>
      </c>
    </row>
    <row r="23" spans="1:4">
      <c r="A23" s="15"/>
      <c r="B23" s="3"/>
      <c r="C23" s="96"/>
      <c r="D23" s="98" t="str">
        <f ca="1">IF(ISBLANK(C23),"",ABS(C23-TODAY()))</f>
        <v/>
      </c>
    </row>
    <row r="24" spans="1:4">
      <c r="A24" s="15"/>
      <c r="B24" s="3"/>
      <c r="C24" s="96"/>
      <c r="D24" s="98" t="str">
        <f ca="1">IF(ISBLANK(C24),"",ABS(C24-TODAY()))</f>
        <v/>
      </c>
    </row>
  </sheetData>
  <mergeCells count="2">
    <mergeCell ref="A2:D2"/>
    <mergeCell ref="A1:D1"/>
  </mergeCells>
  <conditionalFormatting sqref="D4:D24">
    <cfRule type="iconSet" priority="5">
      <iconSet iconSet="3Symbols" reverse="1" showValue="0">
        <cfvo type="percent" val="0" gte="1"/>
        <cfvo type="num" val="665" gte="1"/>
        <cfvo type="num" val="695" gte="0"/>
      </iconSet>
    </cfRule>
  </conditionalFormatting>
  <conditionalFormatting sqref="C4:C24">
    <cfRule type="expression" dxfId="22" priority="1">
      <formula>AND(NOT(ISBLANK(C4)),AND(ABS(C4-TODAY())&gt;665,ABS(C4-TODAY())&lt;695))</formula>
    </cfRule>
    <cfRule type="expression" dxfId="23" priority="2">
      <formula>AND(NOT(ISBLANK(C4)),ABS(C4-TODAY())&gt;695)</formula>
    </cfRule>
  </conditionalFormatting>
  <pageMargins left="0.7" right="0.7" top="0.75" bottom="0.75" header="0.3" footer="0.3"/>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4"/>
  <dimension ref="A1:BY20"/>
  <sheetViews>
    <sheetView view="normal" workbookViewId="0">
      <selection pane="topLeft" activeCell="I3" sqref="I3:J4"/>
    </sheetView>
  </sheetViews>
  <sheetFormatPr defaultRowHeight="14.25" baseColWidth="0"/>
  <cols>
    <col min="1" max="1" width="27.75" customWidth="1"/>
    <col min="11" max="11" width="11.62109375" customWidth="1"/>
    <col min="12" max="12" width="10.37109375" customWidth="1"/>
    <col min="13" max="13" width="15.37109375" customWidth="1"/>
    <col min="14" max="14" width="14" customWidth="1"/>
    <col min="15" max="15" width="9.25" customWidth="1"/>
    <col min="16" max="16" width="16" customWidth="1"/>
    <col min="17" max="17" width="14.12109375" customWidth="1"/>
    <col min="43" max="43" width="8.87109375" customWidth="1"/>
    <col min="44" max="44" width="11.12109375" customWidth="1"/>
    <col min="45" max="45" width="10.37109375" customWidth="1"/>
    <col min="46" max="46" width="9.75" customWidth="1"/>
    <col min="47" max="47" width="10.25" customWidth="1"/>
    <col min="49" max="49" width="9" customWidth="1"/>
    <col min="50" max="50" width="9.12109375" customWidth="1"/>
    <col min="77" max="77" width="16.62109375" customWidth="1"/>
  </cols>
  <sheetData>
    <row r="1" spans="1:77" ht="21.75">
      <c r="A1" s="161" t="s">
        <v>93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row>
    <row r="2" spans="1:77">
      <c r="A2" s="155" t="s">
        <v>95</v>
      </c>
      <c r="B2" s="155"/>
      <c r="C2" s="155"/>
      <c r="D2" s="155"/>
      <c r="E2" s="155"/>
      <c r="F2" s="155"/>
      <c r="G2" s="155"/>
      <c r="H2" s="156"/>
      <c r="I2" s="172" t="s">
        <v>94</v>
      </c>
      <c r="J2" s="173"/>
      <c r="K2" s="173"/>
      <c r="L2" s="173"/>
      <c r="M2" s="173"/>
      <c r="N2" s="173"/>
      <c r="O2" s="173"/>
      <c r="P2" s="173"/>
      <c r="Q2" s="174"/>
      <c r="R2" s="157" t="s">
        <v>96</v>
      </c>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8"/>
      <c r="BF2" s="159" t="s">
        <v>97</v>
      </c>
      <c r="BG2" s="160"/>
      <c r="BH2" s="160"/>
      <c r="BI2" s="160"/>
      <c r="BJ2" s="160"/>
      <c r="BK2" s="160"/>
      <c r="BL2" s="160"/>
      <c r="BM2" s="160"/>
      <c r="BN2" s="160"/>
      <c r="BO2" s="160"/>
      <c r="BP2" s="160"/>
      <c r="BQ2" s="160"/>
      <c r="BR2" s="160"/>
      <c r="BS2" s="160"/>
      <c r="BT2" s="160"/>
      <c r="BU2" s="160"/>
      <c r="BV2" s="160"/>
      <c r="BW2" s="160"/>
      <c r="BX2" s="160"/>
      <c r="BY2" s="162" t="s">
        <v>112</v>
      </c>
    </row>
    <row r="3" spans="1:77" ht="17.25">
      <c r="A3" s="64"/>
      <c r="B3" s="165" t="s">
        <v>54</v>
      </c>
      <c r="C3" s="165"/>
      <c r="D3" s="165"/>
      <c r="E3" s="165"/>
      <c r="F3" s="165"/>
      <c r="G3" s="165"/>
      <c r="H3" s="168"/>
      <c r="I3" s="147" t="s">
        <v>40</v>
      </c>
      <c r="J3" s="148"/>
      <c r="K3" s="167" t="s">
        <v>89</v>
      </c>
      <c r="L3" s="148"/>
      <c r="M3" s="167" t="s">
        <v>90</v>
      </c>
      <c r="N3" s="166"/>
      <c r="O3" s="56" t="s">
        <v>55</v>
      </c>
      <c r="P3" s="167" t="s">
        <v>67</v>
      </c>
      <c r="Q3" s="168"/>
      <c r="R3" s="169" t="s">
        <v>58</v>
      </c>
      <c r="S3" s="128"/>
      <c r="T3" s="128"/>
      <c r="U3" s="128"/>
      <c r="V3" s="153"/>
      <c r="W3" s="127" t="s">
        <v>18</v>
      </c>
      <c r="X3" s="128"/>
      <c r="Y3" s="128"/>
      <c r="Z3" s="128"/>
      <c r="AA3" s="170"/>
      <c r="AB3" s="171" t="s">
        <v>57</v>
      </c>
      <c r="AC3" s="128"/>
      <c r="AD3" s="128"/>
      <c r="AE3" s="128"/>
      <c r="AF3" s="153"/>
      <c r="AG3" s="127" t="s">
        <v>110</v>
      </c>
      <c r="AH3" s="128"/>
      <c r="AI3" s="128"/>
      <c r="AJ3" s="128"/>
      <c r="AK3" s="153"/>
      <c r="AL3" s="127" t="s">
        <v>111</v>
      </c>
      <c r="AM3" s="128"/>
      <c r="AN3" s="128"/>
      <c r="AO3" s="128"/>
      <c r="AP3" s="153"/>
      <c r="AQ3" s="127" t="s">
        <v>92</v>
      </c>
      <c r="AR3" s="128"/>
      <c r="AS3" s="128"/>
      <c r="AT3" s="128"/>
      <c r="AU3" s="153"/>
      <c r="AV3" s="127" t="s">
        <v>98</v>
      </c>
      <c r="AW3" s="128"/>
      <c r="AX3" s="128"/>
      <c r="AY3" s="128"/>
      <c r="AZ3" s="153"/>
      <c r="BA3" s="127" t="s">
        <v>99</v>
      </c>
      <c r="BB3" s="128"/>
      <c r="BC3" s="128"/>
      <c r="BD3" s="128"/>
      <c r="BE3" s="153"/>
      <c r="BF3" s="127" t="s">
        <v>88</v>
      </c>
      <c r="BG3" s="128"/>
      <c r="BH3" s="128"/>
      <c r="BI3" s="128"/>
      <c r="BJ3" s="154"/>
      <c r="BK3" s="147" t="s">
        <v>4</v>
      </c>
      <c r="BL3" s="165"/>
      <c r="BM3" s="165"/>
      <c r="BN3" s="165"/>
      <c r="BO3" s="165"/>
      <c r="BP3" s="165"/>
      <c r="BQ3" s="166"/>
      <c r="BR3" s="167" t="s">
        <v>14</v>
      </c>
      <c r="BS3" s="165"/>
      <c r="BT3" s="165"/>
      <c r="BU3" s="165"/>
      <c r="BV3" s="165"/>
      <c r="BW3" s="165"/>
      <c r="BX3" s="166"/>
      <c r="BY3" s="163"/>
    </row>
    <row r="4" spans="1:77" ht="15">
      <c r="A4" s="65" t="s">
        <v>44</v>
      </c>
      <c r="B4" s="65" t="s">
        <v>48</v>
      </c>
      <c r="C4" s="65" t="s">
        <v>47</v>
      </c>
      <c r="D4" s="65" t="s">
        <v>49</v>
      </c>
      <c r="E4" s="65" t="s">
        <v>50</v>
      </c>
      <c r="F4" s="65" t="s">
        <v>51</v>
      </c>
      <c r="G4" s="65" t="s">
        <v>52</v>
      </c>
      <c r="H4" s="77" t="s">
        <v>53</v>
      </c>
      <c r="I4" s="65" t="s">
        <v>48</v>
      </c>
      <c r="J4" s="26" t="s">
        <v>47</v>
      </c>
      <c r="K4" s="63" t="s">
        <v>48</v>
      </c>
      <c r="L4" s="35" t="s">
        <v>47</v>
      </c>
      <c r="M4" s="25" t="s">
        <v>48</v>
      </c>
      <c r="N4" s="35" t="s">
        <v>47</v>
      </c>
      <c r="O4" s="30" t="s">
        <v>56</v>
      </c>
      <c r="P4" s="25" t="s">
        <v>48</v>
      </c>
      <c r="Q4" s="77" t="s">
        <v>47</v>
      </c>
      <c r="R4" s="65" t="s">
        <v>49</v>
      </c>
      <c r="S4" s="26" t="s">
        <v>50</v>
      </c>
      <c r="T4" s="26" t="s">
        <v>51</v>
      </c>
      <c r="U4" s="26" t="s">
        <v>52</v>
      </c>
      <c r="V4" s="30" t="s">
        <v>53</v>
      </c>
      <c r="W4" s="1" t="s">
        <v>49</v>
      </c>
      <c r="X4" s="1" t="s">
        <v>50</v>
      </c>
      <c r="Y4" s="1" t="s">
        <v>51</v>
      </c>
      <c r="Z4" s="1" t="s">
        <v>52</v>
      </c>
      <c r="AA4" s="1" t="s">
        <v>53</v>
      </c>
      <c r="AB4" s="25" t="s">
        <v>49</v>
      </c>
      <c r="AC4" s="26" t="s">
        <v>50</v>
      </c>
      <c r="AD4" s="26" t="s">
        <v>51</v>
      </c>
      <c r="AE4" s="26" t="s">
        <v>52</v>
      </c>
      <c r="AF4" s="26" t="s">
        <v>53</v>
      </c>
      <c r="AG4" s="65" t="s">
        <v>49</v>
      </c>
      <c r="AH4" s="65" t="s">
        <v>50</v>
      </c>
      <c r="AI4" s="65" t="s">
        <v>51</v>
      </c>
      <c r="AJ4" s="65" t="s">
        <v>52</v>
      </c>
      <c r="AK4" s="66" t="s">
        <v>53</v>
      </c>
      <c r="AL4" s="26" t="s">
        <v>49</v>
      </c>
      <c r="AM4" s="26" t="s">
        <v>50</v>
      </c>
      <c r="AN4" s="26" t="s">
        <v>51</v>
      </c>
      <c r="AO4" s="26" t="s">
        <v>52</v>
      </c>
      <c r="AP4" s="30" t="s">
        <v>53</v>
      </c>
      <c r="AQ4" s="59" t="s">
        <v>49</v>
      </c>
      <c r="AR4" s="59" t="s">
        <v>50</v>
      </c>
      <c r="AS4" s="59" t="s">
        <v>51</v>
      </c>
      <c r="AT4" s="59" t="s">
        <v>52</v>
      </c>
      <c r="AU4" s="60" t="s">
        <v>53</v>
      </c>
      <c r="AV4" s="65" t="s">
        <v>49</v>
      </c>
      <c r="AW4" s="65" t="s">
        <v>50</v>
      </c>
      <c r="AX4" s="65" t="s">
        <v>51</v>
      </c>
      <c r="AY4" s="65" t="s">
        <v>52</v>
      </c>
      <c r="AZ4" s="66" t="s">
        <v>53</v>
      </c>
      <c r="BA4" s="69" t="s">
        <v>49</v>
      </c>
      <c r="BB4" s="69" t="s">
        <v>50</v>
      </c>
      <c r="BC4" s="69" t="s">
        <v>51</v>
      </c>
      <c r="BD4" s="69" t="s">
        <v>52</v>
      </c>
      <c r="BE4" s="70" t="s">
        <v>53</v>
      </c>
      <c r="BF4" s="65" t="s">
        <v>49</v>
      </c>
      <c r="BG4" s="65" t="s">
        <v>50</v>
      </c>
      <c r="BH4" s="65" t="s">
        <v>51</v>
      </c>
      <c r="BI4" s="65" t="s">
        <v>52</v>
      </c>
      <c r="BJ4" s="77" t="s">
        <v>53</v>
      </c>
      <c r="BK4" s="65" t="s">
        <v>48</v>
      </c>
      <c r="BL4" s="26" t="s">
        <v>47</v>
      </c>
      <c r="BM4" s="26" t="s">
        <v>49</v>
      </c>
      <c r="BN4" s="26" t="s">
        <v>50</v>
      </c>
      <c r="BO4" s="26" t="s">
        <v>51</v>
      </c>
      <c r="BP4" s="26" t="s">
        <v>52</v>
      </c>
      <c r="BQ4" s="30" t="s">
        <v>53</v>
      </c>
      <c r="BR4" s="25" t="s">
        <v>48</v>
      </c>
      <c r="BS4" s="26" t="s">
        <v>47</v>
      </c>
      <c r="BT4" s="26" t="s">
        <v>49</v>
      </c>
      <c r="BU4" s="26" t="s">
        <v>50</v>
      </c>
      <c r="BV4" s="26" t="s">
        <v>51</v>
      </c>
      <c r="BW4" s="26" t="s">
        <v>52</v>
      </c>
      <c r="BX4" s="30" t="s">
        <v>53</v>
      </c>
      <c r="BY4" s="164"/>
    </row>
    <row r="5" spans="1:77">
      <c r="A5" s="74" t="s">
        <v>46</v>
      </c>
      <c r="B5" s="75">
        <v>6</v>
      </c>
      <c r="C5" s="75">
        <v>15</v>
      </c>
      <c r="D5" s="75">
        <v>6</v>
      </c>
      <c r="E5" s="75">
        <v>9</v>
      </c>
      <c r="F5" s="75">
        <v>12</v>
      </c>
      <c r="G5" s="75">
        <v>15</v>
      </c>
      <c r="H5" s="78">
        <v>18</v>
      </c>
      <c r="I5" s="72">
        <v>66.6</v>
      </c>
      <c r="J5" s="28">
        <v>76.4</v>
      </c>
      <c r="K5" s="28">
        <v>0.668</v>
      </c>
      <c r="L5" s="3">
        <v>0.766</v>
      </c>
      <c r="M5" s="31">
        <v>0.777</v>
      </c>
      <c r="N5" s="32">
        <v>0.87</v>
      </c>
      <c r="O5" s="57">
        <v>1.21</v>
      </c>
      <c r="P5" s="31">
        <v>1.6</v>
      </c>
      <c r="Q5" s="76">
        <v>2.7</v>
      </c>
      <c r="R5" s="72">
        <v>2.364</v>
      </c>
      <c r="S5" s="3">
        <v>3.547</v>
      </c>
      <c r="T5" s="3">
        <v>4.955</v>
      </c>
      <c r="U5" s="3">
        <v>6.246</v>
      </c>
      <c r="V5" s="32">
        <v>7.562</v>
      </c>
      <c r="W5" s="29" t="e">
        <f ca="1">IF(ISBLANK(R5),"",DREF_FROMI50(R5))</f>
        <v>#NAME?</v>
      </c>
      <c r="X5" s="29" t="e">
        <f ca="1">IF(ISBLANK(S5),"",DREF_FROMI50(S5))</f>
        <v>#NAME?</v>
      </c>
      <c r="Y5" s="29" t="e">
        <f ca="1">IF(ISBLANK(T5),"",DREF_FROMI50(T5))</f>
        <v>#NAME?</v>
      </c>
      <c r="Z5" s="29" t="e">
        <f ca="1">IF(ISBLANK(U5),"",DREF_FROMI50(U5))</f>
        <v>#NAME?</v>
      </c>
      <c r="AA5" s="29" t="e">
        <f ca="1">IF(ISBLANK(V5),"",DREF_FROMI50(V5))</f>
        <v>#NAME?</v>
      </c>
      <c r="AB5" s="31">
        <v>0.9992</v>
      </c>
      <c r="AC5" s="3">
        <v>0.9994</v>
      </c>
      <c r="AD5" s="3">
        <v>0.9987</v>
      </c>
      <c r="AE5" s="3">
        <v>0.994</v>
      </c>
      <c r="AF5" s="28">
        <v>0.9695</v>
      </c>
      <c r="AG5" s="47">
        <v>2.3</v>
      </c>
      <c r="AH5" s="47">
        <v>3.6</v>
      </c>
      <c r="AI5" s="47">
        <v>5</v>
      </c>
      <c r="AJ5" s="47">
        <v>6.3</v>
      </c>
      <c r="AK5" s="47">
        <v>7.6</v>
      </c>
      <c r="AL5" s="46">
        <v>2</v>
      </c>
      <c r="AM5" s="46">
        <v>3</v>
      </c>
      <c r="AN5" s="46">
        <v>4.3</v>
      </c>
      <c r="AO5" s="46">
        <v>5.4</v>
      </c>
      <c r="AP5" s="47">
        <v>6.4</v>
      </c>
      <c r="AQ5" s="47">
        <v>1.8</v>
      </c>
      <c r="AR5" s="47">
        <v>2.8</v>
      </c>
      <c r="AS5" s="47">
        <v>3.9</v>
      </c>
      <c r="AT5" s="47">
        <v>4.9</v>
      </c>
      <c r="AU5" s="47">
        <v>5.7</v>
      </c>
      <c r="AV5" s="71">
        <f ca="1">IFERROR((AL5 -0.2- AQ5) * (0.8 - 0.9) / (AL5 - AQ5)+ 0.9,"")</f>
        <v>0.9</v>
      </c>
      <c r="AW5" s="71">
        <f ca="1">IFERROR((AM5 -0.2- AR5) * (0.8 - 0.9) / (AM5 - AR5)+ 0.9,"")</f>
        <v>0.9</v>
      </c>
      <c r="AX5" s="71">
        <f ca="1">IFERROR((AN5 -0.2- AS5) * (0.8 - 0.9) / (AN5 - AS5)+ 0.9,"")</f>
        <v>0.85000000000000009</v>
      </c>
      <c r="AY5" s="71">
        <f ca="1">IFERROR((AO5 -0.2- AT5) * (0.8 - 0.9) / (AO5 - AT5)+ 0.9,"")</f>
        <v>0.84000000000000008</v>
      </c>
      <c r="AZ5" s="71">
        <f ca="1">IFERROR((AP5 -0.2- AU5) * (0.8 - 0.9) / (AP5 - AU5)+ 0.9,"")</f>
        <v>0.82857142857142863</v>
      </c>
      <c r="BA5" s="71">
        <f ca="1">IFERROR((AL5 +0.2- AL5) * (0.5 - 0.8) / (AG5 -AL5)+ 0.8,"")</f>
        <v>0.59999999999999976</v>
      </c>
      <c r="BB5" s="71">
        <f ca="1">IFERROR((AM5 +0.2- AM5) * (0.5 - 0.8) / (AH5 -AM5)+ 0.8,"")</f>
        <v>0.7</v>
      </c>
      <c r="BC5" s="71">
        <f ca="1">IFERROR((AN5 +0.2- AN5) * (0.5 - 0.8) / (AI5 -AN5)+ 0.8,"")</f>
        <v>0.7142857142857143</v>
      </c>
      <c r="BD5" s="71">
        <f ca="1">IFERROR((AO5 +0.2- AO5) * (0.5 - 0.8) / (AJ5 -AO5)+ 0.8,"")</f>
        <v>0.73333333333333328</v>
      </c>
      <c r="BE5" s="71">
        <f ca="1">IFERROR((AP5 +0.2- AP5) * (0.5 - 0.8) / (AK5 -AP5)+ 0.8,"")</f>
        <v>0.75</v>
      </c>
      <c r="BF5" s="47">
        <v>1</v>
      </c>
      <c r="BG5" s="47">
        <v>1</v>
      </c>
      <c r="BH5" s="47">
        <v>1</v>
      </c>
      <c r="BI5" s="47">
        <v>1</v>
      </c>
      <c r="BJ5" s="82">
        <v>1</v>
      </c>
      <c r="BK5" s="80">
        <v>1.0038684719535782</v>
      </c>
      <c r="BL5" s="46">
        <v>1.0058199246833277</v>
      </c>
      <c r="BM5" s="46">
        <v>1.0149903288201161</v>
      </c>
      <c r="BN5" s="46">
        <v>1.0137799952482776</v>
      </c>
      <c r="BO5" s="46">
        <v>1.011832946635731</v>
      </c>
      <c r="BP5" s="46">
        <v>1.0128956623681125</v>
      </c>
      <c r="BQ5" s="47">
        <v>1.0151151631477926</v>
      </c>
      <c r="BR5" s="45">
        <v>0.99980806142034551</v>
      </c>
      <c r="BS5" s="46">
        <v>0.99966159052453474</v>
      </c>
      <c r="BT5" s="46">
        <v>1.0009389671361502</v>
      </c>
      <c r="BU5" s="46">
        <v>1.0002312138728324</v>
      </c>
      <c r="BV5" s="46">
        <v>1</v>
      </c>
      <c r="BW5" s="46">
        <v>1.0003428571428572</v>
      </c>
      <c r="BX5" s="47">
        <v>1.0006986492780625</v>
      </c>
      <c r="BY5" s="47" t="b">
        <v>1</v>
      </c>
    </row>
    <row r="6" spans="1:77">
      <c r="A6" s="74" t="s">
        <v>45</v>
      </c>
      <c r="B6" s="75">
        <v>6</v>
      </c>
      <c r="C6" s="75">
        <v>15</v>
      </c>
      <c r="D6" s="75">
        <v>6</v>
      </c>
      <c r="E6" s="75">
        <v>9</v>
      </c>
      <c r="F6" s="75">
        <v>12</v>
      </c>
      <c r="G6" s="75">
        <v>15</v>
      </c>
      <c r="H6" s="78">
        <v>18</v>
      </c>
      <c r="I6" s="72">
        <v>66.15</v>
      </c>
      <c r="J6" s="28">
        <v>77.6</v>
      </c>
      <c r="K6" s="28">
        <v>0.668</v>
      </c>
      <c r="L6" s="3">
        <v>0.766</v>
      </c>
      <c r="M6" s="31">
        <v>0.777</v>
      </c>
      <c r="N6" s="32">
        <v>0.87</v>
      </c>
      <c r="O6" s="57">
        <v>1.21</v>
      </c>
      <c r="P6" s="31">
        <v>1.6</v>
      </c>
      <c r="Q6" s="76">
        <v>2.7</v>
      </c>
      <c r="R6" s="72">
        <v>2.312</v>
      </c>
      <c r="S6" s="3">
        <v>3.492</v>
      </c>
      <c r="T6" s="3">
        <v>4.94</v>
      </c>
      <c r="U6" s="3">
        <v>6.175</v>
      </c>
      <c r="V6" s="3">
        <v>7.39</v>
      </c>
      <c r="W6" s="29" t="e">
        <f ca="1">IF(ISBLANK(R6),"",DREF_FROMI50(R6))</f>
        <v>#NAME?</v>
      </c>
      <c r="X6" s="29" t="e">
        <f ca="1">IF(ISBLANK(S6),"",DREF_FROMI50(S6))</f>
        <v>#NAME?</v>
      </c>
      <c r="Y6" s="29" t="e">
        <f ca="1">IF(ISBLANK(T6),"",DREF_FROMI50(T6))</f>
        <v>#NAME?</v>
      </c>
      <c r="Z6" s="29" t="e">
        <f ca="1">IF(ISBLANK(U6),"",DREF_FROMI50(U6))</f>
        <v>#NAME?</v>
      </c>
      <c r="AA6" s="29" t="e">
        <f ca="1">IF(ISBLANK(V6),"",DREF_FROMI50(V6))</f>
        <v>#NAME?</v>
      </c>
      <c r="AB6" s="31">
        <v>0.9991</v>
      </c>
      <c r="AC6" s="3">
        <v>0.999</v>
      </c>
      <c r="AD6" s="3">
        <v>0.9984</v>
      </c>
      <c r="AE6" s="3">
        <v>0.9944</v>
      </c>
      <c r="AF6" s="28">
        <v>0.975</v>
      </c>
      <c r="AG6" s="47">
        <v>2.3</v>
      </c>
      <c r="AH6" s="47">
        <v>3.6</v>
      </c>
      <c r="AI6" s="47">
        <v>5</v>
      </c>
      <c r="AJ6" s="47">
        <v>6.3</v>
      </c>
      <c r="AK6" s="47">
        <v>7.6</v>
      </c>
      <c r="AL6" s="46">
        <v>2</v>
      </c>
      <c r="AM6" s="46">
        <v>3</v>
      </c>
      <c r="AN6" s="46">
        <v>4.3</v>
      </c>
      <c r="AO6" s="46">
        <v>5.4</v>
      </c>
      <c r="AP6" s="47">
        <v>6.4</v>
      </c>
      <c r="AQ6" s="47">
        <v>1.8</v>
      </c>
      <c r="AR6" s="47">
        <v>2.8</v>
      </c>
      <c r="AS6" s="47">
        <v>3.9</v>
      </c>
      <c r="AT6" s="47">
        <v>4.9</v>
      </c>
      <c r="AU6" s="47">
        <v>5.7</v>
      </c>
      <c r="AV6" s="71">
        <f ca="1">IFERROR((AL6 -0.2- AQ6) * (0.8 - 0.9) / (AL6 - AQ6)+ 0.9,"")</f>
        <v>0.9</v>
      </c>
      <c r="AW6" s="71">
        <f ca="1">IFERROR((AM6 -0.2- AR6) * (0.8 - 0.9) / (AM6 - AR6)+ 0.9,"")</f>
        <v>0.9</v>
      </c>
      <c r="AX6" s="71">
        <f ca="1">IFERROR((AN6 -0.2- AS6) * (0.8 - 0.9) / (AN6 - AS6)+ 0.9,"")</f>
        <v>0.85000000000000009</v>
      </c>
      <c r="AY6" s="71">
        <f ca="1">IFERROR((AO6 -0.2- AT6) * (0.8 - 0.9) / (AO6 - AT6)+ 0.9,"")</f>
        <v>0.84000000000000008</v>
      </c>
      <c r="AZ6" s="71">
        <f ca="1">IFERROR((AP6 -0.2- AU6) * (0.8 - 0.9) / (AP6 - AU6)+ 0.9,"")</f>
        <v>0.82857142857142863</v>
      </c>
      <c r="BA6" s="71">
        <f ca="1">IFERROR((AL6 +0.2- AL6) * (0.5 - 0.8) / (AG6 -AL6)+ 0.8,"")</f>
        <v>0.59999999999999976</v>
      </c>
      <c r="BB6" s="71">
        <f ca="1">IFERROR((AM6 +0.2- AM6) * (0.5 - 0.8) / (AH6 -AM6)+ 0.8,"")</f>
        <v>0.7</v>
      </c>
      <c r="BC6" s="71">
        <f ca="1">IFERROR((AN6 +0.2- AN6) * (0.5 - 0.8) / (AI6 -AN6)+ 0.8,"")</f>
        <v>0.7142857142857143</v>
      </c>
      <c r="BD6" s="71">
        <f ca="1">IFERROR((AO6 +0.2- AO6) * (0.5 - 0.8) / (AJ6 -AO6)+ 0.8,"")</f>
        <v>0.73333333333333328</v>
      </c>
      <c r="BE6" s="71">
        <f ca="1">IFERROR((AP6 +0.2- AP6) * (0.5 - 0.8) / (AK6 -AP6)+ 0.8,"")</f>
        <v>0.75</v>
      </c>
      <c r="BF6" s="47">
        <v>1</v>
      </c>
      <c r="BG6" s="47">
        <v>1</v>
      </c>
      <c r="BH6" s="47">
        <v>1</v>
      </c>
      <c r="BI6" s="47">
        <v>1</v>
      </c>
      <c r="BJ6" s="82">
        <v>1</v>
      </c>
      <c r="BK6" s="80">
        <v>1.0035872546950833</v>
      </c>
      <c r="BL6" s="46">
        <v>1.006504406210659</v>
      </c>
      <c r="BM6" s="46">
        <v>1.0138403333173698</v>
      </c>
      <c r="BN6" s="46">
        <v>1.015130023640662</v>
      </c>
      <c r="BO6" s="46">
        <v>1.0134149211579193</v>
      </c>
      <c r="BP6" s="46">
        <v>1.0149494020239191</v>
      </c>
      <c r="BQ6" s="47">
        <v>1.0144637294170005</v>
      </c>
      <c r="BR6" s="45">
        <v>1.0003767897513187</v>
      </c>
      <c r="BS6" s="46">
        <v>1.0004970178926442</v>
      </c>
      <c r="BT6" s="46">
        <v>0.999419009993028</v>
      </c>
      <c r="BU6" s="46">
        <v>1.0001147842056932</v>
      </c>
      <c r="BV6" s="46">
        <v>1.0003368515607456</v>
      </c>
      <c r="BW6" s="46">
        <v>0.99988786723480594</v>
      </c>
      <c r="BX6" s="47">
        <v>1.000225937641211</v>
      </c>
      <c r="BY6" s="47" t="b">
        <v>1</v>
      </c>
    </row>
    <row r="7" spans="1:77">
      <c r="A7" s="74" t="s">
        <v>109</v>
      </c>
      <c r="B7" s="75">
        <v>6</v>
      </c>
      <c r="C7" s="75">
        <v>15</v>
      </c>
      <c r="D7" s="75">
        <v>6</v>
      </c>
      <c r="E7" s="75">
        <v>9</v>
      </c>
      <c r="F7" s="75">
        <v>12</v>
      </c>
      <c r="G7" s="75">
        <v>15</v>
      </c>
      <c r="H7" s="78">
        <v>18</v>
      </c>
      <c r="I7" s="72">
        <v>66.1</v>
      </c>
      <c r="J7" s="28">
        <v>77.91</v>
      </c>
      <c r="K7" s="28">
        <v>0.661</v>
      </c>
      <c r="L7" s="3">
        <v>0.766</v>
      </c>
      <c r="M7" s="31">
        <v>0.769</v>
      </c>
      <c r="N7" s="32">
        <v>0.877</v>
      </c>
      <c r="O7" s="57">
        <v>1.21</v>
      </c>
      <c r="P7" s="31">
        <v>1.5</v>
      </c>
      <c r="Q7" s="76">
        <v>2.7</v>
      </c>
      <c r="R7" s="72">
        <v>2.396</v>
      </c>
      <c r="S7" s="3">
        <v>3.63</v>
      </c>
      <c r="T7" s="3">
        <v>5.076</v>
      </c>
      <c r="U7" s="3">
        <v>6.438</v>
      </c>
      <c r="V7" s="32">
        <v>7.845</v>
      </c>
      <c r="W7" s="29" t="e">
        <f ca="1">IF(ISBLANK(R7),"",DREF_FROMI50(R7))</f>
        <v>#NAME?</v>
      </c>
      <c r="X7" s="29" t="e">
        <f ca="1">IF(ISBLANK(S7),"",DREF_FROMI50(S7))</f>
        <v>#NAME?</v>
      </c>
      <c r="Y7" s="29" t="e">
        <f ca="1">IF(ISBLANK(T7),"",DREF_FROMI50(T7))</f>
        <v>#NAME?</v>
      </c>
      <c r="Z7" s="29" t="e">
        <f ca="1">IF(ISBLANK(U7),"",DREF_FROMI50(U7))</f>
        <v>#NAME?</v>
      </c>
      <c r="AA7" s="29" t="e">
        <f ca="1">IF(ISBLANK(V7),"",DREF_FROMI50(V7))</f>
        <v>#NAME?</v>
      </c>
      <c r="AB7" s="31">
        <v>0.999</v>
      </c>
      <c r="AC7" s="3">
        <v>0.999</v>
      </c>
      <c r="AD7" s="3">
        <v>1</v>
      </c>
      <c r="AE7" s="3">
        <v>0.994</v>
      </c>
      <c r="AF7" s="28">
        <v>0.974</v>
      </c>
      <c r="AG7" s="47">
        <v>2.37</v>
      </c>
      <c r="AH7" s="47">
        <v>3.65</v>
      </c>
      <c r="AI7" s="47">
        <v>5.18</v>
      </c>
      <c r="AJ7" s="47">
        <v>6.54</v>
      </c>
      <c r="AK7" s="47">
        <v>7.798</v>
      </c>
      <c r="AL7" s="46">
        <v>1.957</v>
      </c>
      <c r="AM7" s="46">
        <v>3</v>
      </c>
      <c r="AN7" s="46">
        <v>4.35</v>
      </c>
      <c r="AO7" s="46">
        <v>5.425</v>
      </c>
      <c r="AP7" s="47">
        <v>6.27</v>
      </c>
      <c r="AQ7" s="47">
        <v>1.767</v>
      </c>
      <c r="AR7" s="47">
        <v>2.717</v>
      </c>
      <c r="AS7" s="47">
        <v>3.968</v>
      </c>
      <c r="AT7" s="47">
        <v>4.893</v>
      </c>
      <c r="AU7" s="47">
        <v>5.392</v>
      </c>
      <c r="AV7" s="71">
        <f ca="1">IFERROR((AL7 -0.2- AQ7) * (0.8 - 0.9) / (AL7 - AQ7)+ 0.9,"")</f>
        <v>0.90526315789473677</v>
      </c>
      <c r="AW7" s="71">
        <f ca="1">IFERROR((AM7 -0.2- AR7) * (0.8 - 0.9) / (AM7 - AR7)+ 0.9,"")</f>
        <v>0.87067137809187289</v>
      </c>
      <c r="AX7" s="71">
        <f ca="1">IFERROR((AN7 -0.2- AS7) * (0.8 - 0.9) / (AN7 - AS7)+ 0.9,"")</f>
        <v>0.85235602094240848</v>
      </c>
      <c r="AY7" s="71">
        <f ca="1">IFERROR((AO7 -0.2- AT7) * (0.8 - 0.9) / (AO7 - AT7)+ 0.9,"")</f>
        <v>0.83759398496240611</v>
      </c>
      <c r="AZ7" s="71">
        <f ca="1">IFERROR((AP7 -0.2- AU7) * (0.8 - 0.9) / (AP7 - AU7)+ 0.9,"")</f>
        <v>0.82277904328018225</v>
      </c>
      <c r="BA7" s="71">
        <f ca="1">IFERROR((AL7 +0.2- AL7) * (0.5 - 0.8) / (AG7 -AL7)+ 0.8,"")</f>
        <v>0.654721549636804</v>
      </c>
      <c r="BB7" s="71">
        <f ca="1">IFERROR((AM7 +0.2- AM7) * (0.5 - 0.8) / (AH7 -AM7)+ 0.8,"")</f>
        <v>0.70769230769230762</v>
      </c>
      <c r="BC7" s="71">
        <f ca="1">IFERROR((AN7 +0.2- AN7) * (0.5 - 0.8) / (AI7 -AN7)+ 0.8,"")</f>
        <v>0.727710843373494</v>
      </c>
      <c r="BD7" s="71">
        <f ca="1">IFERROR((AO7 +0.2- AO7) * (0.5 - 0.8) / (AJ7 -AO7)+ 0.8,"")</f>
        <v>0.74618834080717489</v>
      </c>
      <c r="BE7" s="71">
        <f ca="1">IFERROR((AP7 +0.2- AP7) * (0.5 - 0.8) / (AK7 -AP7)+ 0.8,"")</f>
        <v>0.76073298429319369</v>
      </c>
      <c r="BF7" s="47">
        <v>1</v>
      </c>
      <c r="BG7" s="47">
        <v>1</v>
      </c>
      <c r="BH7" s="47">
        <v>1</v>
      </c>
      <c r="BI7" s="47">
        <v>1</v>
      </c>
      <c r="BJ7" s="82">
        <v>1</v>
      </c>
      <c r="BK7" s="80">
        <v>1.0037664783427496</v>
      </c>
      <c r="BL7" s="46">
        <v>1.0063312229256916</v>
      </c>
      <c r="BM7" s="46">
        <v>1.0141503777431347</v>
      </c>
      <c r="BN7" s="46">
        <v>1.0147759771210676</v>
      </c>
      <c r="BO7" s="46">
        <v>1.0140810276679844</v>
      </c>
      <c r="BP7" s="46">
        <v>1.0135443037974685</v>
      </c>
      <c r="BQ7" s="47">
        <v>1.0132141469102212</v>
      </c>
      <c r="BR7" s="45">
        <v>1.0011214953271028</v>
      </c>
      <c r="BS7" s="46">
        <v>1.0009871668311945</v>
      </c>
      <c r="BT7" s="46">
        <v>1.0002915451895045</v>
      </c>
      <c r="BU7" s="46">
        <v>1.0005208333333333</v>
      </c>
      <c r="BV7" s="46">
        <v>1.000600672753484</v>
      </c>
      <c r="BW7" s="46">
        <v>1.0012324377618931</v>
      </c>
      <c r="BX7" s="47">
        <v>1.0003786444528589</v>
      </c>
      <c r="BY7" s="47" t="b">
        <v>1</v>
      </c>
    </row>
    <row r="8" spans="1:77">
      <c r="A8" s="74"/>
      <c r="B8" s="75"/>
      <c r="C8" s="75"/>
      <c r="D8" s="75"/>
      <c r="E8" s="75"/>
      <c r="F8" s="75"/>
      <c r="G8" s="75"/>
      <c r="H8" s="78"/>
      <c r="I8" s="72"/>
      <c r="J8" s="28"/>
      <c r="K8" s="28"/>
      <c r="L8" s="3"/>
      <c r="M8" s="31"/>
      <c r="N8" s="32"/>
      <c r="O8" s="57"/>
      <c r="P8" s="31"/>
      <c r="Q8" s="76"/>
      <c r="R8" s="72"/>
      <c r="S8" s="3"/>
      <c r="T8" s="3"/>
      <c r="U8" s="3"/>
      <c r="V8" s="32"/>
      <c r="W8" s="29" t="str">
        <f ca="1">IF(ISBLANK(R8),"",DREF_FROMI50(R8))</f>
        <v/>
      </c>
      <c r="X8" s="29" t="str">
        <f ca="1">IF(ISBLANK(S8),"",DREF_FROMI50(S8))</f>
        <v/>
      </c>
      <c r="Y8" s="29" t="str">
        <f ca="1">IF(ISBLANK(T8),"",DREF_FROMI50(T8))</f>
        <v/>
      </c>
      <c r="Z8" s="29" t="str">
        <f ca="1">IF(ISBLANK(U8),"",DREF_FROMI50(U8))</f>
        <v/>
      </c>
      <c r="AA8" s="29" t="str">
        <f ca="1">IF(ISBLANK(V8),"",DREF_FROMI50(V8))</f>
        <v/>
      </c>
      <c r="AB8" s="31"/>
      <c r="AC8" s="3"/>
      <c r="AD8" s="3"/>
      <c r="AE8" s="3"/>
      <c r="AF8" s="28"/>
      <c r="AG8" s="47"/>
      <c r="AH8" s="47"/>
      <c r="AI8" s="47"/>
      <c r="AJ8" s="47"/>
      <c r="AK8" s="47"/>
      <c r="AL8" s="46"/>
      <c r="AM8" s="46"/>
      <c r="AN8" s="46"/>
      <c r="AO8" s="46"/>
      <c r="AP8" s="47"/>
      <c r="AQ8" s="47"/>
      <c r="AR8" s="47"/>
      <c r="AS8" s="47"/>
      <c r="AT8" s="47"/>
      <c r="AU8" s="47"/>
      <c r="AV8" s="71" t="str">
        <f ca="1">IFERROR((AL8 -0.2- AQ8) * (0.8 - 0.9) / (AL8 - AQ8)+ 0.9,"")</f>
        <v/>
      </c>
      <c r="AW8" s="71" t="str">
        <f ca="1">IFERROR((AM8 -0.2- AR8) * (0.8 - 0.9) / (AM8 - AR8)+ 0.9,"")</f>
        <v/>
      </c>
      <c r="AX8" s="71" t="str">
        <f ca="1">IFERROR((AN8 -0.2- AS8) * (0.8 - 0.9) / (AN8 - AS8)+ 0.9,"")</f>
        <v/>
      </c>
      <c r="AY8" s="71" t="str">
        <f ca="1">IFERROR((AO8 -0.2- AT8) * (0.8 - 0.9) / (AO8 - AT8)+ 0.9,"")</f>
        <v/>
      </c>
      <c r="AZ8" s="71" t="str">
        <f ca="1">IFERROR((AP8 -0.2- AU8) * (0.8 - 0.9) / (AP8 - AU8)+ 0.9,"")</f>
        <v/>
      </c>
      <c r="BA8" s="71" t="str">
        <f ca="1">IFERROR((AL8 +0.2- AL8) * (0.5 - 0.8) / (AG8 -AL8)+ 0.8,"")</f>
        <v/>
      </c>
      <c r="BB8" s="71" t="str">
        <f ca="1">IFERROR((AM8 +0.2- AM8) * (0.5 - 0.8) / (AH8 -AM8)+ 0.8,"")</f>
        <v/>
      </c>
      <c r="BC8" s="71" t="str">
        <f ca="1">IFERROR((AN8 +0.2- AN8) * (0.5 - 0.8) / (AI8 -AN8)+ 0.8,"")</f>
        <v/>
      </c>
      <c r="BD8" s="71" t="str">
        <f ca="1">IFERROR((AO8 +0.2- AO8) * (0.5 - 0.8) / (AJ8 -AO8)+ 0.8,"")</f>
        <v/>
      </c>
      <c r="BE8" s="71" t="str">
        <f ca="1">IFERROR((AP8 +0.2- AP8) * (0.5 - 0.8) / (AK8 -AP8)+ 0.8,"")</f>
        <v/>
      </c>
      <c r="BF8" s="47"/>
      <c r="BG8" s="47"/>
      <c r="BH8" s="47"/>
      <c r="BI8" s="47"/>
      <c r="BJ8" s="82"/>
      <c r="BK8" s="80"/>
      <c r="BL8" s="46"/>
      <c r="BM8" s="46"/>
      <c r="BN8" s="46"/>
      <c r="BO8" s="46"/>
      <c r="BP8" s="46"/>
      <c r="BQ8" s="47"/>
      <c r="BR8" s="45"/>
      <c r="BS8" s="46"/>
      <c r="BT8" s="46"/>
      <c r="BU8" s="46"/>
      <c r="BV8" s="46"/>
      <c r="BW8" s="46"/>
      <c r="BX8" s="47"/>
      <c r="BY8" s="47"/>
    </row>
    <row r="9" spans="1:77">
      <c r="A9" s="74"/>
      <c r="B9" s="75"/>
      <c r="C9" s="75"/>
      <c r="D9" s="75"/>
      <c r="E9" s="75"/>
      <c r="F9" s="75"/>
      <c r="G9" s="75"/>
      <c r="H9" s="78"/>
      <c r="I9" s="72"/>
      <c r="J9" s="28"/>
      <c r="K9" s="28"/>
      <c r="L9" s="3"/>
      <c r="M9" s="31"/>
      <c r="N9" s="32"/>
      <c r="O9" s="57"/>
      <c r="P9" s="31"/>
      <c r="Q9" s="76"/>
      <c r="R9" s="72"/>
      <c r="S9" s="3"/>
      <c r="T9" s="3"/>
      <c r="U9" s="3"/>
      <c r="V9" s="32"/>
      <c r="W9" s="29" t="str">
        <f ca="1">IF(ISBLANK(R9),"",DREF_FROMI50(R9))</f>
        <v/>
      </c>
      <c r="X9" s="29" t="str">
        <f ca="1">IF(ISBLANK(S9),"",DREF_FROMI50(S9))</f>
        <v/>
      </c>
      <c r="Y9" s="29" t="str">
        <f ca="1">IF(ISBLANK(T9),"",DREF_FROMI50(T9))</f>
        <v/>
      </c>
      <c r="Z9" s="29" t="str">
        <f ca="1">IF(ISBLANK(U9),"",DREF_FROMI50(U9))</f>
        <v/>
      </c>
      <c r="AA9" s="29" t="str">
        <f ca="1">IF(ISBLANK(V9),"",DREF_FROMI50(V9))</f>
        <v/>
      </c>
      <c r="AB9" s="31"/>
      <c r="AC9" s="3"/>
      <c r="AD9" s="3"/>
      <c r="AE9" s="3"/>
      <c r="AF9" s="28"/>
      <c r="AG9" s="47"/>
      <c r="AH9" s="47"/>
      <c r="AI9" s="47"/>
      <c r="AJ9" s="47"/>
      <c r="AK9" s="47"/>
      <c r="AL9" s="46"/>
      <c r="AM9" s="46"/>
      <c r="AN9" s="46"/>
      <c r="AO9" s="46"/>
      <c r="AP9" s="47"/>
      <c r="AQ9" s="47"/>
      <c r="AR9" s="47"/>
      <c r="AS9" s="47"/>
      <c r="AT9" s="47"/>
      <c r="AU9" s="47"/>
      <c r="AV9" s="71" t="str">
        <f ca="1">IFERROR((AL9 -0.2- AQ9) * (0.8 - 0.9) / (AL9 - AQ9)+ 0.9,"")</f>
        <v/>
      </c>
      <c r="AW9" s="71" t="str">
        <f ca="1">IFERROR((AM9 -0.2- AR9) * (0.8 - 0.9) / (AM9 - AR9)+ 0.9,"")</f>
        <v/>
      </c>
      <c r="AX9" s="71" t="str">
        <f ca="1">IFERROR((AN9 -0.2- AS9) * (0.8 - 0.9) / (AN9 - AS9)+ 0.9,"")</f>
        <v/>
      </c>
      <c r="AY9" s="71" t="str">
        <f ca="1">IFERROR((AO9 -0.2- AT9) * (0.8 - 0.9) / (AO9 - AT9)+ 0.9,"")</f>
        <v/>
      </c>
      <c r="AZ9" s="71" t="str">
        <f ca="1">IFERROR((AP9 -0.2- AU9) * (0.8 - 0.9) / (AP9 - AU9)+ 0.9,"")</f>
        <v/>
      </c>
      <c r="BA9" s="71" t="str">
        <f ca="1">IFERROR((AL9 +0.2- AL9) * (0.5 - 0.8) / (AG9 -AL9)+ 0.8,"")</f>
        <v/>
      </c>
      <c r="BB9" s="71" t="str">
        <f ca="1">IFERROR((AM9 +0.2- AM9) * (0.5 - 0.8) / (AH9 -AM9)+ 0.8,"")</f>
        <v/>
      </c>
      <c r="BC9" s="71" t="str">
        <f ca="1">IFERROR((AN9 +0.2- AN9) * (0.5 - 0.8) / (AI9 -AN9)+ 0.8,"")</f>
        <v/>
      </c>
      <c r="BD9" s="71" t="str">
        <f ca="1">IFERROR((AO9 +0.2- AO9) * (0.5 - 0.8) / (AJ9 -AO9)+ 0.8,"")</f>
        <v/>
      </c>
      <c r="BE9" s="71" t="str">
        <f ca="1">IFERROR((AP9 +0.2- AP9) * (0.5 - 0.8) / (AK9 -AP9)+ 0.8,"")</f>
        <v/>
      </c>
      <c r="BF9" s="47"/>
      <c r="BG9" s="47"/>
      <c r="BH9" s="47"/>
      <c r="BI9" s="47"/>
      <c r="BJ9" s="82"/>
      <c r="BK9" s="80"/>
      <c r="BL9" s="46"/>
      <c r="BM9" s="46"/>
      <c r="BN9" s="46"/>
      <c r="BO9" s="46"/>
      <c r="BP9" s="46"/>
      <c r="BQ9" s="47"/>
      <c r="BR9" s="45"/>
      <c r="BS9" s="46"/>
      <c r="BT9" s="46"/>
      <c r="BU9" s="46"/>
      <c r="BV9" s="46"/>
      <c r="BW9" s="46"/>
      <c r="BX9" s="47"/>
      <c r="BY9" s="47"/>
    </row>
    <row r="10" spans="1:77">
      <c r="A10" s="74"/>
      <c r="B10" s="75"/>
      <c r="C10" s="75"/>
      <c r="D10" s="75"/>
      <c r="E10" s="75"/>
      <c r="F10" s="75"/>
      <c r="G10" s="75"/>
      <c r="H10" s="78"/>
      <c r="I10" s="72"/>
      <c r="J10" s="28"/>
      <c r="K10" s="28"/>
      <c r="L10" s="3"/>
      <c r="M10" s="31"/>
      <c r="N10" s="32"/>
      <c r="O10" s="57"/>
      <c r="P10" s="31"/>
      <c r="Q10" s="76"/>
      <c r="R10" s="72"/>
      <c r="S10" s="3"/>
      <c r="T10" s="3"/>
      <c r="U10" s="3"/>
      <c r="V10" s="32"/>
      <c r="W10" s="29" t="str">
        <f ca="1">IF(ISBLANK(R10),"",DREF_FROMI50(R10))</f>
        <v/>
      </c>
      <c r="X10" s="29" t="str">
        <f ca="1">IF(ISBLANK(S10),"",DREF_FROMI50(S10))</f>
        <v/>
      </c>
      <c r="Y10" s="29" t="str">
        <f ca="1">IF(ISBLANK(T10),"",DREF_FROMI50(T10))</f>
        <v/>
      </c>
      <c r="Z10" s="29" t="str">
        <f ca="1">IF(ISBLANK(U10),"",DREF_FROMI50(U10))</f>
        <v/>
      </c>
      <c r="AA10" s="29" t="str">
        <f ca="1">IF(ISBLANK(V10),"",DREF_FROMI50(V10))</f>
        <v/>
      </c>
      <c r="AB10" s="31"/>
      <c r="AC10" s="3"/>
      <c r="AD10" s="3"/>
      <c r="AE10" s="3"/>
      <c r="AF10" s="28"/>
      <c r="AG10" s="47"/>
      <c r="AH10" s="47"/>
      <c r="AI10" s="47"/>
      <c r="AJ10" s="47"/>
      <c r="AK10" s="47"/>
      <c r="AL10" s="46"/>
      <c r="AM10" s="46"/>
      <c r="AN10" s="46"/>
      <c r="AO10" s="46"/>
      <c r="AP10" s="47"/>
      <c r="AQ10" s="47"/>
      <c r="AR10" s="47"/>
      <c r="AS10" s="47"/>
      <c r="AT10" s="47"/>
      <c r="AU10" s="47"/>
      <c r="AV10" s="71" t="str">
        <f ca="1">IFERROR((AL10 -0.2- AQ10) * (0.8 - 0.9) / (AL10 - AQ10)+ 0.9,"")</f>
        <v/>
      </c>
      <c r="AW10" s="71" t="str">
        <f ca="1">IFERROR((AM10 -0.2- AR10) * (0.8 - 0.9) / (AM10 - AR10)+ 0.9,"")</f>
        <v/>
      </c>
      <c r="AX10" s="71" t="str">
        <f ca="1">IFERROR((AN10 -0.2- AS10) * (0.8 - 0.9) / (AN10 - AS10)+ 0.9,"")</f>
        <v/>
      </c>
      <c r="AY10" s="71" t="str">
        <f ca="1">IFERROR((AO10 -0.2- AT10) * (0.8 - 0.9) / (AO10 - AT10)+ 0.9,"")</f>
        <v/>
      </c>
      <c r="AZ10" s="71" t="str">
        <f ca="1">IFERROR((AP10 -0.2- AU10) * (0.8 - 0.9) / (AP10 - AU10)+ 0.9,"")</f>
        <v/>
      </c>
      <c r="BA10" s="71" t="str">
        <f ca="1">IFERROR((AL10 +0.2- AL10) * (0.5 - 0.8) / (AG10 -AL10)+ 0.8,"")</f>
        <v/>
      </c>
      <c r="BB10" s="71" t="str">
        <f ca="1">IFERROR((AM10 +0.2- AM10) * (0.5 - 0.8) / (AH10 -AM10)+ 0.8,"")</f>
        <v/>
      </c>
      <c r="BC10" s="71" t="str">
        <f ca="1">IFERROR((AN10 +0.2- AN10) * (0.5 - 0.8) / (AI10 -AN10)+ 0.8,"")</f>
        <v/>
      </c>
      <c r="BD10" s="71" t="str">
        <f ca="1">IFERROR((AO10 +0.2- AO10) * (0.5 - 0.8) / (AJ10 -AO10)+ 0.8,"")</f>
        <v/>
      </c>
      <c r="BE10" s="71" t="str">
        <f ca="1">IFERROR((AP10 +0.2- AP10) * (0.5 - 0.8) / (AK10 -AP10)+ 0.8,"")</f>
        <v/>
      </c>
      <c r="BF10" s="47"/>
      <c r="BG10" s="47"/>
      <c r="BH10" s="47"/>
      <c r="BI10" s="47"/>
      <c r="BJ10" s="82"/>
      <c r="BK10" s="80"/>
      <c r="BL10" s="46"/>
      <c r="BM10" s="46"/>
      <c r="BN10" s="46"/>
      <c r="BO10" s="46"/>
      <c r="BP10" s="46"/>
      <c r="BQ10" s="47"/>
      <c r="BR10" s="45"/>
      <c r="BS10" s="46"/>
      <c r="BT10" s="46"/>
      <c r="BU10" s="46"/>
      <c r="BV10" s="46"/>
      <c r="BW10" s="46"/>
      <c r="BX10" s="47"/>
      <c r="BY10" s="47"/>
    </row>
    <row r="11" spans="1:77">
      <c r="A11" s="74"/>
      <c r="B11" s="75"/>
      <c r="C11" s="75"/>
      <c r="D11" s="75"/>
      <c r="E11" s="75"/>
      <c r="F11" s="75"/>
      <c r="G11" s="75"/>
      <c r="H11" s="78"/>
      <c r="I11" s="72"/>
      <c r="J11" s="28"/>
      <c r="K11" s="28"/>
      <c r="L11" s="3"/>
      <c r="M11" s="31"/>
      <c r="N11" s="32"/>
      <c r="O11" s="57"/>
      <c r="P11" s="31"/>
      <c r="Q11" s="76"/>
      <c r="R11" s="72"/>
      <c r="S11" s="3"/>
      <c r="T11" s="3"/>
      <c r="U11" s="3"/>
      <c r="V11" s="32"/>
      <c r="W11" s="29" t="str">
        <f ca="1">IF(ISBLANK(R11),"",DREF_FROMI50(R11))</f>
        <v/>
      </c>
      <c r="X11" s="29" t="str">
        <f ca="1">IF(ISBLANK(S11),"",DREF_FROMI50(S11))</f>
        <v/>
      </c>
      <c r="Y11" s="29" t="str">
        <f ca="1">IF(ISBLANK(T11),"",DREF_FROMI50(T11))</f>
        <v/>
      </c>
      <c r="Z11" s="29" t="str">
        <f ca="1">IF(ISBLANK(U11),"",DREF_FROMI50(U11))</f>
        <v/>
      </c>
      <c r="AA11" s="29" t="str">
        <f ca="1">IF(ISBLANK(V11),"",DREF_FROMI50(V11))</f>
        <v/>
      </c>
      <c r="AB11" s="31"/>
      <c r="AC11" s="3"/>
      <c r="AD11" s="3"/>
      <c r="AE11" s="3"/>
      <c r="AF11" s="28"/>
      <c r="AG11" s="47"/>
      <c r="AH11" s="47"/>
      <c r="AI11" s="47"/>
      <c r="AJ11" s="47"/>
      <c r="AK11" s="47"/>
      <c r="AL11" s="46"/>
      <c r="AM11" s="46"/>
      <c r="AN11" s="46"/>
      <c r="AO11" s="46"/>
      <c r="AP11" s="47"/>
      <c r="AQ11" s="47"/>
      <c r="AR11" s="47"/>
      <c r="AS11" s="47"/>
      <c r="AT11" s="47"/>
      <c r="AU11" s="47"/>
      <c r="AV11" s="71" t="str">
        <f ca="1">IFERROR((AL11 -0.2- AQ11) * (0.8 - 0.9) / (AL11 - AQ11)+ 0.9,"")</f>
        <v/>
      </c>
      <c r="AW11" s="71" t="str">
        <f ca="1">IFERROR((AM11 -0.2- AR11) * (0.8 - 0.9) / (AM11 - AR11)+ 0.9,"")</f>
        <v/>
      </c>
      <c r="AX11" s="71" t="str">
        <f ca="1">IFERROR((AN11 -0.2- AS11) * (0.8 - 0.9) / (AN11 - AS11)+ 0.9,"")</f>
        <v/>
      </c>
      <c r="AY11" s="71" t="str">
        <f ca="1">IFERROR((AO11 -0.2- AT11) * (0.8 - 0.9) / (AO11 - AT11)+ 0.9,"")</f>
        <v/>
      </c>
      <c r="AZ11" s="71" t="str">
        <f ca="1">IFERROR((AP11 -0.2- AU11) * (0.8 - 0.9) / (AP11 - AU11)+ 0.9,"")</f>
        <v/>
      </c>
      <c r="BA11" s="71" t="str">
        <f ca="1">IFERROR((AL11 +0.2- AL11) * (0.5 - 0.8) / (AG11 -AL11)+ 0.8,"")</f>
        <v/>
      </c>
      <c r="BB11" s="71" t="str">
        <f ca="1">IFERROR((AM11 +0.2- AM11) * (0.5 - 0.8) / (AH11 -AM11)+ 0.8,"")</f>
        <v/>
      </c>
      <c r="BC11" s="71" t="str">
        <f ca="1">IFERROR((AN11 +0.2- AN11) * (0.5 - 0.8) / (AI11 -AN11)+ 0.8,"")</f>
        <v/>
      </c>
      <c r="BD11" s="71" t="str">
        <f ca="1">IFERROR((AO11 +0.2- AO11) * (0.5 - 0.8) / (AJ11 -AO11)+ 0.8,"")</f>
        <v/>
      </c>
      <c r="BE11" s="71" t="str">
        <f ca="1">IFERROR((AP11 +0.2- AP11) * (0.5 - 0.8) / (AK11 -AP11)+ 0.8,"")</f>
        <v/>
      </c>
      <c r="BF11" s="47"/>
      <c r="BG11" s="47"/>
      <c r="BH11" s="47"/>
      <c r="BI11" s="47"/>
      <c r="BJ11" s="82"/>
      <c r="BK11" s="80"/>
      <c r="BL11" s="46"/>
      <c r="BM11" s="46"/>
      <c r="BN11" s="46"/>
      <c r="BO11" s="46"/>
      <c r="BP11" s="46"/>
      <c r="BQ11" s="47"/>
      <c r="BR11" s="45"/>
      <c r="BS11" s="46"/>
      <c r="BT11" s="46"/>
      <c r="BU11" s="46"/>
      <c r="BV11" s="46"/>
      <c r="BW11" s="46"/>
      <c r="BX11" s="47"/>
      <c r="BY11" s="47"/>
    </row>
    <row r="12" spans="1:77">
      <c r="A12" s="74"/>
      <c r="B12" s="75"/>
      <c r="C12" s="75"/>
      <c r="D12" s="75"/>
      <c r="E12" s="75"/>
      <c r="F12" s="75"/>
      <c r="G12" s="75"/>
      <c r="H12" s="78"/>
      <c r="I12" s="72"/>
      <c r="J12" s="28"/>
      <c r="K12" s="28"/>
      <c r="L12" s="3"/>
      <c r="M12" s="31"/>
      <c r="N12" s="32"/>
      <c r="O12" s="57"/>
      <c r="P12" s="31"/>
      <c r="Q12" s="76"/>
      <c r="R12" s="72"/>
      <c r="S12" s="3"/>
      <c r="T12" s="3"/>
      <c r="U12" s="3"/>
      <c r="V12" s="32"/>
      <c r="W12" s="29" t="str">
        <f ca="1">IF(ISBLANK(R12),"",DREF_FROMI50(R12))</f>
        <v/>
      </c>
      <c r="X12" s="29" t="str">
        <f ca="1">IF(ISBLANK(S12),"",DREF_FROMI50(S12))</f>
        <v/>
      </c>
      <c r="Y12" s="29" t="str">
        <f ca="1">IF(ISBLANK(T12),"",DREF_FROMI50(T12))</f>
        <v/>
      </c>
      <c r="Z12" s="29" t="str">
        <f ca="1">IF(ISBLANK(U12),"",DREF_FROMI50(U12))</f>
        <v/>
      </c>
      <c r="AA12" s="29" t="str">
        <f ca="1">IF(ISBLANK(V12),"",DREF_FROMI50(V12))</f>
        <v/>
      </c>
      <c r="AB12" s="31"/>
      <c r="AC12" s="3"/>
      <c r="AD12" s="3"/>
      <c r="AE12" s="3"/>
      <c r="AF12" s="28"/>
      <c r="AG12" s="47"/>
      <c r="AH12" s="47"/>
      <c r="AI12" s="47"/>
      <c r="AJ12" s="47"/>
      <c r="AK12" s="47"/>
      <c r="AL12" s="46"/>
      <c r="AM12" s="46"/>
      <c r="AN12" s="46"/>
      <c r="AO12" s="46"/>
      <c r="AP12" s="47"/>
      <c r="AQ12" s="47"/>
      <c r="AR12" s="47"/>
      <c r="AS12" s="47"/>
      <c r="AT12" s="47"/>
      <c r="AU12" s="47"/>
      <c r="AV12" s="71" t="str">
        <f ca="1">IFERROR((AL12 -0.2- AQ12) * (0.8 - 0.9) / (AL12 - AQ12)+ 0.9,"")</f>
        <v/>
      </c>
      <c r="AW12" s="71" t="str">
        <f ca="1">IFERROR((AM12 -0.2- AR12) * (0.8 - 0.9) / (AM12 - AR12)+ 0.9,"")</f>
        <v/>
      </c>
      <c r="AX12" s="71" t="str">
        <f ca="1">IFERROR((AN12 -0.2- AS12) * (0.8 - 0.9) / (AN12 - AS12)+ 0.9,"")</f>
        <v/>
      </c>
      <c r="AY12" s="71" t="str">
        <f ca="1">IFERROR((AO12 -0.2- AT12) * (0.8 - 0.9) / (AO12 - AT12)+ 0.9,"")</f>
        <v/>
      </c>
      <c r="AZ12" s="71" t="str">
        <f ca="1">IFERROR((AP12 -0.2- AU12) * (0.8 - 0.9) / (AP12 - AU12)+ 0.9,"")</f>
        <v/>
      </c>
      <c r="BA12" s="71" t="str">
        <f ca="1">IFERROR((AL12 +0.2- AL12) * (0.5 - 0.8) / (AG12 -AL12)+ 0.8,"")</f>
        <v/>
      </c>
      <c r="BB12" s="71" t="str">
        <f ca="1">IFERROR((AM12 +0.2- AM12) * (0.5 - 0.8) / (AH12 -AM12)+ 0.8,"")</f>
        <v/>
      </c>
      <c r="BC12" s="71" t="str">
        <f ca="1">IFERROR((AN12 +0.2- AN12) * (0.5 - 0.8) / (AI12 -AN12)+ 0.8,"")</f>
        <v/>
      </c>
      <c r="BD12" s="71" t="str">
        <f ca="1">IFERROR((AO12 +0.2- AO12) * (0.5 - 0.8) / (AJ12 -AO12)+ 0.8,"")</f>
        <v/>
      </c>
      <c r="BE12" s="71" t="str">
        <f ca="1">IFERROR((AP12 +0.2- AP12) * (0.5 - 0.8) / (AK12 -AP12)+ 0.8,"")</f>
        <v/>
      </c>
      <c r="BF12" s="47"/>
      <c r="BG12" s="47"/>
      <c r="BH12" s="47"/>
      <c r="BI12" s="47"/>
      <c r="BJ12" s="82"/>
      <c r="BK12" s="80"/>
      <c r="BL12" s="46"/>
      <c r="BM12" s="46"/>
      <c r="BN12" s="46"/>
      <c r="BO12" s="46"/>
      <c r="BP12" s="46"/>
      <c r="BQ12" s="47"/>
      <c r="BR12" s="45"/>
      <c r="BS12" s="46"/>
      <c r="BT12" s="46"/>
      <c r="BU12" s="46"/>
      <c r="BV12" s="46"/>
      <c r="BW12" s="46"/>
      <c r="BX12" s="47"/>
      <c r="BY12" s="47"/>
    </row>
    <row r="13" spans="1:77">
      <c r="A13" s="74"/>
      <c r="B13" s="75"/>
      <c r="C13" s="75"/>
      <c r="D13" s="75"/>
      <c r="E13" s="75"/>
      <c r="F13" s="75"/>
      <c r="G13" s="75"/>
      <c r="H13" s="78"/>
      <c r="I13" s="72"/>
      <c r="J13" s="28"/>
      <c r="K13" s="28"/>
      <c r="L13" s="3"/>
      <c r="M13" s="31"/>
      <c r="N13" s="32"/>
      <c r="O13" s="57"/>
      <c r="P13" s="31"/>
      <c r="Q13" s="76"/>
      <c r="R13" s="72"/>
      <c r="S13" s="3"/>
      <c r="T13" s="3"/>
      <c r="U13" s="3"/>
      <c r="V13" s="32"/>
      <c r="W13" s="29" t="str">
        <f ca="1">IF(ISBLANK(R13),"",DREF_FROMI50(R13))</f>
        <v/>
      </c>
      <c r="X13" s="29" t="str">
        <f ca="1">IF(ISBLANK(S13),"",DREF_FROMI50(S13))</f>
        <v/>
      </c>
      <c r="Y13" s="29" t="str">
        <f ca="1">IF(ISBLANK(T13),"",DREF_FROMI50(T13))</f>
        <v/>
      </c>
      <c r="Z13" s="29" t="str">
        <f ca="1">IF(ISBLANK(U13),"",DREF_FROMI50(U13))</f>
        <v/>
      </c>
      <c r="AA13" s="29" t="str">
        <f ca="1">IF(ISBLANK(V13),"",DREF_FROMI50(V13))</f>
        <v/>
      </c>
      <c r="AB13" s="31"/>
      <c r="AC13" s="3"/>
      <c r="AD13" s="3"/>
      <c r="AE13" s="3"/>
      <c r="AF13" s="28"/>
      <c r="AG13" s="47"/>
      <c r="AH13" s="47"/>
      <c r="AI13" s="47"/>
      <c r="AJ13" s="47"/>
      <c r="AK13" s="47"/>
      <c r="AL13" s="46"/>
      <c r="AM13" s="46"/>
      <c r="AN13" s="46"/>
      <c r="AO13" s="46"/>
      <c r="AP13" s="47"/>
      <c r="AQ13" s="47"/>
      <c r="AR13" s="47"/>
      <c r="AS13" s="47"/>
      <c r="AT13" s="47"/>
      <c r="AU13" s="47"/>
      <c r="AV13" s="71" t="str">
        <f ca="1">IFERROR((AL13 -0.2- AQ13) * (0.8 - 0.9) / (AL13 - AQ13)+ 0.9,"")</f>
        <v/>
      </c>
      <c r="AW13" s="71" t="str">
        <f ca="1">IFERROR((AM13 -0.2- AR13) * (0.8 - 0.9) / (AM13 - AR13)+ 0.9,"")</f>
        <v/>
      </c>
      <c r="AX13" s="71" t="str">
        <f ca="1">IFERROR((AN13 -0.2- AS13) * (0.8 - 0.9) / (AN13 - AS13)+ 0.9,"")</f>
        <v/>
      </c>
      <c r="AY13" s="71" t="str">
        <f ca="1">IFERROR((AO13 -0.2- AT13) * (0.8 - 0.9) / (AO13 - AT13)+ 0.9,"")</f>
        <v/>
      </c>
      <c r="AZ13" s="71" t="str">
        <f ca="1">IFERROR((AP13 -0.2- AU13) * (0.8 - 0.9) / (AP13 - AU13)+ 0.9,"")</f>
        <v/>
      </c>
      <c r="BA13" s="71" t="str">
        <f ca="1">IFERROR((AL13 +0.2- AL13) * (0.5 - 0.8) / (AG13 -AL13)+ 0.8,"")</f>
        <v/>
      </c>
      <c r="BB13" s="71" t="str">
        <f ca="1">IFERROR((AM13 +0.2- AM13) * (0.5 - 0.8) / (AH13 -AM13)+ 0.8,"")</f>
        <v/>
      </c>
      <c r="BC13" s="71" t="str">
        <f ca="1">IFERROR((AN13 +0.2- AN13) * (0.5 - 0.8) / (AI13 -AN13)+ 0.8,"")</f>
        <v/>
      </c>
      <c r="BD13" s="71" t="str">
        <f ca="1">IFERROR((AO13 +0.2- AO13) * (0.5 - 0.8) / (AJ13 -AO13)+ 0.8,"")</f>
        <v/>
      </c>
      <c r="BE13" s="71" t="str">
        <f ca="1">IFERROR((AP13 +0.2- AP13) * (0.5 - 0.8) / (AK13 -AP13)+ 0.8,"")</f>
        <v/>
      </c>
      <c r="BF13" s="47"/>
      <c r="BG13" s="47"/>
      <c r="BH13" s="47"/>
      <c r="BI13" s="47"/>
      <c r="BJ13" s="82"/>
      <c r="BK13" s="80"/>
      <c r="BL13" s="46"/>
      <c r="BM13" s="46"/>
      <c r="BN13" s="46"/>
      <c r="BO13" s="46"/>
      <c r="BP13" s="46"/>
      <c r="BQ13" s="47"/>
      <c r="BR13" s="45"/>
      <c r="BS13" s="46"/>
      <c r="BT13" s="46"/>
      <c r="BU13" s="46"/>
      <c r="BV13" s="46"/>
      <c r="BW13" s="46"/>
      <c r="BX13" s="47"/>
      <c r="BY13" s="47"/>
    </row>
    <row r="14" spans="1:77">
      <c r="A14" s="74"/>
      <c r="B14" s="75"/>
      <c r="C14" s="75"/>
      <c r="D14" s="75"/>
      <c r="E14" s="75"/>
      <c r="F14" s="75"/>
      <c r="G14" s="75"/>
      <c r="H14" s="78"/>
      <c r="I14" s="72"/>
      <c r="J14" s="28"/>
      <c r="K14" s="28"/>
      <c r="L14" s="3"/>
      <c r="M14" s="31"/>
      <c r="N14" s="32"/>
      <c r="O14" s="57"/>
      <c r="P14" s="31"/>
      <c r="Q14" s="76"/>
      <c r="R14" s="72"/>
      <c r="S14" s="3"/>
      <c r="T14" s="3"/>
      <c r="U14" s="3"/>
      <c r="V14" s="32"/>
      <c r="W14" s="29" t="str">
        <f ca="1">IF(ISBLANK(R14),"",DREF_FROMI50(R14))</f>
        <v/>
      </c>
      <c r="X14" s="29" t="str">
        <f ca="1">IF(ISBLANK(S14),"",DREF_FROMI50(S14))</f>
        <v/>
      </c>
      <c r="Y14" s="29" t="str">
        <f ca="1">IF(ISBLANK(T14),"",DREF_FROMI50(T14))</f>
        <v/>
      </c>
      <c r="Z14" s="29" t="str">
        <f ca="1">IF(ISBLANK(U14),"",DREF_FROMI50(U14))</f>
        <v/>
      </c>
      <c r="AA14" s="29" t="str">
        <f ca="1">IF(ISBLANK(V14),"",DREF_FROMI50(V14))</f>
        <v/>
      </c>
      <c r="AB14" s="31"/>
      <c r="AC14" s="3"/>
      <c r="AD14" s="3"/>
      <c r="AE14" s="3"/>
      <c r="AF14" s="28"/>
      <c r="AG14" s="47"/>
      <c r="AH14" s="47"/>
      <c r="AI14" s="47"/>
      <c r="AJ14" s="47"/>
      <c r="AK14" s="47"/>
      <c r="AL14" s="46"/>
      <c r="AM14" s="46"/>
      <c r="AN14" s="46"/>
      <c r="AO14" s="46"/>
      <c r="AP14" s="47"/>
      <c r="AQ14" s="47"/>
      <c r="AR14" s="47"/>
      <c r="AS14" s="47"/>
      <c r="AT14" s="47"/>
      <c r="AU14" s="47"/>
      <c r="AV14" s="71" t="str">
        <f ca="1">IFERROR((AL14 -0.2- AQ14) * (0.8 - 0.9) / (AL14 - AQ14)+ 0.9,"")</f>
        <v/>
      </c>
      <c r="AW14" s="71" t="str">
        <f ca="1">IFERROR((AM14 -0.2- AR14) * (0.8 - 0.9) / (AM14 - AR14)+ 0.9,"")</f>
        <v/>
      </c>
      <c r="AX14" s="71" t="str">
        <f ca="1">IFERROR((AN14 -0.2- AS14) * (0.8 - 0.9) / (AN14 - AS14)+ 0.9,"")</f>
        <v/>
      </c>
      <c r="AY14" s="71" t="str">
        <f ca="1">IFERROR((AO14 -0.2- AT14) * (0.8 - 0.9) / (AO14 - AT14)+ 0.9,"")</f>
        <v/>
      </c>
      <c r="AZ14" s="71" t="str">
        <f ca="1">IFERROR((AP14 -0.2- AU14) * (0.8 - 0.9) / (AP14 - AU14)+ 0.9,"")</f>
        <v/>
      </c>
      <c r="BA14" s="71" t="str">
        <f ca="1">IFERROR((AL14 +0.2- AL14) * (0.5 - 0.8) / (AG14 -AL14)+ 0.8,"")</f>
        <v/>
      </c>
      <c r="BB14" s="71" t="str">
        <f ca="1">IFERROR((AM14 +0.2- AM14) * (0.5 - 0.8) / (AH14 -AM14)+ 0.8,"")</f>
        <v/>
      </c>
      <c r="BC14" s="71" t="str">
        <f ca="1">IFERROR((AN14 +0.2- AN14) * (0.5 - 0.8) / (AI14 -AN14)+ 0.8,"")</f>
        <v/>
      </c>
      <c r="BD14" s="71" t="str">
        <f ca="1">IFERROR((AO14 +0.2- AO14) * (0.5 - 0.8) / (AJ14 -AO14)+ 0.8,"")</f>
        <v/>
      </c>
      <c r="BE14" s="71" t="str">
        <f ca="1">IFERROR((AP14 +0.2- AP14) * (0.5 - 0.8) / (AK14 -AP14)+ 0.8,"")</f>
        <v/>
      </c>
      <c r="BF14" s="47"/>
      <c r="BG14" s="47"/>
      <c r="BH14" s="47"/>
      <c r="BI14" s="47"/>
      <c r="BJ14" s="82"/>
      <c r="BK14" s="80"/>
      <c r="BL14" s="46"/>
      <c r="BM14" s="46"/>
      <c r="BN14" s="46"/>
      <c r="BO14" s="46"/>
      <c r="BP14" s="46"/>
      <c r="BQ14" s="47"/>
      <c r="BR14" s="45"/>
      <c r="BS14" s="46"/>
      <c r="BT14" s="46"/>
      <c r="BU14" s="46"/>
      <c r="BV14" s="46"/>
      <c r="BW14" s="46"/>
      <c r="BX14" s="47"/>
      <c r="BY14" s="47"/>
    </row>
    <row r="15" spans="1:77">
      <c r="A15" s="74"/>
      <c r="B15" s="75"/>
      <c r="C15" s="75"/>
      <c r="D15" s="75"/>
      <c r="E15" s="75"/>
      <c r="F15" s="75"/>
      <c r="G15" s="75"/>
      <c r="H15" s="78"/>
      <c r="I15" s="72"/>
      <c r="J15" s="28"/>
      <c r="K15" s="28"/>
      <c r="L15" s="3"/>
      <c r="M15" s="31"/>
      <c r="N15" s="32"/>
      <c r="O15" s="57"/>
      <c r="P15" s="31"/>
      <c r="Q15" s="76"/>
      <c r="R15" s="72"/>
      <c r="S15" s="3"/>
      <c r="T15" s="3"/>
      <c r="U15" s="3"/>
      <c r="V15" s="32"/>
      <c r="W15" s="29" t="str">
        <f ca="1">IF(ISBLANK(R15),"",DREF_FROMI50(R15))</f>
        <v/>
      </c>
      <c r="X15" s="29" t="str">
        <f ca="1">IF(ISBLANK(S15),"",DREF_FROMI50(S15))</f>
        <v/>
      </c>
      <c r="Y15" s="29" t="str">
        <f ca="1">IF(ISBLANK(T15),"",DREF_FROMI50(T15))</f>
        <v/>
      </c>
      <c r="Z15" s="29" t="str">
        <f ca="1">IF(ISBLANK(U15),"",DREF_FROMI50(U15))</f>
        <v/>
      </c>
      <c r="AA15" s="29" t="str">
        <f ca="1">IF(ISBLANK(V15),"",DREF_FROMI50(V15))</f>
        <v/>
      </c>
      <c r="AB15" s="31"/>
      <c r="AC15" s="3"/>
      <c r="AD15" s="3"/>
      <c r="AE15" s="3"/>
      <c r="AF15" s="28"/>
      <c r="AG15" s="47"/>
      <c r="AH15" s="47"/>
      <c r="AI15" s="47"/>
      <c r="AJ15" s="47"/>
      <c r="AK15" s="47"/>
      <c r="AL15" s="46"/>
      <c r="AM15" s="46"/>
      <c r="AN15" s="46"/>
      <c r="AO15" s="46"/>
      <c r="AP15" s="47"/>
      <c r="AQ15" s="47"/>
      <c r="AR15" s="47"/>
      <c r="AS15" s="47"/>
      <c r="AT15" s="47"/>
      <c r="AU15" s="47"/>
      <c r="AV15" s="71" t="str">
        <f ca="1">IFERROR((AL15 -0.2- AQ15) * (0.8 - 0.9) / (AL15 - AQ15)+ 0.9,"")</f>
        <v/>
      </c>
      <c r="AW15" s="71" t="str">
        <f ca="1">IFERROR((AM15 -0.2- AR15) * (0.8 - 0.9) / (AM15 - AR15)+ 0.9,"")</f>
        <v/>
      </c>
      <c r="AX15" s="71" t="str">
        <f ca="1">IFERROR((AN15 -0.2- AS15) * (0.8 - 0.9) / (AN15 - AS15)+ 0.9,"")</f>
        <v/>
      </c>
      <c r="AY15" s="71" t="str">
        <f ca="1">IFERROR((AO15 -0.2- AT15) * (0.8 - 0.9) / (AO15 - AT15)+ 0.9,"")</f>
        <v/>
      </c>
      <c r="AZ15" s="71" t="str">
        <f ca="1">IFERROR((AP15 -0.2- AU15) * (0.8 - 0.9) / (AP15 - AU15)+ 0.9,"")</f>
        <v/>
      </c>
      <c r="BA15" s="71" t="str">
        <f ca="1">IFERROR((AL15 +0.2- AL15) * (0.5 - 0.8) / (AG15 -AL15)+ 0.8,"")</f>
        <v/>
      </c>
      <c r="BB15" s="71" t="str">
        <f ca="1">IFERROR((AM15 +0.2- AM15) * (0.5 - 0.8) / (AH15 -AM15)+ 0.8,"")</f>
        <v/>
      </c>
      <c r="BC15" s="71" t="str">
        <f ca="1">IFERROR((AN15 +0.2- AN15) * (0.5 - 0.8) / (AI15 -AN15)+ 0.8,"")</f>
        <v/>
      </c>
      <c r="BD15" s="71" t="str">
        <f ca="1">IFERROR((AO15 +0.2- AO15) * (0.5 - 0.8) / (AJ15 -AO15)+ 0.8,"")</f>
        <v/>
      </c>
      <c r="BE15" s="71" t="str">
        <f ca="1">IFERROR((AP15 +0.2- AP15) * (0.5 - 0.8) / (AK15 -AP15)+ 0.8,"")</f>
        <v/>
      </c>
      <c r="BF15" s="47"/>
      <c r="BG15" s="47"/>
      <c r="BH15" s="47"/>
      <c r="BI15" s="47"/>
      <c r="BJ15" s="82"/>
      <c r="BK15" s="80"/>
      <c r="BL15" s="46"/>
      <c r="BM15" s="46"/>
      <c r="BN15" s="46"/>
      <c r="BO15" s="46"/>
      <c r="BP15" s="46"/>
      <c r="BQ15" s="47"/>
      <c r="BR15" s="45"/>
      <c r="BS15" s="46"/>
      <c r="BT15" s="46"/>
      <c r="BU15" s="46"/>
      <c r="BV15" s="46"/>
      <c r="BW15" s="46"/>
      <c r="BX15" s="47"/>
      <c r="BY15" s="47"/>
    </row>
    <row r="16" spans="1:77">
      <c r="A16" s="74"/>
      <c r="B16" s="75"/>
      <c r="C16" s="75"/>
      <c r="D16" s="75"/>
      <c r="E16" s="75"/>
      <c r="F16" s="75"/>
      <c r="G16" s="75"/>
      <c r="H16" s="78"/>
      <c r="I16" s="72"/>
      <c r="J16" s="28"/>
      <c r="K16" s="28"/>
      <c r="L16" s="3"/>
      <c r="M16" s="31"/>
      <c r="N16" s="32"/>
      <c r="O16" s="57"/>
      <c r="P16" s="31"/>
      <c r="Q16" s="76"/>
      <c r="R16" s="72"/>
      <c r="S16" s="3"/>
      <c r="T16" s="3"/>
      <c r="U16" s="3"/>
      <c r="V16" s="32"/>
      <c r="W16" s="29" t="str">
        <f ca="1">IF(ISBLANK(R16),"",DREF_FROMI50(R16))</f>
        <v/>
      </c>
      <c r="X16" s="29" t="str">
        <f ca="1">IF(ISBLANK(S16),"",DREF_FROMI50(S16))</f>
        <v/>
      </c>
      <c r="Y16" s="29" t="str">
        <f ca="1">IF(ISBLANK(T16),"",DREF_FROMI50(T16))</f>
        <v/>
      </c>
      <c r="Z16" s="29" t="str">
        <f ca="1">IF(ISBLANK(U16),"",DREF_FROMI50(U16))</f>
        <v/>
      </c>
      <c r="AA16" s="29" t="str">
        <f ca="1">IF(ISBLANK(V16),"",DREF_FROMI50(V16))</f>
        <v/>
      </c>
      <c r="AB16" s="31"/>
      <c r="AC16" s="3"/>
      <c r="AD16" s="3"/>
      <c r="AE16" s="3"/>
      <c r="AF16" s="28"/>
      <c r="AG16" s="47"/>
      <c r="AH16" s="47"/>
      <c r="AI16" s="47"/>
      <c r="AJ16" s="47"/>
      <c r="AK16" s="47"/>
      <c r="AL16" s="46"/>
      <c r="AM16" s="46"/>
      <c r="AN16" s="46"/>
      <c r="AO16" s="46"/>
      <c r="AP16" s="47"/>
      <c r="AQ16" s="47"/>
      <c r="AR16" s="47"/>
      <c r="AS16" s="47"/>
      <c r="AT16" s="47"/>
      <c r="AU16" s="47"/>
      <c r="AV16" s="71" t="str">
        <f ca="1">IFERROR((AL16 -0.2- AQ16) * (0.8 - 0.9) / (AL16 - AQ16)+ 0.9,"")</f>
        <v/>
      </c>
      <c r="AW16" s="71" t="str">
        <f ca="1">IFERROR((AM16 -0.2- AR16) * (0.8 - 0.9) / (AM16 - AR16)+ 0.9,"")</f>
        <v/>
      </c>
      <c r="AX16" s="71" t="str">
        <f ca="1">IFERROR((AN16 -0.2- AS16) * (0.8 - 0.9) / (AN16 - AS16)+ 0.9,"")</f>
        <v/>
      </c>
      <c r="AY16" s="71" t="str">
        <f ca="1">IFERROR((AO16 -0.2- AT16) * (0.8 - 0.9) / (AO16 - AT16)+ 0.9,"")</f>
        <v/>
      </c>
      <c r="AZ16" s="71" t="str">
        <f ca="1">IFERROR((AP16 -0.2- AU16) * (0.8 - 0.9) / (AP16 - AU16)+ 0.9,"")</f>
        <v/>
      </c>
      <c r="BA16" s="71" t="str">
        <f ca="1">IFERROR((AL16 +0.2- AL16) * (0.5 - 0.8) / (AG16 -AL16)+ 0.8,"")</f>
        <v/>
      </c>
      <c r="BB16" s="71" t="str">
        <f ca="1">IFERROR((AM16 +0.2- AM16) * (0.5 - 0.8) / (AH16 -AM16)+ 0.8,"")</f>
        <v/>
      </c>
      <c r="BC16" s="71" t="str">
        <f ca="1">IFERROR((AN16 +0.2- AN16) * (0.5 - 0.8) / (AI16 -AN16)+ 0.8,"")</f>
        <v/>
      </c>
      <c r="BD16" s="71" t="str">
        <f ca="1">IFERROR((AO16 +0.2- AO16) * (0.5 - 0.8) / (AJ16 -AO16)+ 0.8,"")</f>
        <v/>
      </c>
      <c r="BE16" s="71" t="str">
        <f ca="1">IFERROR((AP16 +0.2- AP16) * (0.5 - 0.8) / (AK16 -AP16)+ 0.8,"")</f>
        <v/>
      </c>
      <c r="BF16" s="47"/>
      <c r="BG16" s="47"/>
      <c r="BH16" s="47"/>
      <c r="BI16" s="47"/>
      <c r="BJ16" s="82"/>
      <c r="BK16" s="80"/>
      <c r="BL16" s="46"/>
      <c r="BM16" s="46"/>
      <c r="BN16" s="46"/>
      <c r="BO16" s="46"/>
      <c r="BP16" s="46"/>
      <c r="BQ16" s="47"/>
      <c r="BR16" s="45"/>
      <c r="BS16" s="46"/>
      <c r="BT16" s="46"/>
      <c r="BU16" s="46"/>
      <c r="BV16" s="46"/>
      <c r="BW16" s="46"/>
      <c r="BX16" s="47"/>
      <c r="BY16" s="47"/>
    </row>
    <row r="17" spans="1:77">
      <c r="A17" s="74"/>
      <c r="B17" s="75"/>
      <c r="C17" s="75"/>
      <c r="D17" s="75"/>
      <c r="E17" s="75"/>
      <c r="F17" s="75"/>
      <c r="G17" s="75"/>
      <c r="H17" s="78"/>
      <c r="I17" s="72"/>
      <c r="J17" s="28"/>
      <c r="K17" s="28"/>
      <c r="L17" s="3"/>
      <c r="M17" s="31"/>
      <c r="N17" s="32"/>
      <c r="O17" s="57"/>
      <c r="P17" s="31"/>
      <c r="Q17" s="76"/>
      <c r="R17" s="72"/>
      <c r="S17" s="3"/>
      <c r="T17" s="3"/>
      <c r="U17" s="3"/>
      <c r="V17" s="32"/>
      <c r="W17" s="29" t="str">
        <f ca="1">IF(ISBLANK(R17),"",DREF_FROMI50(R17))</f>
        <v/>
      </c>
      <c r="X17" s="29" t="str">
        <f ca="1">IF(ISBLANK(S17),"",DREF_FROMI50(S17))</f>
        <v/>
      </c>
      <c r="Y17" s="29" t="str">
        <f ca="1">IF(ISBLANK(T17),"",DREF_FROMI50(T17))</f>
        <v/>
      </c>
      <c r="Z17" s="29" t="str">
        <f ca="1">IF(ISBLANK(U17),"",DREF_FROMI50(U17))</f>
        <v/>
      </c>
      <c r="AA17" s="29" t="str">
        <f ca="1">IF(ISBLANK(V17),"",DREF_FROMI50(V17))</f>
        <v/>
      </c>
      <c r="AB17" s="31"/>
      <c r="AC17" s="3"/>
      <c r="AD17" s="3"/>
      <c r="AE17" s="3"/>
      <c r="AF17" s="28"/>
      <c r="AG17" s="47"/>
      <c r="AH17" s="47"/>
      <c r="AI17" s="47"/>
      <c r="AJ17" s="47"/>
      <c r="AK17" s="47"/>
      <c r="AL17" s="46"/>
      <c r="AM17" s="46"/>
      <c r="AN17" s="46"/>
      <c r="AO17" s="46"/>
      <c r="AP17" s="47"/>
      <c r="AQ17" s="47"/>
      <c r="AR17" s="47"/>
      <c r="AS17" s="47"/>
      <c r="AT17" s="47"/>
      <c r="AU17" s="47"/>
      <c r="AV17" s="71" t="str">
        <f ca="1">IFERROR((AL17 -0.2- AQ17) * (0.8 - 0.9) / (AL17 - AQ17)+ 0.9,"")</f>
        <v/>
      </c>
      <c r="AW17" s="71" t="str">
        <f ca="1">IFERROR((AM17 -0.2- AR17) * (0.8 - 0.9) / (AM17 - AR17)+ 0.9,"")</f>
        <v/>
      </c>
      <c r="AX17" s="71" t="str">
        <f ca="1">IFERROR((AN17 -0.2- AS17) * (0.8 - 0.9) / (AN17 - AS17)+ 0.9,"")</f>
        <v/>
      </c>
      <c r="AY17" s="71" t="str">
        <f ca="1">IFERROR((AO17 -0.2- AT17) * (0.8 - 0.9) / (AO17 - AT17)+ 0.9,"")</f>
        <v/>
      </c>
      <c r="AZ17" s="71" t="str">
        <f ca="1">IFERROR((AP17 -0.2- AU17) * (0.8 - 0.9) / (AP17 - AU17)+ 0.9,"")</f>
        <v/>
      </c>
      <c r="BA17" s="71" t="str">
        <f ca="1">IFERROR((AL17 +0.2- AL17) * (0.5 - 0.8) / (AG17 -AL17)+ 0.8,"")</f>
        <v/>
      </c>
      <c r="BB17" s="71" t="str">
        <f ca="1">IFERROR((AM17 +0.2- AM17) * (0.5 - 0.8) / (AH17 -AM17)+ 0.8,"")</f>
        <v/>
      </c>
      <c r="BC17" s="71" t="str">
        <f ca="1">IFERROR((AN17 +0.2- AN17) * (0.5 - 0.8) / (AI17 -AN17)+ 0.8,"")</f>
        <v/>
      </c>
      <c r="BD17" s="71" t="str">
        <f ca="1">IFERROR((AO17 +0.2- AO17) * (0.5 - 0.8) / (AJ17 -AO17)+ 0.8,"")</f>
        <v/>
      </c>
      <c r="BE17" s="71" t="str">
        <f ca="1">IFERROR((AP17 +0.2- AP17) * (0.5 - 0.8) / (AK17 -AP17)+ 0.8,"")</f>
        <v/>
      </c>
      <c r="BF17" s="47"/>
      <c r="BG17" s="47"/>
      <c r="BH17" s="47"/>
      <c r="BI17" s="47"/>
      <c r="BJ17" s="82"/>
      <c r="BK17" s="80"/>
      <c r="BL17" s="46"/>
      <c r="BM17" s="46"/>
      <c r="BN17" s="46"/>
      <c r="BO17" s="46"/>
      <c r="BP17" s="46"/>
      <c r="BQ17" s="47"/>
      <c r="BR17" s="45"/>
      <c r="BS17" s="46"/>
      <c r="BT17" s="46"/>
      <c r="BU17" s="46"/>
      <c r="BV17" s="46"/>
      <c r="BW17" s="46"/>
      <c r="BX17" s="47"/>
      <c r="BY17" s="47"/>
    </row>
    <row r="18" spans="1:77">
      <c r="A18" s="74"/>
      <c r="B18" s="75"/>
      <c r="C18" s="75"/>
      <c r="D18" s="75"/>
      <c r="E18" s="75"/>
      <c r="F18" s="75"/>
      <c r="G18" s="75"/>
      <c r="H18" s="78"/>
      <c r="I18" s="72"/>
      <c r="J18" s="28"/>
      <c r="K18" s="28"/>
      <c r="L18" s="3"/>
      <c r="M18" s="31"/>
      <c r="N18" s="32"/>
      <c r="O18" s="57"/>
      <c r="P18" s="31"/>
      <c r="Q18" s="76"/>
      <c r="R18" s="72"/>
      <c r="S18" s="3"/>
      <c r="T18" s="3"/>
      <c r="U18" s="3"/>
      <c r="V18" s="32"/>
      <c r="W18" s="29" t="str">
        <f ca="1">IF(ISBLANK(R18),"",DREF_FROMI50(R18))</f>
        <v/>
      </c>
      <c r="X18" s="29" t="str">
        <f ca="1">IF(ISBLANK(S18),"",DREF_FROMI50(S18))</f>
        <v/>
      </c>
      <c r="Y18" s="29" t="str">
        <f ca="1">IF(ISBLANK(T18),"",DREF_FROMI50(T18))</f>
        <v/>
      </c>
      <c r="Z18" s="29" t="str">
        <f ca="1">IF(ISBLANK(U18),"",DREF_FROMI50(U18))</f>
        <v/>
      </c>
      <c r="AA18" s="29" t="str">
        <f ca="1">IF(ISBLANK(V18),"",DREF_FROMI50(V18))</f>
        <v/>
      </c>
      <c r="AB18" s="31"/>
      <c r="AC18" s="3"/>
      <c r="AD18" s="3"/>
      <c r="AE18" s="3"/>
      <c r="AF18" s="28"/>
      <c r="AG18" s="47"/>
      <c r="AH18" s="47"/>
      <c r="AI18" s="47"/>
      <c r="AJ18" s="47"/>
      <c r="AK18" s="47"/>
      <c r="AL18" s="46"/>
      <c r="AM18" s="46"/>
      <c r="AN18" s="46"/>
      <c r="AO18" s="46"/>
      <c r="AP18" s="47"/>
      <c r="AQ18" s="47"/>
      <c r="AR18" s="47"/>
      <c r="AS18" s="47"/>
      <c r="AT18" s="47"/>
      <c r="AU18" s="47"/>
      <c r="AV18" s="71" t="str">
        <f ca="1">IFERROR((AL18 -0.2- AQ18) * (0.8 - 0.9) / (AL18 - AQ18)+ 0.9,"")</f>
        <v/>
      </c>
      <c r="AW18" s="71" t="str">
        <f ca="1">IFERROR((AM18 -0.2- AR18) * (0.8 - 0.9) / (AM18 - AR18)+ 0.9,"")</f>
        <v/>
      </c>
      <c r="AX18" s="71" t="str">
        <f ca="1">IFERROR((AN18 -0.2- AS18) * (0.8 - 0.9) / (AN18 - AS18)+ 0.9,"")</f>
        <v/>
      </c>
      <c r="AY18" s="71" t="str">
        <f ca="1">IFERROR((AO18 -0.2- AT18) * (0.8 - 0.9) / (AO18 - AT18)+ 0.9,"")</f>
        <v/>
      </c>
      <c r="AZ18" s="71" t="str">
        <f ca="1">IFERROR((AP18 -0.2- AU18) * (0.8 - 0.9) / (AP18 - AU18)+ 0.9,"")</f>
        <v/>
      </c>
      <c r="BA18" s="71" t="str">
        <f ca="1">IFERROR((AL18 +0.2- AL18) * (0.5 - 0.8) / (AG18 -AL18)+ 0.8,"")</f>
        <v/>
      </c>
      <c r="BB18" s="71" t="str">
        <f ca="1">IFERROR((AM18 +0.2- AM18) * (0.5 - 0.8) / (AH18 -AM18)+ 0.8,"")</f>
        <v/>
      </c>
      <c r="BC18" s="71" t="str">
        <f ca="1">IFERROR((AN18 +0.2- AN18) * (0.5 - 0.8) / (AI18 -AN18)+ 0.8,"")</f>
        <v/>
      </c>
      <c r="BD18" s="71" t="str">
        <f ca="1">IFERROR((AO18 +0.2- AO18) * (0.5 - 0.8) / (AJ18 -AO18)+ 0.8,"")</f>
        <v/>
      </c>
      <c r="BE18" s="71" t="str">
        <f ca="1">IFERROR((AP18 +0.2- AP18) * (0.5 - 0.8) / (AK18 -AP18)+ 0.8,"")</f>
        <v/>
      </c>
      <c r="BF18" s="47"/>
      <c r="BG18" s="47"/>
      <c r="BH18" s="47"/>
      <c r="BI18" s="47"/>
      <c r="BJ18" s="82"/>
      <c r="BK18" s="80"/>
      <c r="BL18" s="46"/>
      <c r="BM18" s="46"/>
      <c r="BN18" s="46"/>
      <c r="BO18" s="46"/>
      <c r="BP18" s="46"/>
      <c r="BQ18" s="47"/>
      <c r="BR18" s="45"/>
      <c r="BS18" s="46"/>
      <c r="BT18" s="46"/>
      <c r="BU18" s="46"/>
      <c r="BV18" s="46"/>
      <c r="BW18" s="46"/>
      <c r="BX18" s="47"/>
      <c r="BY18" s="47"/>
    </row>
    <row r="19" spans="1:77">
      <c r="A19" s="74"/>
      <c r="B19" s="75"/>
      <c r="C19" s="75"/>
      <c r="D19" s="75"/>
      <c r="E19" s="75"/>
      <c r="F19" s="75"/>
      <c r="G19" s="75"/>
      <c r="H19" s="78"/>
      <c r="I19" s="72"/>
      <c r="J19" s="28"/>
      <c r="K19" s="28"/>
      <c r="L19" s="3"/>
      <c r="M19" s="31"/>
      <c r="N19" s="32"/>
      <c r="O19" s="57"/>
      <c r="P19" s="31"/>
      <c r="Q19" s="76"/>
      <c r="R19" s="72"/>
      <c r="S19" s="3"/>
      <c r="T19" s="3"/>
      <c r="U19" s="3"/>
      <c r="V19" s="32"/>
      <c r="W19" s="29" t="str">
        <f ca="1">IF(ISBLANK(R19),"",DREF_FROMI50(R19))</f>
        <v/>
      </c>
      <c r="X19" s="29" t="str">
        <f ca="1">IF(ISBLANK(S19),"",DREF_FROMI50(S19))</f>
        <v/>
      </c>
      <c r="Y19" s="29" t="str">
        <f ca="1">IF(ISBLANK(T19),"",DREF_FROMI50(T19))</f>
        <v/>
      </c>
      <c r="Z19" s="29" t="str">
        <f ca="1">IF(ISBLANK(U19),"",DREF_FROMI50(U19))</f>
        <v/>
      </c>
      <c r="AA19" s="29" t="str">
        <f ca="1">IF(ISBLANK(V19),"",DREF_FROMI50(V19))</f>
        <v/>
      </c>
      <c r="AB19" s="31"/>
      <c r="AC19" s="3"/>
      <c r="AD19" s="3"/>
      <c r="AE19" s="3"/>
      <c r="AF19" s="28"/>
      <c r="AG19" s="47"/>
      <c r="AH19" s="47"/>
      <c r="AI19" s="47"/>
      <c r="AJ19" s="47"/>
      <c r="AK19" s="47"/>
      <c r="AL19" s="46"/>
      <c r="AM19" s="46"/>
      <c r="AN19" s="46"/>
      <c r="AO19" s="46"/>
      <c r="AP19" s="47"/>
      <c r="AQ19" s="47"/>
      <c r="AR19" s="47"/>
      <c r="AS19" s="47"/>
      <c r="AT19" s="47"/>
      <c r="AU19" s="47"/>
      <c r="AV19" s="71" t="str">
        <f ca="1">IFERROR((AL19 -0.2- AQ19) * (0.8 - 0.9) / (AL19 - AQ19)+ 0.9,"")</f>
        <v/>
      </c>
      <c r="AW19" s="71" t="str">
        <f ca="1">IFERROR((AM19 -0.2- AR19) * (0.8 - 0.9) / (AM19 - AR19)+ 0.9,"")</f>
        <v/>
      </c>
      <c r="AX19" s="71" t="str">
        <f ca="1">IFERROR((AN19 -0.2- AS19) * (0.8 - 0.9) / (AN19 - AS19)+ 0.9,"")</f>
        <v/>
      </c>
      <c r="AY19" s="71" t="str">
        <f ca="1">IFERROR((AO19 -0.2- AT19) * (0.8 - 0.9) / (AO19 - AT19)+ 0.9,"")</f>
        <v/>
      </c>
      <c r="AZ19" s="71" t="str">
        <f ca="1">IFERROR((AP19 -0.2- AU19) * (0.8 - 0.9) / (AP19 - AU19)+ 0.9,"")</f>
        <v/>
      </c>
      <c r="BA19" s="71" t="str">
        <f ca="1">IFERROR((AL19 +0.2- AL19) * (0.5 - 0.8) / (AG19 -AL19)+ 0.8,"")</f>
        <v/>
      </c>
      <c r="BB19" s="71" t="str">
        <f ca="1">IFERROR((AM19 +0.2- AM19) * (0.5 - 0.8) / (AH19 -AM19)+ 0.8,"")</f>
        <v/>
      </c>
      <c r="BC19" s="71" t="str">
        <f ca="1">IFERROR((AN19 +0.2- AN19) * (0.5 - 0.8) / (AI19 -AN19)+ 0.8,"")</f>
        <v/>
      </c>
      <c r="BD19" s="71" t="str">
        <f ca="1">IFERROR((AO19 +0.2- AO19) * (0.5 - 0.8) / (AJ19 -AO19)+ 0.8,"")</f>
        <v/>
      </c>
      <c r="BE19" s="71" t="str">
        <f ca="1">IFERROR((AP19 +0.2- AP19) * (0.5 - 0.8) / (AK19 -AP19)+ 0.8,"")</f>
        <v/>
      </c>
      <c r="BF19" s="47"/>
      <c r="BG19" s="47"/>
      <c r="BH19" s="47"/>
      <c r="BI19" s="47"/>
      <c r="BJ19" s="82"/>
      <c r="BK19" s="80"/>
      <c r="BL19" s="46"/>
      <c r="BM19" s="46"/>
      <c r="BN19" s="46"/>
      <c r="BO19" s="46"/>
      <c r="BP19" s="46"/>
      <c r="BQ19" s="47"/>
      <c r="BR19" s="45"/>
      <c r="BS19" s="46"/>
      <c r="BT19" s="46"/>
      <c r="BU19" s="46"/>
      <c r="BV19" s="46"/>
      <c r="BW19" s="46"/>
      <c r="BX19" s="47"/>
      <c r="BY19" s="47"/>
    </row>
    <row r="20" spans="1:77">
      <c r="A20" s="74"/>
      <c r="B20" s="75"/>
      <c r="C20" s="75"/>
      <c r="D20" s="75"/>
      <c r="E20" s="75"/>
      <c r="F20" s="75"/>
      <c r="G20" s="75"/>
      <c r="H20" s="78"/>
      <c r="I20" s="73"/>
      <c r="J20" s="44"/>
      <c r="K20" s="67"/>
      <c r="L20" s="3"/>
      <c r="M20" s="33"/>
      <c r="N20" s="34"/>
      <c r="O20" s="58"/>
      <c r="P20" s="33"/>
      <c r="Q20" s="79"/>
      <c r="R20" s="73"/>
      <c r="S20" s="17"/>
      <c r="T20" s="17"/>
      <c r="U20" s="17"/>
      <c r="V20" s="34"/>
      <c r="W20" s="29" t="str">
        <f ca="1">IF(ISBLANK(R20),"",DREF_FROMI50(R20))</f>
        <v/>
      </c>
      <c r="X20" s="29" t="str">
        <f ca="1">IF(ISBLANK(S20),"",DREF_FROMI50(S20))</f>
        <v/>
      </c>
      <c r="Y20" s="29" t="str">
        <f ca="1">IF(ISBLANK(T20),"",DREF_FROMI50(T20))</f>
        <v/>
      </c>
      <c r="Z20" s="29" t="str">
        <f ca="1">IF(ISBLANK(U20),"",DREF_FROMI50(U20))</f>
        <v/>
      </c>
      <c r="AA20" s="29" t="str">
        <f ca="1">IF(ISBLANK(V20),"",DREF_FROMI50(V20))</f>
        <v/>
      </c>
      <c r="AB20" s="33"/>
      <c r="AC20" s="17"/>
      <c r="AD20" s="17"/>
      <c r="AE20" s="17"/>
      <c r="AF20" s="44"/>
      <c r="AG20" s="50"/>
      <c r="AH20" s="50"/>
      <c r="AI20" s="50"/>
      <c r="AJ20" s="50"/>
      <c r="AK20" s="50"/>
      <c r="AL20" s="49"/>
      <c r="AM20" s="49"/>
      <c r="AN20" s="49"/>
      <c r="AO20" s="49"/>
      <c r="AP20" s="50"/>
      <c r="AQ20" s="50"/>
      <c r="AR20" s="50"/>
      <c r="AS20" s="50"/>
      <c r="AT20" s="50"/>
      <c r="AU20" s="50"/>
      <c r="AV20" s="71" t="str">
        <f ca="1">IFERROR((AL20 -0.2- AQ20) * (0.8 - 0.9) / (AL20 - AQ20)+ 0.9,"")</f>
        <v/>
      </c>
      <c r="AW20" s="71" t="str">
        <f ca="1">IFERROR((AM20 -0.2- AR20) * (0.8 - 0.9) / (AM20 - AR20)+ 0.9,"")</f>
        <v/>
      </c>
      <c r="AX20" s="71" t="str">
        <f ca="1">IFERROR((AN20 -0.2- AS20) * (0.8 - 0.9) / (AN20 - AS20)+ 0.9,"")</f>
        <v/>
      </c>
      <c r="AY20" s="71" t="str">
        <f ca="1">IFERROR((AO20 -0.2- AT20) * (0.8 - 0.9) / (AO20 - AT20)+ 0.9,"")</f>
        <v/>
      </c>
      <c r="AZ20" s="71" t="str">
        <f ca="1">IFERROR((AP20 -0.2- AU20) * (0.8 - 0.9) / (AP20 - AU20)+ 0.9,"")</f>
        <v/>
      </c>
      <c r="BA20" s="71" t="str">
        <f ca="1">IFERROR((AL20 +0.2- AL20) * (0.5 - 0.8) / (AG20 -AL20)+ 0.8,"")</f>
        <v/>
      </c>
      <c r="BB20" s="71" t="str">
        <f ca="1">IFERROR((AM20 +0.2- AM20) * (0.5 - 0.8) / (AH20 -AM20)+ 0.8,"")</f>
        <v/>
      </c>
      <c r="BC20" s="71" t="str">
        <f ca="1">IFERROR((AN20 +0.2- AN20) * (0.5 - 0.8) / (AI20 -AN20)+ 0.8,"")</f>
        <v/>
      </c>
      <c r="BD20" s="71" t="str">
        <f ca="1">IFERROR((AO20 +0.2- AO20) * (0.5 - 0.8) / (AJ20 -AO20)+ 0.8,"")</f>
        <v/>
      </c>
      <c r="BE20" s="71" t="str">
        <f ca="1">IFERROR((AP20 +0.2- AP20) * (0.5 - 0.8) / (AK20 -AP20)+ 0.8,"")</f>
        <v/>
      </c>
      <c r="BF20" s="50"/>
      <c r="BG20" s="50"/>
      <c r="BH20" s="50"/>
      <c r="BI20" s="50"/>
      <c r="BJ20" s="83"/>
      <c r="BK20" s="81"/>
      <c r="BL20" s="49"/>
      <c r="BM20" s="49"/>
      <c r="BN20" s="49"/>
      <c r="BO20" s="49"/>
      <c r="BP20" s="49"/>
      <c r="BQ20" s="50"/>
      <c r="BR20" s="48"/>
      <c r="BS20" s="49"/>
      <c r="BT20" s="49"/>
      <c r="BU20" s="49"/>
      <c r="BV20" s="49"/>
      <c r="BW20" s="49"/>
      <c r="BX20" s="50"/>
      <c r="BY20" s="47"/>
    </row>
  </sheetData>
  <mergeCells count="2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 ref="AQ3:AU3"/>
    <mergeCell ref="BF3:BJ3"/>
    <mergeCell ref="AV3:AZ3"/>
    <mergeCell ref="A2:H2"/>
    <mergeCell ref="R2:BE2"/>
    <mergeCell ref="BF2:BX2"/>
  </mergeCells>
  <pageMargins left="0.7" right="0.7" top="0.75" bottom="0.75" header="0.3" footer="0.3"/>
  <pageSetup orientation="portrait"/>
  <headerFooter scaleWithDoc="1" alignWithMargins="0" differentFirst="0" differentOddEven="0"/>
  <legacyDrawing r:id="rId2"/>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6"/>
  <dimension ref="A1:A22"/>
  <sheetViews>
    <sheetView view="normal" workbookViewId="0">
      <selection pane="topLeft" activeCell="B2" sqref="B2"/>
    </sheetView>
  </sheetViews>
  <sheetFormatPr defaultRowHeight="14.25" baseColWidth="0"/>
  <cols>
    <col min="1" max="1" width="33.62109375" customWidth="1"/>
    <col min="2" max="2" width="37.25" customWidth="1"/>
  </cols>
  <sheetData>
    <row r="1" spans="1:1" ht="116.25" customHeight="1" thickBot="1">
      <c r="A1" s="119" t="s">
        <v>117</v>
      </c>
    </row>
    <row r="2" spans="1:1">
      <c r="A2" s="118" t="s">
        <v>70</v>
      </c>
    </row>
    <row r="3" spans="1:1" ht="15">
      <c r="A3" s="1" t="s">
        <v>68</v>
      </c>
    </row>
    <row r="4" spans="1:1">
      <c r="A4" s="3" t="s">
        <v>69</v>
      </c>
    </row>
    <row r="5" spans="1:1">
      <c r="A5" s="3" t="s">
        <v>100</v>
      </c>
    </row>
    <row r="6" spans="1:1">
      <c r="A6" s="3" t="s">
        <v>101</v>
      </c>
    </row>
    <row r="7" spans="1:1">
      <c r="A7" s="3" t="s">
        <v>102</v>
      </c>
    </row>
    <row r="8" spans="1:1">
      <c r="A8" s="3" t="s">
        <v>106</v>
      </c>
    </row>
    <row r="9" spans="1:1">
      <c r="A9" s="3" t="s">
        <v>107</v>
      </c>
    </row>
    <row r="10" spans="1:1">
      <c r="A10" s="3" t="s">
        <v>108</v>
      </c>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sheetData>
  <pageMargins left="0.7" right="0.7" top="0.75" bottom="0.75" header="0.3" footer="0.3"/>
  <pageSetup paperSize="9" orientation="portrait"/>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2">
    <tabColor indexed="27"/>
  </sheetPr>
  <dimension ref="A1:P34"/>
  <sheetViews>
    <sheetView zoomScale="85" view="normal" workbookViewId="0">
      <selection pane="topLeft" activeCell="A1" sqref="A1:P1"/>
    </sheetView>
  </sheetViews>
  <sheetFormatPr defaultRowHeight="14.25" baseColWidth="0"/>
  <cols>
    <col min="1" max="1" width="10.37109375" customWidth="1"/>
    <col min="2" max="2" width="11.75" customWidth="1"/>
    <col min="3" max="3" width="10.87109375" customWidth="1"/>
    <col min="4" max="4" width="12.62109375" customWidth="1"/>
    <col min="10" max="10" width="12.87109375" customWidth="1"/>
    <col min="11" max="11" width="24.12109375" customWidth="1"/>
    <col min="12" max="12" width="13" customWidth="1"/>
    <col min="14" max="14" width="8.87109375" customWidth="1"/>
    <col min="15" max="15" width="12.25" customWidth="1"/>
    <col min="16" max="16" width="17.37109375" customWidth="1"/>
  </cols>
  <sheetData>
    <row r="1" spans="1:16" ht="56.25" customHeight="1" thickBot="1">
      <c r="A1" s="150" t="s">
        <v>116</v>
      </c>
      <c r="B1" s="151"/>
      <c r="C1" s="151"/>
      <c r="D1" s="151"/>
      <c r="E1" s="151"/>
      <c r="F1" s="151"/>
      <c r="G1" s="151"/>
      <c r="H1" s="151"/>
      <c r="I1" s="151"/>
      <c r="J1" s="151"/>
      <c r="K1" s="151"/>
      <c r="L1" s="151"/>
      <c r="M1" s="151"/>
      <c r="N1" s="151"/>
      <c r="O1" s="151"/>
      <c r="P1" s="152"/>
    </row>
    <row r="2" spans="1:16" ht="25.5" customHeight="1">
      <c r="A2" s="188" t="s">
        <v>63</v>
      </c>
      <c r="B2" s="188"/>
      <c r="C2" s="188"/>
      <c r="D2" s="188"/>
      <c r="E2" s="188"/>
      <c r="F2" s="188"/>
      <c r="G2" s="188"/>
      <c r="H2" s="188"/>
      <c r="I2" s="188"/>
      <c r="J2" s="188"/>
      <c r="L2" s="189" t="s">
        <v>66</v>
      </c>
      <c r="M2" s="190"/>
      <c r="N2" s="190"/>
      <c r="O2" s="190"/>
      <c r="P2" s="191"/>
    </row>
    <row r="3" spans="1:16" ht="17.25">
      <c r="A3" s="179" t="s">
        <v>4</v>
      </c>
      <c r="B3" s="180"/>
      <c r="C3" s="180"/>
      <c r="D3" s="180"/>
      <c r="E3" s="181"/>
      <c r="F3" s="179" t="s">
        <v>14</v>
      </c>
      <c r="G3" s="180"/>
      <c r="H3" s="180"/>
      <c r="I3" s="180"/>
      <c r="J3" s="185"/>
      <c r="L3" s="179" t="s">
        <v>15</v>
      </c>
      <c r="M3" s="180"/>
      <c r="N3" s="180"/>
      <c r="O3" s="180"/>
      <c r="P3" s="181"/>
    </row>
    <row r="4" spans="1:16" ht="15">
      <c r="A4" s="182" t="str">
        <f ca="1">INDEX(Machines!A5:AF20,MATCH(MEASURE!H1,Machines,0),2)&amp;"X"</f>
        <v>6X</v>
      </c>
      <c r="B4" s="183"/>
      <c r="C4" s="183"/>
      <c r="D4" s="183"/>
      <c r="E4" s="184"/>
      <c r="F4" s="182" t="str">
        <f ca="1">INDEX(Machines!A5:AF20,MATCH(MEASURE!H1,Machines,0),2)&amp;"X"</f>
        <v>6X</v>
      </c>
      <c r="G4" s="183"/>
      <c r="H4" s="183"/>
      <c r="I4" s="183"/>
      <c r="J4" s="183"/>
      <c r="L4" s="182" t="s">
        <v>22</v>
      </c>
      <c r="M4" s="183"/>
      <c r="N4" s="183"/>
      <c r="O4" s="183"/>
      <c r="P4" s="184"/>
    </row>
    <row r="5" spans="1:16">
      <c r="A5" s="14" t="s">
        <v>5</v>
      </c>
      <c r="B5" s="5" t="s">
        <v>6</v>
      </c>
      <c r="C5" s="5" t="s">
        <v>7</v>
      </c>
      <c r="D5" s="5" t="s">
        <v>8</v>
      </c>
      <c r="E5" s="8"/>
      <c r="F5" s="14" t="s">
        <v>5</v>
      </c>
      <c r="G5" s="5" t="s">
        <v>6</v>
      </c>
      <c r="H5" s="5" t="s">
        <v>7</v>
      </c>
      <c r="I5" s="5" t="s">
        <v>8</v>
      </c>
      <c r="J5" s="5"/>
      <c r="L5" s="14"/>
      <c r="M5" s="5"/>
      <c r="N5" s="5"/>
      <c r="O5" s="5" t="s">
        <v>20</v>
      </c>
      <c r="P5" s="19">
        <f ca="1">Current_rcav*10</f>
        <v>3.05</v>
      </c>
    </row>
    <row r="6" spans="1:16">
      <c r="A6" s="14">
        <v>150</v>
      </c>
      <c r="B6" s="3">
        <v>26.65</v>
      </c>
      <c r="C6" s="3">
        <v>26.65</v>
      </c>
      <c r="D6" s="4">
        <f ca="1">IFERROR(AVERAGE(B6:C6),"")</f>
        <v>26.65</v>
      </c>
      <c r="E6" s="178">
        <f ca="1">(1-A7/A6)/(D7/D6-A7/A6)</f>
        <v>1.0037664783427496</v>
      </c>
      <c r="F6" s="14">
        <v>-300</v>
      </c>
      <c r="G6" s="22">
        <v>26.75</v>
      </c>
      <c r="H6" s="22">
        <v>26.75</v>
      </c>
      <c r="I6" s="4">
        <f ca="1">IFERROR(AVERAGE(G6:H6),"")</f>
        <v>26.75</v>
      </c>
      <c r="J6" s="178">
        <f ca="1">(I6+I7)/(2*I6)</f>
        <v>1.0011214953271028</v>
      </c>
      <c r="L6" s="14" t="s">
        <v>21</v>
      </c>
      <c r="M6" s="5" t="s">
        <v>17</v>
      </c>
      <c r="N6" s="5" t="s">
        <v>16</v>
      </c>
      <c r="O6" s="5" t="s">
        <v>18</v>
      </c>
      <c r="P6" s="8" t="s">
        <v>19</v>
      </c>
    </row>
    <row r="7" spans="1:16">
      <c r="A7" s="14">
        <v>300</v>
      </c>
      <c r="B7" s="22">
        <v>26.75</v>
      </c>
      <c r="C7" s="22">
        <v>26.75</v>
      </c>
      <c r="D7" s="23">
        <f ca="1">IFERROR(AVERAGE(B7:C7),"")</f>
        <v>26.75</v>
      </c>
      <c r="E7" s="178"/>
      <c r="F7" s="14">
        <v>300</v>
      </c>
      <c r="G7" s="22">
        <v>26.81</v>
      </c>
      <c r="H7" s="22">
        <v>26.81</v>
      </c>
      <c r="I7" s="23">
        <f ca="1">IFERROR(AVERAGE(G7:H7),"")</f>
        <v>26.81</v>
      </c>
      <c r="J7" s="178"/>
      <c r="L7" s="14">
        <f ca="1">INDEX(Machines!A5:AF20,MATCH(MEASURE!H1,Machines,0),4)</f>
        <v>6</v>
      </c>
      <c r="M7" s="4">
        <f ca="1">Current_I50_E1</f>
        <v>2.364</v>
      </c>
      <c r="N7" s="4" t="e">
        <f ca="1">RFIFTY_FROMI50(M7)</f>
        <v>#NAME?</v>
      </c>
      <c r="O7" s="20" t="e">
        <f ca="1">DREF_FROMI50(M7)</f>
        <v>#NAME?</v>
      </c>
      <c r="P7" s="21" t="e">
        <f ca="1">O7+0.5*$P$5/10</f>
        <v>#NAME?</v>
      </c>
    </row>
    <row r="8" spans="1:16" ht="15">
      <c r="A8" s="175" t="str">
        <f ca="1">INDEX(Machines!A5:AF20,MATCH(MEASURE!H1,Machines,0),3)&amp;"X"</f>
        <v>15X</v>
      </c>
      <c r="B8" s="176"/>
      <c r="C8" s="176"/>
      <c r="D8" s="176"/>
      <c r="E8" s="177"/>
      <c r="F8" s="175" t="str">
        <f ca="1">INDEX(Machines!A5:AF20,MATCH(MEASURE!H1,Machines,0),3)&amp;"X"</f>
        <v>15X</v>
      </c>
      <c r="G8" s="176"/>
      <c r="H8" s="176"/>
      <c r="I8" s="176"/>
      <c r="J8" s="176"/>
      <c r="L8" s="14">
        <f ca="1">INDEX(Machines!A5:AF20,MATCH(MEASURE!H1,Machines,0),5)</f>
        <v>9</v>
      </c>
      <c r="M8" s="4">
        <f ca="1">Current_I50_E2</f>
        <v>3.547</v>
      </c>
      <c r="N8" s="4" t="e">
        <f ca="1">RFIFTY_FROMI50(M8)</f>
        <v>#NAME?</v>
      </c>
      <c r="O8" s="20" t="e">
        <f ca="1">DREF_FROMI50(M8)</f>
        <v>#NAME?</v>
      </c>
      <c r="P8" s="21" t="e">
        <f ca="1">O8+0.5*$P$5/10</f>
        <v>#NAME?</v>
      </c>
    </row>
    <row r="9" spans="1:16">
      <c r="A9" s="14" t="s">
        <v>5</v>
      </c>
      <c r="B9" s="5" t="s">
        <v>6</v>
      </c>
      <c r="C9" s="5" t="s">
        <v>7</v>
      </c>
      <c r="D9" s="5" t="s">
        <v>8</v>
      </c>
      <c r="E9" s="8"/>
      <c r="F9" s="14" t="s">
        <v>5</v>
      </c>
      <c r="G9" s="5" t="s">
        <v>6</v>
      </c>
      <c r="H9" s="5" t="s">
        <v>7</v>
      </c>
      <c r="I9" s="5" t="s">
        <v>8</v>
      </c>
      <c r="J9" s="5"/>
      <c r="L9" s="14">
        <f ca="1">INDEX(Machines!A5:AF20,MATCH(MEASURE!H1,Machines,0),6)</f>
        <v>12</v>
      </c>
      <c r="M9" s="4">
        <f ca="1">Current_I50_E3</f>
        <v>4.955</v>
      </c>
      <c r="N9" s="4" t="e">
        <f ca="1">RFIFTY_FROMI50(M9)</f>
        <v>#NAME?</v>
      </c>
      <c r="O9" s="20" t="e">
        <f ca="1">DREF_FROMI50(M9)</f>
        <v>#NAME?</v>
      </c>
      <c r="P9" s="21" t="e">
        <f ca="1">O9+0.5*$P$5/10</f>
        <v>#NAME?</v>
      </c>
    </row>
    <row r="10" spans="1:16">
      <c r="A10" s="14">
        <v>150</v>
      </c>
      <c r="B10" s="3">
        <v>30.2</v>
      </c>
      <c r="C10" s="3">
        <v>30.2</v>
      </c>
      <c r="D10" s="4">
        <f ca="1">IFERROR(AVERAGE(B10:C10),"")</f>
        <v>30.2</v>
      </c>
      <c r="E10" s="178">
        <f ca="1">(1-A11/A10)/(D11/D10-A11/A10)</f>
        <v>1.0063312229256916</v>
      </c>
      <c r="F10" s="14">
        <v>-300</v>
      </c>
      <c r="G10" s="22">
        <v>30.39</v>
      </c>
      <c r="H10" s="22">
        <v>30.39</v>
      </c>
      <c r="I10" s="4">
        <f ca="1">IFERROR(AVERAGE(G10:H10),"")</f>
        <v>30.39</v>
      </c>
      <c r="J10" s="178">
        <f ca="1">(I10+I11)/(2*I10)</f>
        <v>1.0009871668311945</v>
      </c>
      <c r="L10" s="14">
        <f ca="1">INDEX(Machines!A5:AF20,MATCH(MEASURE!H1,Machines,0),7)</f>
        <v>15</v>
      </c>
      <c r="M10" s="4">
        <f ca="1">Current_I50_E4</f>
        <v>6.246</v>
      </c>
      <c r="N10" s="4" t="e">
        <f ca="1">RFIFTY_FROMI50(M10)</f>
        <v>#NAME?</v>
      </c>
      <c r="O10" s="20" t="e">
        <f ca="1">DREF_FROMI50(M10)</f>
        <v>#NAME?</v>
      </c>
      <c r="P10" s="21" t="e">
        <f ca="1">O10+0.5*$P$5/10</f>
        <v>#NAME?</v>
      </c>
    </row>
    <row r="11" spans="1:16">
      <c r="A11" s="14">
        <v>300</v>
      </c>
      <c r="B11" s="22">
        <v>30.39</v>
      </c>
      <c r="C11" s="22">
        <v>30.39</v>
      </c>
      <c r="D11" s="23">
        <f ca="1">IFERROR(AVERAGE(B11:C11),"")</f>
        <v>30.39</v>
      </c>
      <c r="E11" s="178"/>
      <c r="F11" s="14">
        <v>300</v>
      </c>
      <c r="G11" s="22">
        <v>30.45</v>
      </c>
      <c r="H11" s="22">
        <v>30.45</v>
      </c>
      <c r="I11" s="23">
        <f ca="1">IFERROR(AVERAGE(G11:H11),"")</f>
        <v>30.45</v>
      </c>
      <c r="J11" s="178"/>
      <c r="L11" s="14">
        <f ca="1">INDEX(Machines!A5:AF20,MATCH(MEASURE!H1,Machines,0),8)</f>
        <v>18</v>
      </c>
      <c r="M11" s="23">
        <f ca="1">Current_I50_E5</f>
        <v>7.562</v>
      </c>
      <c r="N11" s="4" t="e">
        <f ca="1">RFIFTY_FROMI50(M11)</f>
        <v>#NAME?</v>
      </c>
      <c r="O11" s="20" t="e">
        <f ca="1">DREF_FROMI50(M11)</f>
        <v>#NAME?</v>
      </c>
      <c r="P11" s="24" t="e">
        <f ca="1">O11+0.5*$P$5/10</f>
        <v>#NAME?</v>
      </c>
    </row>
    <row r="12" spans="1:16" ht="15">
      <c r="A12" s="175" t="s">
        <v>9</v>
      </c>
      <c r="B12" s="176"/>
      <c r="C12" s="176"/>
      <c r="D12" s="176"/>
      <c r="E12" s="177"/>
      <c r="F12" s="175" t="s">
        <v>9</v>
      </c>
      <c r="G12" s="176"/>
      <c r="H12" s="176"/>
      <c r="I12" s="176"/>
      <c r="J12" s="176"/>
      <c r="L12" s="175" t="s">
        <v>9</v>
      </c>
      <c r="M12" s="176"/>
      <c r="N12" s="176"/>
      <c r="O12" s="176"/>
      <c r="P12" s="177"/>
    </row>
    <row r="13" spans="1:16">
      <c r="A13" s="14" t="s">
        <v>5</v>
      </c>
      <c r="B13" s="5" t="s">
        <v>6</v>
      </c>
      <c r="C13" s="5" t="s">
        <v>7</v>
      </c>
      <c r="D13" s="5" t="s">
        <v>8</v>
      </c>
      <c r="E13" s="8"/>
      <c r="F13" s="14" t="s">
        <v>5</v>
      </c>
      <c r="G13" s="5" t="s">
        <v>6</v>
      </c>
      <c r="H13" s="5" t="s">
        <v>7</v>
      </c>
      <c r="I13" s="5" t="s">
        <v>8</v>
      </c>
      <c r="J13" s="5"/>
      <c r="L13" s="14" t="s">
        <v>25</v>
      </c>
      <c r="M13" s="5" t="s">
        <v>6</v>
      </c>
      <c r="N13" s="5" t="s">
        <v>7</v>
      </c>
      <c r="O13" s="5" t="s">
        <v>8</v>
      </c>
      <c r="P13" s="8"/>
    </row>
    <row r="14" spans="1:16">
      <c r="A14" s="14">
        <v>150</v>
      </c>
      <c r="B14" s="3">
        <v>42.29</v>
      </c>
      <c r="C14" s="3">
        <v>42.28</v>
      </c>
      <c r="D14" s="4">
        <f ca="1">IFERROR(AVERAGE(B14:C14),"")</f>
        <v>42.285</v>
      </c>
      <c r="E14" s="178">
        <f ca="1">(1-A15/A14)/(D15/D14-A15/A14)</f>
        <v>1.0141503777431347</v>
      </c>
      <c r="F14" s="14">
        <v>-300</v>
      </c>
      <c r="G14" s="17">
        <v>42.87</v>
      </c>
      <c r="H14" s="17">
        <v>42.88</v>
      </c>
      <c r="I14" s="4">
        <f ca="1">IFERROR(AVERAGE(G14:H14),"")</f>
        <v>42.875</v>
      </c>
      <c r="J14" s="178">
        <f ca="1">(I14+I15)/(2*I14)</f>
        <v>1.0002915451895045</v>
      </c>
      <c r="L14" s="14" t="s">
        <v>23</v>
      </c>
      <c r="M14" s="3"/>
      <c r="N14" s="3"/>
      <c r="O14" s="4" t="str">
        <f ca="1">IFERROR(AVERAGE(M14:N14),"")</f>
        <v/>
      </c>
      <c r="P14" s="178" t="e">
        <f ca="1">(O15/O14)</f>
        <v>#VALUE!</v>
      </c>
    </row>
    <row r="15" spans="1:16">
      <c r="A15" s="16">
        <v>300</v>
      </c>
      <c r="B15" s="17">
        <v>42.87</v>
      </c>
      <c r="C15" s="17">
        <v>42.88</v>
      </c>
      <c r="D15" s="18">
        <f ca="1">IFERROR(AVERAGE(B15:C15),"")</f>
        <v>42.875</v>
      </c>
      <c r="E15" s="178"/>
      <c r="F15" s="16">
        <v>300</v>
      </c>
      <c r="G15" s="17">
        <v>42.9</v>
      </c>
      <c r="H15" s="17">
        <v>42.9</v>
      </c>
      <c r="I15" s="18">
        <f ca="1">IFERROR(AVERAGE(G15:H15),"")</f>
        <v>42.9</v>
      </c>
      <c r="J15" s="178"/>
      <c r="L15" s="16" t="s">
        <v>24</v>
      </c>
      <c r="M15" s="17"/>
      <c r="N15" s="17"/>
      <c r="O15" s="4" t="str">
        <f ca="1">IFERROR(AVERAGE(M15:N15),"")</f>
        <v/>
      </c>
      <c r="P15" s="178"/>
    </row>
    <row r="16" spans="1:16" ht="15">
      <c r="A16" s="175" t="s">
        <v>10</v>
      </c>
      <c r="B16" s="176"/>
      <c r="C16" s="176"/>
      <c r="D16" s="176"/>
      <c r="E16" s="177"/>
      <c r="F16" s="175" t="s">
        <v>10</v>
      </c>
      <c r="G16" s="176"/>
      <c r="H16" s="176"/>
      <c r="I16" s="176"/>
      <c r="J16" s="176"/>
      <c r="L16" s="175" t="s">
        <v>10</v>
      </c>
      <c r="M16" s="176"/>
      <c r="N16" s="176"/>
      <c r="O16" s="176"/>
      <c r="P16" s="177"/>
    </row>
    <row r="17" spans="1:16">
      <c r="A17" s="14" t="s">
        <v>5</v>
      </c>
      <c r="B17" s="5" t="s">
        <v>6</v>
      </c>
      <c r="C17" s="5" t="s">
        <v>7</v>
      </c>
      <c r="D17" s="5" t="s">
        <v>8</v>
      </c>
      <c r="E17" s="8"/>
      <c r="F17" s="14" t="s">
        <v>5</v>
      </c>
      <c r="G17" s="5" t="s">
        <v>6</v>
      </c>
      <c r="H17" s="5" t="s">
        <v>7</v>
      </c>
      <c r="I17" s="5" t="s">
        <v>8</v>
      </c>
      <c r="J17" s="5"/>
      <c r="L17" s="14" t="s">
        <v>25</v>
      </c>
      <c r="M17" s="5" t="s">
        <v>6</v>
      </c>
      <c r="N17" s="5" t="s">
        <v>7</v>
      </c>
      <c r="O17" s="5" t="s">
        <v>8</v>
      </c>
      <c r="P17" s="8"/>
    </row>
    <row r="18" spans="1:16">
      <c r="A18" s="14">
        <v>150</v>
      </c>
      <c r="B18" s="3">
        <v>42.59</v>
      </c>
      <c r="C18" s="3">
        <v>42.57</v>
      </c>
      <c r="D18" s="4">
        <f ca="1">IFERROR(AVERAGE(B18:C18),"")</f>
        <v>42.58</v>
      </c>
      <c r="E18" s="178">
        <f ca="1">(1-A19/A18)/(D19/D18-A19/A18)</f>
        <v>1.0147759771210676</v>
      </c>
      <c r="F18" s="14">
        <v>-300</v>
      </c>
      <c r="G18" s="17">
        <v>43.2</v>
      </c>
      <c r="H18" s="17">
        <v>43.2</v>
      </c>
      <c r="I18" s="4">
        <f ca="1">IFERROR(AVERAGE(G18:H18),"")</f>
        <v>43.2</v>
      </c>
      <c r="J18" s="178">
        <f ca="1">(I18+I19)/(2*I18)</f>
        <v>1.0005208333333333</v>
      </c>
      <c r="L18" s="14" t="s">
        <v>23</v>
      </c>
      <c r="M18" s="3"/>
      <c r="N18" s="3"/>
      <c r="O18" s="4" t="str">
        <f ca="1">IFERROR(AVERAGE(M18:N18),"")</f>
        <v/>
      </c>
      <c r="P18" s="178" t="e">
        <f ca="1">(O19/O18)</f>
        <v>#VALUE!</v>
      </c>
    </row>
    <row r="19" spans="1:16">
      <c r="A19" s="16">
        <v>300</v>
      </c>
      <c r="B19" s="17">
        <v>43.2</v>
      </c>
      <c r="C19" s="17">
        <v>43.2</v>
      </c>
      <c r="D19" s="18">
        <f ca="1">IFERROR(AVERAGE(B19:C19),"")</f>
        <v>43.2</v>
      </c>
      <c r="E19" s="178"/>
      <c r="F19" s="16">
        <v>300</v>
      </c>
      <c r="G19" s="17">
        <v>43.25</v>
      </c>
      <c r="H19" s="17">
        <v>43.24</v>
      </c>
      <c r="I19" s="18">
        <f ca="1">IFERROR(AVERAGE(G19:H19),"")</f>
        <v>43.245000000000005</v>
      </c>
      <c r="J19" s="178"/>
      <c r="L19" s="16" t="s">
        <v>24</v>
      </c>
      <c r="M19" s="17"/>
      <c r="N19" s="17"/>
      <c r="O19" s="4" t="str">
        <f ca="1">IFERROR(AVERAGE(M19:N19),"")</f>
        <v/>
      </c>
      <c r="P19" s="178"/>
    </row>
    <row r="20" spans="1:16" ht="15">
      <c r="A20" s="175" t="s">
        <v>11</v>
      </c>
      <c r="B20" s="176"/>
      <c r="C20" s="176"/>
      <c r="D20" s="176"/>
      <c r="E20" s="177"/>
      <c r="F20" s="175" t="s">
        <v>11</v>
      </c>
      <c r="G20" s="176"/>
      <c r="H20" s="176"/>
      <c r="I20" s="176"/>
      <c r="J20" s="176"/>
      <c r="L20" s="175" t="s">
        <v>11</v>
      </c>
      <c r="M20" s="176"/>
      <c r="N20" s="176"/>
      <c r="O20" s="176"/>
      <c r="P20" s="177"/>
    </row>
    <row r="21" spans="1:16">
      <c r="A21" s="14" t="s">
        <v>5</v>
      </c>
      <c r="B21" s="5" t="s">
        <v>6</v>
      </c>
      <c r="C21" s="5" t="s">
        <v>7</v>
      </c>
      <c r="D21" s="5" t="s">
        <v>8</v>
      </c>
      <c r="E21" s="8"/>
      <c r="F21" s="14" t="s">
        <v>5</v>
      </c>
      <c r="G21" s="5" t="s">
        <v>6</v>
      </c>
      <c r="H21" s="5" t="s">
        <v>7</v>
      </c>
      <c r="I21" s="5" t="s">
        <v>8</v>
      </c>
      <c r="J21" s="5"/>
      <c r="L21" s="14" t="s">
        <v>25</v>
      </c>
      <c r="M21" s="5" t="s">
        <v>6</v>
      </c>
      <c r="N21" s="5" t="s">
        <v>7</v>
      </c>
      <c r="O21" s="5" t="s">
        <v>8</v>
      </c>
      <c r="P21" s="8"/>
    </row>
    <row r="22" spans="1:16">
      <c r="A22" s="14">
        <v>150</v>
      </c>
      <c r="B22" s="3">
        <v>41.05</v>
      </c>
      <c r="C22" s="3">
        <v>41.05</v>
      </c>
      <c r="D22" s="4">
        <f ca="1">IFERROR(AVERAGE(B22:C22),"")</f>
        <v>41.05</v>
      </c>
      <c r="E22" s="178">
        <f ca="1">(1-A23/A22)/(D23/D22-A23/A22)</f>
        <v>1.0140810276679844</v>
      </c>
      <c r="F22" s="14">
        <v>-300</v>
      </c>
      <c r="G22" s="17">
        <v>41.61</v>
      </c>
      <c r="H22" s="17">
        <v>41.63</v>
      </c>
      <c r="I22" s="4">
        <f ca="1">IFERROR(AVERAGE(G22:H22),"")</f>
        <v>41.620000000000005</v>
      </c>
      <c r="J22" s="178">
        <f ca="1">(I22+I23)/(2*I22)</f>
        <v>1.000600672753484</v>
      </c>
      <c r="L22" s="14" t="s">
        <v>23</v>
      </c>
      <c r="M22" s="3"/>
      <c r="N22" s="3"/>
      <c r="O22" s="4" t="str">
        <f ca="1">IFERROR(AVERAGE(M22:N22),"")</f>
        <v/>
      </c>
      <c r="P22" s="178" t="e">
        <f ca="1">(O23/O22)</f>
        <v>#VALUE!</v>
      </c>
    </row>
    <row r="23" spans="1:16">
      <c r="A23" s="16">
        <v>300</v>
      </c>
      <c r="B23" s="17">
        <v>41.61</v>
      </c>
      <c r="C23" s="17">
        <v>41.63</v>
      </c>
      <c r="D23" s="18">
        <f ca="1">IFERROR(AVERAGE(B23:C23),"")</f>
        <v>41.620000000000005</v>
      </c>
      <c r="E23" s="178"/>
      <c r="F23" s="16">
        <v>300</v>
      </c>
      <c r="G23" s="17">
        <v>41.67</v>
      </c>
      <c r="H23" s="17">
        <v>41.67</v>
      </c>
      <c r="I23" s="18">
        <f ca="1">IFERROR(AVERAGE(G23:H23),"")</f>
        <v>41.67</v>
      </c>
      <c r="J23" s="178"/>
      <c r="L23" s="16" t="s">
        <v>24</v>
      </c>
      <c r="M23" s="17"/>
      <c r="N23" s="17"/>
      <c r="O23" s="4" t="str">
        <f ca="1">IFERROR(AVERAGE(M23:N23),"")</f>
        <v/>
      </c>
      <c r="P23" s="178"/>
    </row>
    <row r="24" spans="1:16" ht="15">
      <c r="A24" s="175" t="s">
        <v>12</v>
      </c>
      <c r="B24" s="176"/>
      <c r="C24" s="176"/>
      <c r="D24" s="176"/>
      <c r="E24" s="177"/>
      <c r="F24" s="175" t="s">
        <v>12</v>
      </c>
      <c r="G24" s="176"/>
      <c r="H24" s="176"/>
      <c r="I24" s="176"/>
      <c r="J24" s="176"/>
      <c r="L24" s="175" t="s">
        <v>12</v>
      </c>
      <c r="M24" s="176"/>
      <c r="N24" s="176"/>
      <c r="O24" s="176"/>
      <c r="P24" s="177"/>
    </row>
    <row r="25" spans="1:16">
      <c r="A25" s="14" t="s">
        <v>5</v>
      </c>
      <c r="B25" s="5" t="s">
        <v>6</v>
      </c>
      <c r="C25" s="5" t="s">
        <v>7</v>
      </c>
      <c r="D25" s="5" t="s">
        <v>8</v>
      </c>
      <c r="E25" s="8"/>
      <c r="F25" s="14" t="s">
        <v>5</v>
      </c>
      <c r="G25" s="5" t="s">
        <v>6</v>
      </c>
      <c r="H25" s="5" t="s">
        <v>7</v>
      </c>
      <c r="I25" s="5" t="s">
        <v>8</v>
      </c>
      <c r="J25" s="5"/>
      <c r="L25" s="14" t="s">
        <v>25</v>
      </c>
      <c r="M25" s="5" t="s">
        <v>6</v>
      </c>
      <c r="N25" s="5" t="s">
        <v>7</v>
      </c>
      <c r="O25" s="5" t="s">
        <v>8</v>
      </c>
      <c r="P25" s="8"/>
    </row>
    <row r="26" spans="1:16">
      <c r="A26" s="14">
        <v>150</v>
      </c>
      <c r="B26" s="3">
        <v>40.04</v>
      </c>
      <c r="C26" s="3">
        <v>40.03</v>
      </c>
      <c r="D26" s="4">
        <f ca="1">IFERROR(AVERAGE(B26:C26),"")</f>
        <v>40.035</v>
      </c>
      <c r="E26" s="178">
        <f ca="1">(1-A27/A26)/(D27/D26-A27/A26)</f>
        <v>1.0135443037974685</v>
      </c>
      <c r="F26" s="14">
        <v>-300</v>
      </c>
      <c r="G26" s="17">
        <v>40.57</v>
      </c>
      <c r="H26" s="17">
        <v>40.57</v>
      </c>
      <c r="I26" s="4">
        <f ca="1">IFERROR(AVERAGE(G26:H26),"")</f>
        <v>40.57</v>
      </c>
      <c r="J26" s="178">
        <f ca="1">(I26+I27)/(2*I26)</f>
        <v>1.0012324377618931</v>
      </c>
      <c r="L26" s="14" t="s">
        <v>23</v>
      </c>
      <c r="M26" s="3"/>
      <c r="N26" s="3"/>
      <c r="O26" s="4" t="str">
        <f ca="1">IFERROR(AVERAGE(M26:N26),"")</f>
        <v/>
      </c>
      <c r="P26" s="178" t="e">
        <f ca="1">(O27/O26)</f>
        <v>#VALUE!</v>
      </c>
    </row>
    <row r="27" spans="1:16">
      <c r="A27" s="16">
        <v>300</v>
      </c>
      <c r="B27" s="17">
        <v>40.57</v>
      </c>
      <c r="C27" s="17">
        <v>40.57</v>
      </c>
      <c r="D27" s="18">
        <f ca="1">IFERROR(AVERAGE(B27:C27),"")</f>
        <v>40.57</v>
      </c>
      <c r="E27" s="178"/>
      <c r="F27" s="16">
        <v>300</v>
      </c>
      <c r="G27" s="17">
        <v>40.7</v>
      </c>
      <c r="H27" s="17">
        <v>40.64</v>
      </c>
      <c r="I27" s="18">
        <f ca="1">IFERROR(AVERAGE(G27:H27),"")</f>
        <v>40.67</v>
      </c>
      <c r="J27" s="178"/>
      <c r="L27" s="16" t="s">
        <v>24</v>
      </c>
      <c r="M27" s="17"/>
      <c r="N27" s="17"/>
      <c r="O27" s="4" t="str">
        <f ca="1">IFERROR(AVERAGE(M27:N27),"")</f>
        <v/>
      </c>
      <c r="P27" s="178"/>
    </row>
    <row r="28" spans="1:16" ht="15">
      <c r="A28" s="182" t="s">
        <v>13</v>
      </c>
      <c r="B28" s="183"/>
      <c r="C28" s="183"/>
      <c r="D28" s="183"/>
      <c r="E28" s="184"/>
      <c r="F28" s="182" t="s">
        <v>13</v>
      </c>
      <c r="G28" s="183"/>
      <c r="H28" s="183"/>
      <c r="I28" s="183"/>
      <c r="J28" s="183"/>
      <c r="L28" s="182" t="s">
        <v>13</v>
      </c>
      <c r="M28" s="183"/>
      <c r="N28" s="183"/>
      <c r="O28" s="183"/>
      <c r="P28" s="184"/>
    </row>
    <row r="29" spans="1:16">
      <c r="A29" s="14" t="s">
        <v>5</v>
      </c>
      <c r="B29" s="5" t="s">
        <v>6</v>
      </c>
      <c r="C29" s="5" t="s">
        <v>7</v>
      </c>
      <c r="D29" s="5" t="s">
        <v>8</v>
      </c>
      <c r="E29" s="8"/>
      <c r="F29" s="14" t="s">
        <v>5</v>
      </c>
      <c r="G29" s="5" t="s">
        <v>6</v>
      </c>
      <c r="H29" s="5" t="s">
        <v>7</v>
      </c>
      <c r="I29" s="5" t="s">
        <v>8</v>
      </c>
      <c r="J29" s="5"/>
      <c r="L29" s="14" t="s">
        <v>25</v>
      </c>
      <c r="M29" s="5" t="s">
        <v>6</v>
      </c>
      <c r="N29" s="5" t="s">
        <v>7</v>
      </c>
      <c r="O29" s="5" t="s">
        <v>8</v>
      </c>
      <c r="P29" s="8"/>
    </row>
    <row r="30" spans="1:16">
      <c r="A30" s="14">
        <v>150</v>
      </c>
      <c r="B30" s="3">
        <v>39.11</v>
      </c>
      <c r="C30" s="3">
        <v>39.1</v>
      </c>
      <c r="D30" s="4">
        <f ca="1">IFERROR(AVERAGE(B30:C30),"")</f>
        <v>39.105000000000004</v>
      </c>
      <c r="E30" s="178">
        <f ca="1">(1-A31/A30)/(D31/D30-A31/A30)</f>
        <v>1.0132141469102212</v>
      </c>
      <c r="F30" s="14">
        <v>-300</v>
      </c>
      <c r="G30" s="17">
        <v>39.61</v>
      </c>
      <c r="H30" s="17">
        <v>39.62</v>
      </c>
      <c r="I30" s="4">
        <f ca="1">IFERROR(AVERAGE(G30:H30),"")</f>
        <v>39.614999999999995</v>
      </c>
      <c r="J30" s="178">
        <f ca="1">(I30+I31)/(2*I30)</f>
        <v>1.0003786444528589</v>
      </c>
      <c r="L30" s="14" t="s">
        <v>23</v>
      </c>
      <c r="M30" s="3"/>
      <c r="N30" s="3"/>
      <c r="O30" s="4" t="str">
        <f ca="1">IFERROR(AVERAGE(M30:N30),"")</f>
        <v/>
      </c>
      <c r="P30" s="178" t="e">
        <f ca="1">(O31/O30)</f>
        <v>#VALUE!</v>
      </c>
    </row>
    <row r="31" spans="1:16">
      <c r="A31" s="16">
        <v>300</v>
      </c>
      <c r="B31" s="17">
        <v>39.61</v>
      </c>
      <c r="C31" s="17">
        <v>39.62</v>
      </c>
      <c r="D31" s="18">
        <f ca="1">IFERROR(AVERAGE(B31:C31),"")</f>
        <v>39.614999999999995</v>
      </c>
      <c r="E31" s="178"/>
      <c r="F31" s="16">
        <v>300</v>
      </c>
      <c r="G31" s="17">
        <v>39.69</v>
      </c>
      <c r="H31" s="17">
        <v>39.6</v>
      </c>
      <c r="I31" s="18">
        <f ca="1">IFERROR(AVERAGE(G31:H31),"")</f>
        <v>39.644999999999996</v>
      </c>
      <c r="J31" s="178"/>
      <c r="L31" s="16" t="s">
        <v>23</v>
      </c>
      <c r="M31" s="17"/>
      <c r="N31" s="17"/>
      <c r="O31" s="18" t="str">
        <f ca="1">IFERROR(AVERAGE(M31:N31),"")</f>
        <v/>
      </c>
      <c r="P31" s="178"/>
    </row>
    <row r="32" spans="1:10">
      <c r="A32" s="186"/>
      <c r="B32" s="186"/>
      <c r="C32" s="186"/>
      <c r="D32" s="186"/>
      <c r="E32" s="186"/>
      <c r="F32" s="186"/>
      <c r="G32" s="186"/>
      <c r="H32" s="186"/>
      <c r="I32" s="186"/>
      <c r="J32" s="186"/>
    </row>
    <row r="33" spans="1:10">
      <c r="A33" s="187"/>
      <c r="B33" s="187"/>
      <c r="C33" s="187"/>
      <c r="D33" s="187"/>
      <c r="E33" s="187"/>
      <c r="F33" s="187"/>
      <c r="G33" s="187"/>
      <c r="H33" s="187"/>
      <c r="I33" s="187"/>
      <c r="J33" s="187"/>
    </row>
    <row r="34" spans="1:10">
      <c r="A34" s="187"/>
      <c r="B34" s="187"/>
      <c r="C34" s="187"/>
      <c r="D34" s="187"/>
      <c r="E34" s="187"/>
      <c r="F34" s="187"/>
      <c r="G34" s="187"/>
      <c r="H34" s="187"/>
      <c r="I34" s="187"/>
      <c r="J34" s="187"/>
    </row>
  </sheetData>
  <mergeCells count="46">
    <mergeCell ref="A1:P1"/>
    <mergeCell ref="E18:E19"/>
    <mergeCell ref="A20:E20"/>
    <mergeCell ref="E22:E23"/>
    <mergeCell ref="A3:E3"/>
    <mergeCell ref="A4:E4"/>
    <mergeCell ref="E6:E7"/>
    <mergeCell ref="A8:E8"/>
    <mergeCell ref="E10:E11"/>
    <mergeCell ref="A2:J2"/>
    <mergeCell ref="L2:P2"/>
    <mergeCell ref="P14:P15"/>
    <mergeCell ref="L16:P16"/>
    <mergeCell ref="P18:P19"/>
    <mergeCell ref="A12:E12"/>
    <mergeCell ref="E14:E15"/>
    <mergeCell ref="A24:E24"/>
    <mergeCell ref="E26:E27"/>
    <mergeCell ref="A28:E28"/>
    <mergeCell ref="J22:J23"/>
    <mergeCell ref="F24:J24"/>
    <mergeCell ref="J26:J27"/>
    <mergeCell ref="F28:J28"/>
    <mergeCell ref="J30:J31"/>
    <mergeCell ref="P26:P27"/>
    <mergeCell ref="L28:P28"/>
    <mergeCell ref="P30:P31"/>
    <mergeCell ref="A32:J34"/>
    <mergeCell ref="E30:E31"/>
    <mergeCell ref="A16:E16"/>
    <mergeCell ref="F3:J3"/>
    <mergeCell ref="F4:J4"/>
    <mergeCell ref="J6:J7"/>
    <mergeCell ref="F8:J8"/>
    <mergeCell ref="J10:J11"/>
    <mergeCell ref="F12:J12"/>
    <mergeCell ref="J14:J15"/>
    <mergeCell ref="F16:J16"/>
    <mergeCell ref="F20:J20"/>
    <mergeCell ref="L20:P20"/>
    <mergeCell ref="P22:P23"/>
    <mergeCell ref="L24:P24"/>
    <mergeCell ref="L3:P3"/>
    <mergeCell ref="L4:P4"/>
    <mergeCell ref="L12:P12"/>
    <mergeCell ref="J18:J19"/>
  </mergeCells>
  <pageMargins left="0.7" right="0.7" top="0.75" bottom="0.75" header="0.3" footer="0.3"/>
  <pageSetup orientation="landscape"/>
  <headerFooter scaleWithDoc="1" alignWithMargins="0" differentFirst="0" differentOddEven="0"/>
  <drawing r:id="rId2"/>
  <legacyDrawing r:id="rId3"/>
  <mc:AlternateContent xmlns:mc="http://schemas.openxmlformats.org/markup-compatibility/2006">
    <mc:Choice xmlns:a14="http://schemas.microsoft.com/office/drawing/2010/main" Requires="x14">
      <controls xmlns="http://schemas.openxmlformats.org/spreadsheetml/2006/main">
        <mc:AlternateContent xmlns:mc="http://schemas.openxmlformats.org/markup-compatibility/2006">
          <mc:Choice Requires="x14">
            <control xmlns:r="http://schemas.openxmlformats.org/officeDocument/2006/relationships" shapeId="1026" r:id="rId4" name="Button 2">
              <controlPr defaultSize="0" print="0" autoFill="0" autoPict="0" macro="[0]!Pion_Clear">
                <anchor moveWithCells="1" sizeWithCells="1">
                  <from>
                    <xdr:col xmlns:xdr="http://schemas.openxmlformats.org/drawingml/2006/spreadsheetDrawing">3</xdr:col>
                    <xdr:colOff xmlns:xdr="http://schemas.openxmlformats.org/drawingml/2006/spreadsheetDrawing">381000</xdr:colOff>
                    <xdr:row xmlns:xdr="http://schemas.openxmlformats.org/drawingml/2006/spreadsheetDrawing">2</xdr:row>
                    <xdr:rowOff xmlns:xdr="http://schemas.openxmlformats.org/drawingml/2006/spreadsheetDrawing">38100</xdr:rowOff>
                  </from>
                  <to>
                    <xdr:col xmlns:xdr="http://schemas.openxmlformats.org/drawingml/2006/spreadsheetDrawing">4</xdr:col>
                    <xdr:colOff xmlns:xdr="http://schemas.openxmlformats.org/drawingml/2006/spreadsheetDrawing">676275</xdr:colOff>
                    <xdr:row xmlns:xdr="http://schemas.openxmlformats.org/drawingml/2006/spreadsheetDrawing">2</xdr:row>
                    <xdr:rowOff xmlns:xdr="http://schemas.openxmlformats.org/drawingml/2006/spreadsheetDrawing">219075</xdr:rowOff>
                  </to>
                </anchor>
              </controlPr>
            </control>
          </mc:Choice>
        </mc:AlternateContent>
        <mc:AlternateContent xmlns:mc="http://schemas.openxmlformats.org/markup-compatibility/2006">
          <mc:Choice Requires="x14">
            <control xmlns:r="http://schemas.openxmlformats.org/officeDocument/2006/relationships" shapeId="1027" r:id="rId5" name="Button 3">
              <controlPr defaultSize="0" print="0" autoFill="0" autoPict="0" macro="[0]!Ppol_Clear">
                <anchor moveWithCells="1" sizeWithCells="1">
                  <from>
                    <xdr:col xmlns:xdr="http://schemas.openxmlformats.org/drawingml/2006/spreadsheetDrawing">8</xdr:col>
                    <xdr:colOff xmlns:xdr="http://schemas.openxmlformats.org/drawingml/2006/spreadsheetDrawing">419100</xdr:colOff>
                    <xdr:row xmlns:xdr="http://schemas.openxmlformats.org/drawingml/2006/spreadsheetDrawing">2</xdr:row>
                    <xdr:rowOff xmlns:xdr="http://schemas.openxmlformats.org/drawingml/2006/spreadsheetDrawing">38100</xdr:rowOff>
                  </from>
                  <to>
                    <xdr:col xmlns:xdr="http://schemas.openxmlformats.org/drawingml/2006/spreadsheetDrawing">9</xdr:col>
                    <xdr:colOff xmlns:xdr="http://schemas.openxmlformats.org/drawingml/2006/spreadsheetDrawing">962025</xdr:colOff>
                    <xdr:row xmlns:xdr="http://schemas.openxmlformats.org/drawingml/2006/spreadsheetDrawing">3</xdr:row>
                    <xdr:rowOff xmlns:xdr="http://schemas.openxmlformats.org/drawingml/2006/spreadsheetDrawing">0</xdr:rowOff>
                  </to>
                </anchor>
              </controlPr>
            </control>
          </mc:Choice>
        </mc:AlternateContent>
        <mc:AlternateContent xmlns:mc="http://schemas.openxmlformats.org/markup-compatibility/2006">
          <mc:Choice Requires="x14">
            <control xmlns:r="http://schemas.openxmlformats.org/officeDocument/2006/relationships" shapeId="1025" r:id="rId6" name="Button 1">
              <controlPr defaultSize="0" print="0" autoFill="0" autoPict="0" macro="[0]!PushCorrections">
                <anchor moveWithCells="1" sizeWithCells="1">
                  <from>
                    <xdr:col xmlns:xdr="http://schemas.openxmlformats.org/drawingml/2006/spreadsheetDrawing">0</xdr:col>
                    <xdr:colOff xmlns:xdr="http://schemas.openxmlformats.org/drawingml/2006/spreadsheetDrawing">0</xdr:colOff>
                    <xdr:row xmlns:xdr="http://schemas.openxmlformats.org/drawingml/2006/spreadsheetDrawing">30</xdr:row>
                    <xdr:rowOff xmlns:xdr="http://schemas.openxmlformats.org/drawingml/2006/spreadsheetDrawing">200025</xdr:rowOff>
                  </from>
                  <to>
                    <xdr:col xmlns:xdr="http://schemas.openxmlformats.org/drawingml/2006/spreadsheetDrawing">9</xdr:col>
                    <xdr:colOff xmlns:xdr="http://schemas.openxmlformats.org/drawingml/2006/spreadsheetDrawing">971550</xdr:colOff>
                    <xdr:row xmlns:xdr="http://schemas.openxmlformats.org/drawingml/2006/spreadsheetDrawing">34</xdr:row>
                    <xdr:rowOff xmlns:xdr="http://schemas.openxmlformats.org/drawingml/2006/spreadsheetDrawing">171450</xdr:rowOff>
                  </to>
                </anchor>
              </controlPr>
            </control>
          </mc:Choice>
        </mc:AlternateContent>
      </controls>
    </mc:Choice>
  </mc:AlternateContent>
</worksheet>
</file>

<file path=xl/worksheets/sheet8.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codeName="Sheet5">
    <tabColor indexed="9"/>
  </sheetPr>
  <dimension ref="A1:O93"/>
  <sheetViews>
    <sheetView view="normal" workbookViewId="0">
      <selection pane="topLeft" activeCell="E6" sqref="E6"/>
    </sheetView>
  </sheetViews>
  <sheetFormatPr defaultRowHeight="14.25" baseColWidth="0"/>
  <cols>
    <col min="1" max="1" width="26.62109375" customWidth="1"/>
    <col min="2" max="2" width="22.75" customWidth="1"/>
    <col min="3" max="3" width="12.37109375" customWidth="1"/>
    <col min="4" max="4" width="15" customWidth="1"/>
    <col min="5" max="5" width="29.5" customWidth="1"/>
    <col min="6" max="6" width="31" customWidth="1"/>
    <col min="7" max="7" width="20.37109375" customWidth="1"/>
    <col min="8" max="8" width="26.37109375" customWidth="1"/>
    <col min="15" max="15" width="11.62109375" customWidth="1"/>
  </cols>
  <sheetData>
    <row r="1" spans="1:15" ht="17.25">
      <c r="A1" s="201" t="s">
        <v>64</v>
      </c>
      <c r="B1" s="201"/>
      <c r="C1" s="201"/>
      <c r="O1" t="s">
        <v>65</v>
      </c>
    </row>
    <row r="2" spans="1:15" ht="16.5" customHeight="1">
      <c r="A2" s="198" t="s">
        <v>26</v>
      </c>
      <c r="B2" s="52" t="s">
        <v>48</v>
      </c>
      <c r="C2" s="4">
        <f ca="1">INDEX(ChamberData,MATCH(SelectedChamber,Chambers,0),1)</f>
        <v>0.99528</v>
      </c>
      <c r="O2">
        <v>1</v>
      </c>
    </row>
    <row r="3" spans="1:15" ht="16.5" customHeight="1">
      <c r="A3" s="199"/>
      <c r="B3" s="53" t="s">
        <v>47</v>
      </c>
      <c r="C3" s="4">
        <f ca="1">INDEX(ChamberData,MATCH(SelectedChamber,Chambers,0),2)</f>
        <v>0.98028</v>
      </c>
      <c r="O3">
        <f ca="1">O2+1</f>
        <v>2</v>
      </c>
    </row>
    <row r="4" spans="1:15" ht="16.5" customHeight="1">
      <c r="A4" s="114"/>
      <c r="B4" s="12" t="s">
        <v>36</v>
      </c>
      <c r="C4" s="4">
        <f ca="1">INDEX(ChamberData,MATCH(SelectedChamber,Chambers,0),3)</f>
        <v>0.906</v>
      </c>
      <c r="O4">
        <f ca="1">O3+1</f>
        <v>3</v>
      </c>
    </row>
    <row r="5" spans="1:15" ht="16.5" customHeight="1">
      <c r="A5" s="114"/>
      <c r="B5" s="13" t="s">
        <v>42</v>
      </c>
      <c r="C5" s="4">
        <f ca="1">INDEX(ChamberData,MATCH(SelectedChamber,Chambers,0),4)</f>
        <v>0.305</v>
      </c>
      <c r="O5">
        <f ca="1">O4+1</f>
        <v>4</v>
      </c>
    </row>
    <row r="6" spans="1:15" ht="16.5" customHeight="1">
      <c r="A6" s="114"/>
      <c r="B6" s="36" t="s">
        <v>60</v>
      </c>
      <c r="C6" s="4">
        <f ca="1">INDEX(ChamberData,MATCH(SelectedChamber,Chambers,0),5)</f>
        <v>48270000</v>
      </c>
      <c r="O6">
        <f ca="1">O5+1</f>
        <v>5</v>
      </c>
    </row>
    <row r="7" spans="1:15" ht="16.5" customHeight="1">
      <c r="A7" s="199" t="s">
        <v>37</v>
      </c>
      <c r="B7" s="54" t="str">
        <f ca="1">INDEX(MachineData,MATCH(SelectedMachine,Machines,0),3)&amp;"E"</f>
        <v>6E</v>
      </c>
      <c r="C7" s="4">
        <f ca="1">INDEX(ChamberData,MATCH(SelectedChamber,Chambers,0),6)</f>
        <v>1.0284388965409828</v>
      </c>
      <c r="O7">
        <f ca="1">O6+1</f>
        <v>6</v>
      </c>
    </row>
    <row r="8" spans="1:15" ht="16.5" customHeight="1">
      <c r="A8" s="199"/>
      <c r="B8" s="38" t="str">
        <f ca="1">INDEX(MachineData,MATCH(SelectedMachine,Machines,0),4)&amp;"E"</f>
        <v>9E</v>
      </c>
      <c r="C8" s="4">
        <f ca="1">INDEX(ChamberData,MATCH(SelectedChamber,Chambers,0),7)</f>
        <v>1.0171224127746152</v>
      </c>
      <c r="O8">
        <f ca="1">O7+1</f>
        <v>7</v>
      </c>
    </row>
    <row r="9" spans="1:15" ht="16.5" customHeight="1">
      <c r="A9" s="199"/>
      <c r="B9" s="38" t="str">
        <f ca="1">INDEX(MachineData,MATCH(SelectedMachine,Machines,0),5)&amp;"E"</f>
        <v>12E</v>
      </c>
      <c r="C9" s="4">
        <f ca="1">INDEX(ChamberData,MATCH(SelectedChamber,Chambers,0),8)</f>
        <v>1.008679272235143</v>
      </c>
      <c r="O9">
        <f ca="1">O8+1</f>
        <v>8</v>
      </c>
    </row>
    <row r="10" spans="1:15" ht="16.5" customHeight="1">
      <c r="A10" s="199"/>
      <c r="B10" s="38" t="str">
        <f ca="1">INDEX(MachineData,MATCH(SelectedMachine,Machines,0),6)&amp;"E"</f>
        <v>15E</v>
      </c>
      <c r="C10" s="4">
        <f ca="1">INDEX(ChamberData,MATCH(SelectedChamber,Chambers,0),9)</f>
        <v>1.0032567255115941</v>
      </c>
      <c r="O10">
        <f ca="1">O9+1</f>
        <v>9</v>
      </c>
    </row>
    <row r="11" spans="1:15" ht="16.5" customHeight="1">
      <c r="A11" s="200"/>
      <c r="B11" s="53" t="str">
        <f ca="1">INDEX(MachineData,MATCH(SelectedMachine,Machines,0),7)&amp;"E"</f>
        <v>18E</v>
      </c>
      <c r="C11" s="4">
        <f ca="1">INDEX(ChamberData,MATCH(SelectedChamber,Chambers,0),10)</f>
        <v>0.99945162598773163</v>
      </c>
      <c r="O11">
        <f ca="1">O10+1</f>
        <v>10</v>
      </c>
    </row>
    <row r="12" spans="1:15" ht="16.5" customHeight="1">
      <c r="A12" s="115" t="s">
        <v>104</v>
      </c>
      <c r="B12" s="5"/>
      <c r="C12" s="97">
        <f ca="1">INDEX(ChamberData,MATCH(SelectedChamber,Chambers,0),11)</f>
        <v>42683</v>
      </c>
      <c r="O12">
        <f ca="1">O11+1</f>
        <v>11</v>
      </c>
    </row>
    <row r="13" spans="1:15" ht="16.5" customHeight="1">
      <c r="A13" s="202" t="s">
        <v>82</v>
      </c>
      <c r="B13" s="201"/>
      <c r="C13" s="201"/>
      <c r="O13">
        <f ca="1">O12+1</f>
        <v>12</v>
      </c>
    </row>
    <row r="14" spans="1:15" ht="16.5" customHeight="1">
      <c r="A14" s="116" t="s">
        <v>83</v>
      </c>
      <c r="B14" s="203">
        <f ca="1">INDEX(ElectrometerFactors,MATCH(SelectedElectrometer,Electrometers,0),1)</f>
        <v>0.999</v>
      </c>
      <c r="C14" s="204"/>
      <c r="O14">
        <f ca="1">O13+1</f>
        <v>13</v>
      </c>
    </row>
    <row r="15" spans="1:15" ht="16.5" customHeight="1">
      <c r="A15" s="115" t="s">
        <v>104</v>
      </c>
      <c r="B15" s="193">
        <f ca="1">INDEX(ElectrometerADCLDates,MATCH(SelectedElectrometer,Electrometers,0),1)</f>
        <v>42313</v>
      </c>
      <c r="C15" s="194"/>
      <c r="O15">
        <f ca="1">O14+1</f>
        <v>14</v>
      </c>
    </row>
    <row r="16" spans="15:15" ht="16.5" customHeight="1" thickBot="1">
      <c r="O16">
        <f ca="1">O15+1</f>
        <v>15</v>
      </c>
    </row>
    <row r="17" spans="1:15" ht="16.5" customHeight="1" thickBot="1">
      <c r="A17" s="155" t="s">
        <v>95</v>
      </c>
      <c r="B17" s="206" t="s">
        <v>44</v>
      </c>
      <c r="C17" s="207"/>
      <c r="D17" s="117" t="str">
        <f ca="1">SelectedMachine</f>
        <v>21EX 1833 HSF AR</v>
      </c>
      <c r="O17">
        <f ca="1">O16+1</f>
        <v>16</v>
      </c>
    </row>
    <row r="18" spans="1:15" ht="16.5" customHeight="1">
      <c r="A18" s="155"/>
      <c r="B18" s="205" t="s">
        <v>54</v>
      </c>
      <c r="C18" s="105" t="s">
        <v>48</v>
      </c>
      <c r="D18" s="106">
        <f ca="1">INDEX(MachineData,MATCH(SelectedMachine,Machines,0),O2)</f>
        <v>6</v>
      </c>
      <c r="O18">
        <f ca="1">O17+1</f>
        <v>17</v>
      </c>
    </row>
    <row r="19" spans="1:15" ht="16.5" customHeight="1">
      <c r="A19" s="155"/>
      <c r="B19" s="192"/>
      <c r="C19" s="105" t="s">
        <v>47</v>
      </c>
      <c r="D19" s="106">
        <f ca="1">INDEX(MachineData,MATCH(SelectedMachine,Machines,0),O3)</f>
        <v>15</v>
      </c>
      <c r="O19">
        <f ca="1">O18+1</f>
        <v>18</v>
      </c>
    </row>
    <row r="20" spans="1:15" ht="16.5" customHeight="1">
      <c r="A20" s="155"/>
      <c r="B20" s="192"/>
      <c r="C20" s="105" t="s">
        <v>49</v>
      </c>
      <c r="D20" s="106">
        <f ca="1">INDEX(MachineData,MATCH(SelectedMachine,Machines,0),O4)</f>
        <v>6</v>
      </c>
      <c r="O20">
        <f ca="1">O19+1</f>
        <v>19</v>
      </c>
    </row>
    <row r="21" spans="1:15" ht="16.5" customHeight="1">
      <c r="A21" s="155"/>
      <c r="B21" s="192"/>
      <c r="C21" s="105" t="s">
        <v>50</v>
      </c>
      <c r="D21" s="106">
        <f ca="1">INDEX(MachineData,MATCH(SelectedMachine,Machines,0),O5)</f>
        <v>9</v>
      </c>
      <c r="O21">
        <f ca="1">O20+1</f>
        <v>20</v>
      </c>
    </row>
    <row r="22" spans="1:15" ht="16.5" customHeight="1">
      <c r="A22" s="155"/>
      <c r="B22" s="192"/>
      <c r="C22" s="105" t="s">
        <v>51</v>
      </c>
      <c r="D22" s="106">
        <f ca="1">INDEX(MachineData,MATCH(SelectedMachine,Machines,0),O6)</f>
        <v>12</v>
      </c>
      <c r="O22">
        <f ca="1">O21+1</f>
        <v>21</v>
      </c>
    </row>
    <row r="23" spans="1:15" ht="16.5" customHeight="1">
      <c r="A23" s="155"/>
      <c r="B23" s="192"/>
      <c r="C23" s="105" t="s">
        <v>52</v>
      </c>
      <c r="D23" s="106">
        <f ca="1">INDEX(MachineData,MATCH(SelectedMachine,Machines,0),O7)</f>
        <v>15</v>
      </c>
      <c r="O23">
        <f ca="1">O22+1</f>
        <v>22</v>
      </c>
    </row>
    <row r="24" spans="1:15" ht="16.5" customHeight="1">
      <c r="A24" s="155"/>
      <c r="B24" s="192"/>
      <c r="C24" s="107" t="s">
        <v>53</v>
      </c>
      <c r="D24" s="108">
        <f ca="1">INDEX(MachineData,MATCH(SelectedMachine,Machines,0),O8)</f>
        <v>18</v>
      </c>
      <c r="O24">
        <f ca="1">O23+1</f>
        <v>23</v>
      </c>
    </row>
    <row r="25" spans="1:15" ht="16.5" customHeight="1">
      <c r="A25" s="173" t="s">
        <v>94</v>
      </c>
      <c r="B25" s="192" t="s">
        <v>40</v>
      </c>
      <c r="C25" s="103" t="s">
        <v>48</v>
      </c>
      <c r="D25" s="104">
        <f ca="1">INDEX(MachineData,MATCH(SelectedMachine,Machines,0),O9)</f>
        <v>66.6</v>
      </c>
      <c r="O25">
        <f ca="1">O24+1</f>
        <v>24</v>
      </c>
    </row>
    <row r="26" spans="1:15" ht="16.5" customHeight="1">
      <c r="A26" s="173"/>
      <c r="B26" s="192"/>
      <c r="C26" s="107" t="s">
        <v>47</v>
      </c>
      <c r="D26" s="108">
        <f ca="1">INDEX(MachineData,MATCH(SelectedMachine,Machines,0),O10)</f>
        <v>76.4</v>
      </c>
      <c r="O26">
        <f ca="1">O25+1</f>
        <v>25</v>
      </c>
    </row>
    <row r="27" spans="1:15" ht="16.5" customHeight="1">
      <c r="A27" s="173"/>
      <c r="B27" s="192" t="s">
        <v>89</v>
      </c>
      <c r="C27" s="103" t="s">
        <v>48</v>
      </c>
      <c r="D27" s="104">
        <f ca="1">INDEX(MachineData,MATCH(SelectedMachine,Machines,0),O11)</f>
        <v>0.668</v>
      </c>
      <c r="O27">
        <f ca="1">O26+1</f>
        <v>26</v>
      </c>
    </row>
    <row r="28" spans="1:15" ht="16.5" customHeight="1">
      <c r="A28" s="173"/>
      <c r="B28" s="192"/>
      <c r="C28" s="107" t="s">
        <v>47</v>
      </c>
      <c r="D28" s="108">
        <f ca="1">INDEX(MachineData,MATCH(SelectedMachine,Machines,0),O12)</f>
        <v>0.766</v>
      </c>
      <c r="O28">
        <f ca="1">O27+1</f>
        <v>27</v>
      </c>
    </row>
    <row r="29" spans="1:15" ht="16.5" customHeight="1">
      <c r="A29" s="173"/>
      <c r="B29" s="192" t="s">
        <v>90</v>
      </c>
      <c r="C29" s="103" t="s">
        <v>48</v>
      </c>
      <c r="D29" s="104">
        <f ca="1">IF(Current_IsSADType,INDEX(MachineData,MATCH(SelectedMachine,Machines,0),O13),INDEX(MachineData,MATCH(SelectedMachine,Machines,0),O13))</f>
        <v>0.777</v>
      </c>
      <c r="O29">
        <f ca="1">O28+1</f>
        <v>28</v>
      </c>
    </row>
    <row r="30" spans="1:15" ht="16.5" customHeight="1">
      <c r="A30" s="173"/>
      <c r="B30" s="192"/>
      <c r="C30" s="107" t="s">
        <v>47</v>
      </c>
      <c r="D30" s="108">
        <f ca="1">INDEX(MachineData,MATCH(SelectedMachine,Machines,0),O14)</f>
        <v>0.87</v>
      </c>
      <c r="O30">
        <f ca="1">O29+1</f>
        <v>29</v>
      </c>
    </row>
    <row r="31" spans="1:15" ht="16.5" customHeight="1">
      <c r="A31" s="173"/>
      <c r="B31" s="102" t="s">
        <v>55</v>
      </c>
      <c r="C31" s="109" t="s">
        <v>56</v>
      </c>
      <c r="D31" s="110">
        <f ca="1">INDEX(MachineData,MATCH(SelectedMachine,Machines,0),O15)</f>
        <v>1.21</v>
      </c>
      <c r="O31">
        <f ca="1">O30+1</f>
        <v>30</v>
      </c>
    </row>
    <row r="32" spans="1:15" ht="16.5" customHeight="1">
      <c r="A32" s="173"/>
      <c r="B32" s="192" t="s">
        <v>67</v>
      </c>
      <c r="C32" s="103" t="s">
        <v>48</v>
      </c>
      <c r="D32" s="104">
        <f ca="1">INDEX(MachineData,MATCH(SelectedMachine,Machines,0),O16)</f>
        <v>1.6</v>
      </c>
      <c r="O32">
        <f ca="1">O31+1</f>
        <v>31</v>
      </c>
    </row>
    <row r="33" spans="1:15" ht="16.5" customHeight="1">
      <c r="A33" s="173"/>
      <c r="B33" s="192"/>
      <c r="C33" s="107" t="s">
        <v>47</v>
      </c>
      <c r="D33" s="108">
        <f ca="1">INDEX(MachineData,MATCH(SelectedMachine,Machines,0),O17)</f>
        <v>2.7</v>
      </c>
      <c r="O33">
        <f ca="1">O32+1</f>
        <v>32</v>
      </c>
    </row>
    <row r="34" spans="1:15" ht="16.5" customHeight="1">
      <c r="A34" s="157" t="s">
        <v>96</v>
      </c>
      <c r="B34" s="192" t="s">
        <v>58</v>
      </c>
      <c r="C34" s="103" t="s">
        <v>49</v>
      </c>
      <c r="D34" s="104">
        <f ca="1">INDEX(MachineData,MATCH(SelectedMachine,Machines,0),O18)</f>
        <v>2.364</v>
      </c>
      <c r="O34">
        <f ca="1">O33+1</f>
        <v>33</v>
      </c>
    </row>
    <row r="35" spans="1:15" ht="16.5" customHeight="1">
      <c r="A35" s="157"/>
      <c r="B35" s="192"/>
      <c r="C35" s="105" t="s">
        <v>50</v>
      </c>
      <c r="D35" s="106">
        <f ca="1">INDEX(MachineData,MATCH(SelectedMachine,Machines,0),O19)</f>
        <v>3.547</v>
      </c>
      <c r="O35">
        <f ca="1">O34+1</f>
        <v>34</v>
      </c>
    </row>
    <row r="36" spans="1:15" ht="16.5" customHeight="1">
      <c r="A36" s="157"/>
      <c r="B36" s="192"/>
      <c r="C36" s="105" t="s">
        <v>51</v>
      </c>
      <c r="D36" s="106">
        <f ca="1">INDEX(MachineData,MATCH(SelectedMachine,Machines,0),O20)</f>
        <v>4.955</v>
      </c>
      <c r="O36">
        <f ca="1">O35+1</f>
        <v>35</v>
      </c>
    </row>
    <row r="37" spans="1:15" ht="16.5" customHeight="1">
      <c r="A37" s="157"/>
      <c r="B37" s="192"/>
      <c r="C37" s="105" t="s">
        <v>52</v>
      </c>
      <c r="D37" s="106">
        <f ca="1">INDEX(MachineData,MATCH(SelectedMachine,Machines,0),O21)</f>
        <v>6.246</v>
      </c>
      <c r="O37">
        <f ca="1">O36+1</f>
        <v>36</v>
      </c>
    </row>
    <row r="38" spans="1:15" ht="16.5" customHeight="1">
      <c r="A38" s="157"/>
      <c r="B38" s="192"/>
      <c r="C38" s="107" t="s">
        <v>53</v>
      </c>
      <c r="D38" s="108">
        <f ca="1">INDEX(MachineData,MATCH(SelectedMachine,Machines,0),O22)</f>
        <v>7.562</v>
      </c>
      <c r="O38">
        <f ca="1">O37+1</f>
        <v>37</v>
      </c>
    </row>
    <row r="39" spans="1:15" ht="16.5" customHeight="1">
      <c r="A39" s="157"/>
      <c r="B39" s="192" t="s">
        <v>18</v>
      </c>
      <c r="C39" s="103" t="s">
        <v>49</v>
      </c>
      <c r="D39" s="104" t="e">
        <f ca="1">INDEX(MachineData,MATCH(SelectedMachine,Machines,0),O23)</f>
        <v>#NAME?</v>
      </c>
      <c r="O39">
        <f ca="1">O38+1</f>
        <v>38</v>
      </c>
    </row>
    <row r="40" spans="1:15" ht="16.5" customHeight="1">
      <c r="A40" s="157"/>
      <c r="B40" s="192"/>
      <c r="C40" s="105" t="s">
        <v>50</v>
      </c>
      <c r="D40" s="106" t="e">
        <f ca="1">INDEX(MachineData,MATCH(SelectedMachine,Machines,0),O24)</f>
        <v>#NAME?</v>
      </c>
      <c r="O40">
        <f ca="1">O39+1</f>
        <v>39</v>
      </c>
    </row>
    <row r="41" spans="1:15" ht="16.5" customHeight="1">
      <c r="A41" s="157"/>
      <c r="B41" s="192"/>
      <c r="C41" s="105" t="s">
        <v>51</v>
      </c>
      <c r="D41" s="106" t="e">
        <f ca="1">INDEX(MachineData,MATCH(SelectedMachine,Machines,0),O25)</f>
        <v>#NAME?</v>
      </c>
      <c r="O41">
        <f ca="1">O40+1</f>
        <v>40</v>
      </c>
    </row>
    <row r="42" spans="1:15" ht="16.5" customHeight="1">
      <c r="A42" s="157"/>
      <c r="B42" s="192"/>
      <c r="C42" s="105" t="s">
        <v>52</v>
      </c>
      <c r="D42" s="106" t="e">
        <f ca="1">INDEX(MachineData,MATCH(SelectedMachine,Machines,0),O26)</f>
        <v>#NAME?</v>
      </c>
      <c r="O42">
        <f ca="1">O41+1</f>
        <v>41</v>
      </c>
    </row>
    <row r="43" spans="1:15" ht="16.5" customHeight="1">
      <c r="A43" s="157"/>
      <c r="B43" s="192"/>
      <c r="C43" s="107" t="s">
        <v>53</v>
      </c>
      <c r="D43" s="108" t="e">
        <f ca="1">INDEX(MachineData,MATCH(SelectedMachine,Machines,0),O27)</f>
        <v>#NAME?</v>
      </c>
      <c r="O43">
        <f ca="1">O42+1</f>
        <v>42</v>
      </c>
    </row>
    <row r="44" spans="1:15" ht="16.5" customHeight="1">
      <c r="A44" s="157"/>
      <c r="B44" s="192" t="s">
        <v>57</v>
      </c>
      <c r="C44" s="103" t="s">
        <v>49</v>
      </c>
      <c r="D44" s="104">
        <f ca="1">INDEX(MachineData,MATCH(SelectedMachine,Machines,0),O28)</f>
        <v>0.9992</v>
      </c>
      <c r="O44">
        <f ca="1">O43+1</f>
        <v>43</v>
      </c>
    </row>
    <row r="45" spans="1:15" ht="16.5" customHeight="1">
      <c r="A45" s="157"/>
      <c r="B45" s="192"/>
      <c r="C45" s="105" t="s">
        <v>50</v>
      </c>
      <c r="D45" s="106">
        <f ca="1">INDEX(MachineData,MATCH(SelectedMachine,Machines,0),O29)</f>
        <v>0.9994</v>
      </c>
      <c r="O45">
        <f ca="1">O44+1</f>
        <v>44</v>
      </c>
    </row>
    <row r="46" spans="1:15" ht="16.5" customHeight="1">
      <c r="A46" s="157"/>
      <c r="B46" s="192"/>
      <c r="C46" s="105" t="s">
        <v>51</v>
      </c>
      <c r="D46" s="106">
        <f ca="1">INDEX(MachineData,MATCH(SelectedMachine,Machines,0),O30)</f>
        <v>0.9987</v>
      </c>
      <c r="O46">
        <f ca="1">O45+1</f>
        <v>45</v>
      </c>
    </row>
    <row r="47" spans="1:15" ht="16.5" customHeight="1">
      <c r="A47" s="157"/>
      <c r="B47" s="192"/>
      <c r="C47" s="105" t="s">
        <v>52</v>
      </c>
      <c r="D47" s="106">
        <f ca="1">INDEX(MachineData,MATCH(SelectedMachine,Machines,0),O31)</f>
        <v>0.994</v>
      </c>
      <c r="O47">
        <f ca="1">O46+1</f>
        <v>46</v>
      </c>
    </row>
    <row r="48" spans="1:15" ht="16.5" customHeight="1">
      <c r="A48" s="157"/>
      <c r="B48" s="192"/>
      <c r="C48" s="107" t="s">
        <v>53</v>
      </c>
      <c r="D48" s="108">
        <f ca="1">INDEX(MachineData,MATCH(SelectedMachine,Machines,0),O32)</f>
        <v>0.9695</v>
      </c>
      <c r="O48">
        <f ca="1">O47+1</f>
        <v>47</v>
      </c>
    </row>
    <row r="49" spans="1:15" ht="16.5" customHeight="1">
      <c r="A49" s="157"/>
      <c r="B49" s="192" t="s">
        <v>91</v>
      </c>
      <c r="C49" s="103" t="s">
        <v>49</v>
      </c>
      <c r="D49" s="104">
        <f ca="1">INDEX(MachineData,MATCH(SelectedMachine,Machines,0),O33)</f>
        <v>2.3</v>
      </c>
      <c r="O49">
        <f ca="1">O48+1</f>
        <v>48</v>
      </c>
    </row>
    <row r="50" spans="1:15" ht="16.5" customHeight="1">
      <c r="A50" s="157"/>
      <c r="B50" s="192"/>
      <c r="C50" s="105" t="s">
        <v>50</v>
      </c>
      <c r="D50" s="106">
        <f ca="1">INDEX(MachineData,MATCH(SelectedMachine,Machines,0),O34)</f>
        <v>3.6</v>
      </c>
      <c r="O50">
        <f ca="1">O49+1</f>
        <v>49</v>
      </c>
    </row>
    <row r="51" spans="1:15" ht="16.5" customHeight="1">
      <c r="A51" s="157"/>
      <c r="B51" s="192"/>
      <c r="C51" s="105" t="s">
        <v>51</v>
      </c>
      <c r="D51" s="106">
        <f ca="1">INDEX(MachineData,MATCH(SelectedMachine,Machines,0),O35)</f>
        <v>5</v>
      </c>
      <c r="O51">
        <f ca="1">O50+1</f>
        <v>50</v>
      </c>
    </row>
    <row r="52" spans="1:15" ht="16.5" customHeight="1">
      <c r="A52" s="157"/>
      <c r="B52" s="192"/>
      <c r="C52" s="105" t="s">
        <v>52</v>
      </c>
      <c r="D52" s="106">
        <f ca="1">INDEX(MachineData,MATCH(SelectedMachine,Machines,0),O36)</f>
        <v>6.3</v>
      </c>
      <c r="O52">
        <f ca="1">O51+1</f>
        <v>51</v>
      </c>
    </row>
    <row r="53" spans="1:15" ht="16.5" customHeight="1">
      <c r="A53" s="157"/>
      <c r="B53" s="192"/>
      <c r="C53" s="107" t="s">
        <v>53</v>
      </c>
      <c r="D53" s="108">
        <f ca="1">INDEX(MachineData,MATCH(SelectedMachine,Machines,0),O37)</f>
        <v>7.6</v>
      </c>
      <c r="O53">
        <f ca="1">O52+1</f>
        <v>52</v>
      </c>
    </row>
    <row r="54" spans="1:15" ht="16.5" customHeight="1">
      <c r="A54" s="157"/>
      <c r="B54" s="192" t="s">
        <v>78</v>
      </c>
      <c r="C54" s="103" t="s">
        <v>49</v>
      </c>
      <c r="D54" s="104">
        <f ca="1">INDEX(MachineData,MATCH(SelectedMachine,Machines,0),O38)</f>
        <v>2</v>
      </c>
      <c r="O54">
        <f ca="1">O53+1</f>
        <v>53</v>
      </c>
    </row>
    <row r="55" spans="1:15" ht="16.5" customHeight="1">
      <c r="A55" s="157"/>
      <c r="B55" s="192"/>
      <c r="C55" s="105" t="s">
        <v>50</v>
      </c>
      <c r="D55" s="106">
        <f ca="1">INDEX(MachineData,MATCH(SelectedMachine,Machines,0),O39)</f>
        <v>3</v>
      </c>
      <c r="O55">
        <f ca="1">O54+1</f>
        <v>54</v>
      </c>
    </row>
    <row r="56" spans="1:15" ht="16.5" customHeight="1">
      <c r="A56" s="157"/>
      <c r="B56" s="192"/>
      <c r="C56" s="105" t="s">
        <v>51</v>
      </c>
      <c r="D56" s="106">
        <f ca="1">INDEX(MachineData,MATCH(SelectedMachine,Machines,0),O40)</f>
        <v>4.3</v>
      </c>
      <c r="O56">
        <f ca="1">O55+1</f>
        <v>55</v>
      </c>
    </row>
    <row r="57" spans="1:15">
      <c r="A57" s="157"/>
      <c r="B57" s="192"/>
      <c r="C57" s="105" t="s">
        <v>52</v>
      </c>
      <c r="D57" s="106">
        <f ca="1">INDEX(MachineData,MATCH(SelectedMachine,Machines,0),O41)</f>
        <v>5.4</v>
      </c>
      <c r="O57">
        <f ca="1">O56+1</f>
        <v>56</v>
      </c>
    </row>
    <row r="58" spans="1:15">
      <c r="A58" s="157"/>
      <c r="B58" s="192"/>
      <c r="C58" s="107" t="s">
        <v>53</v>
      </c>
      <c r="D58" s="108">
        <f ca="1">INDEX(MachineData,MATCH(SelectedMachine,Machines,0),O42)</f>
        <v>6.4</v>
      </c>
      <c r="O58">
        <f ca="1">O57+1</f>
        <v>57</v>
      </c>
    </row>
    <row r="59" spans="1:15">
      <c r="A59" s="157"/>
      <c r="B59" s="192" t="s">
        <v>92</v>
      </c>
      <c r="C59" s="103" t="s">
        <v>49</v>
      </c>
      <c r="D59" s="104">
        <f ca="1">INDEX(MachineData,MATCH(SelectedMachine,Machines,0),O43)</f>
        <v>1.8</v>
      </c>
      <c r="O59">
        <f ca="1">O58+1</f>
        <v>58</v>
      </c>
    </row>
    <row r="60" spans="1:15">
      <c r="A60" s="157"/>
      <c r="B60" s="192"/>
      <c r="C60" s="105" t="s">
        <v>50</v>
      </c>
      <c r="D60" s="106">
        <f ca="1">INDEX(MachineData,MATCH(SelectedMachine,Machines,0),O44)</f>
        <v>2.8</v>
      </c>
      <c r="O60">
        <f ca="1">O59+1</f>
        <v>59</v>
      </c>
    </row>
    <row r="61" spans="1:15">
      <c r="A61" s="157"/>
      <c r="B61" s="192"/>
      <c r="C61" s="105" t="s">
        <v>51</v>
      </c>
      <c r="D61" s="106">
        <f ca="1">INDEX(MachineData,MATCH(SelectedMachine,Machines,0),O45)</f>
        <v>3.9</v>
      </c>
      <c r="O61">
        <f ca="1">O60+1</f>
        <v>60</v>
      </c>
    </row>
    <row r="62" spans="1:15">
      <c r="A62" s="157"/>
      <c r="B62" s="192"/>
      <c r="C62" s="105" t="s">
        <v>52</v>
      </c>
      <c r="D62" s="106">
        <f ca="1">INDEX(MachineData,MATCH(SelectedMachine,Machines,0),O46)</f>
        <v>4.9</v>
      </c>
      <c r="O62">
        <f ca="1">O61+1</f>
        <v>61</v>
      </c>
    </row>
    <row r="63" spans="1:15">
      <c r="A63" s="157"/>
      <c r="B63" s="192"/>
      <c r="C63" s="107" t="s">
        <v>53</v>
      </c>
      <c r="D63" s="108">
        <f ca="1">INDEX(MachineData,MATCH(SelectedMachine,Machines,0),O47)</f>
        <v>5.7</v>
      </c>
      <c r="O63">
        <f ca="1">O62+1</f>
        <v>62</v>
      </c>
    </row>
    <row r="64" spans="1:15">
      <c r="A64" s="157"/>
      <c r="B64" s="192" t="s">
        <v>98</v>
      </c>
      <c r="C64" s="103" t="s">
        <v>49</v>
      </c>
      <c r="D64" s="104">
        <f ca="1">INDEX(MachineData,MATCH(SelectedMachine,Machines,0),O48)</f>
        <v>0.9</v>
      </c>
      <c r="O64">
        <f ca="1">O63+1</f>
        <v>63</v>
      </c>
    </row>
    <row r="65" spans="1:15">
      <c r="A65" s="157"/>
      <c r="B65" s="192"/>
      <c r="C65" s="105" t="s">
        <v>50</v>
      </c>
      <c r="D65" s="106">
        <f ca="1">INDEX(MachineData,MATCH(SelectedMachine,Machines,0),O49)</f>
        <v>0.9</v>
      </c>
      <c r="O65">
        <f ca="1">O64+1</f>
        <v>64</v>
      </c>
    </row>
    <row r="66" spans="1:15">
      <c r="A66" s="157"/>
      <c r="B66" s="192"/>
      <c r="C66" s="111" t="s">
        <v>51</v>
      </c>
      <c r="D66" s="106">
        <f ca="1">INDEX(MachineData,MATCH(SelectedMachine,Machines,0),O50)</f>
        <v>0.85000000000000009</v>
      </c>
      <c r="O66">
        <f ca="1">O65+1</f>
        <v>65</v>
      </c>
    </row>
    <row r="67" spans="1:15">
      <c r="A67" s="157"/>
      <c r="B67" s="192"/>
      <c r="C67" s="105" t="s">
        <v>52</v>
      </c>
      <c r="D67" s="106">
        <f ca="1">INDEX(MachineData,MATCH(SelectedMachine,Machines,0),O51)</f>
        <v>0.84000000000000008</v>
      </c>
      <c r="O67">
        <f ca="1">O66+1</f>
        <v>66</v>
      </c>
    </row>
    <row r="68" spans="1:15">
      <c r="A68" s="157"/>
      <c r="B68" s="192"/>
      <c r="C68" s="107" t="s">
        <v>53</v>
      </c>
      <c r="D68" s="108">
        <f ca="1">INDEX(MachineData,MATCH(SelectedMachine,Machines,0),O52)</f>
        <v>0.82857142857142863</v>
      </c>
      <c r="O68">
        <f ca="1">O67+1</f>
        <v>67</v>
      </c>
    </row>
    <row r="69" spans="1:15">
      <c r="A69" s="157"/>
      <c r="B69" s="192" t="s">
        <v>99</v>
      </c>
      <c r="C69" s="103" t="s">
        <v>49</v>
      </c>
      <c r="D69" s="104">
        <f ca="1">INDEX(MachineData,MATCH(SelectedMachine,Machines,0),O53)</f>
        <v>0.59999999999999976</v>
      </c>
      <c r="O69">
        <f ca="1">O68+1</f>
        <v>68</v>
      </c>
    </row>
    <row r="70" spans="1:15">
      <c r="A70" s="157"/>
      <c r="B70" s="192"/>
      <c r="C70" s="105" t="s">
        <v>50</v>
      </c>
      <c r="D70" s="106">
        <f ca="1">INDEX(MachineData,MATCH(SelectedMachine,Machines,0),O54)</f>
        <v>0.7</v>
      </c>
      <c r="O70">
        <f ca="1">O69+1</f>
        <v>69</v>
      </c>
    </row>
    <row r="71" spans="1:15">
      <c r="A71" s="157"/>
      <c r="B71" s="192"/>
      <c r="C71" s="111" t="s">
        <v>51</v>
      </c>
      <c r="D71" s="106">
        <f ca="1">INDEX(MachineData,MATCH(SelectedMachine,Machines,0),O55)</f>
        <v>0.7142857142857143</v>
      </c>
      <c r="O71">
        <f ca="1">O70+1</f>
        <v>70</v>
      </c>
    </row>
    <row r="72" spans="1:15">
      <c r="A72" s="157"/>
      <c r="B72" s="192"/>
      <c r="C72" s="105" t="s">
        <v>52</v>
      </c>
      <c r="D72" s="106">
        <f ca="1">INDEX(MachineData,MATCH(SelectedMachine,Machines,0),O56)</f>
        <v>0.73333333333333328</v>
      </c>
      <c r="O72">
        <f ca="1">O71+1</f>
        <v>71</v>
      </c>
    </row>
    <row r="73" spans="1:15">
      <c r="A73" s="157"/>
      <c r="B73" s="192"/>
      <c r="C73" s="107" t="s">
        <v>53</v>
      </c>
      <c r="D73" s="108">
        <f ca="1">INDEX(MachineData,MATCH(SelectedMachine,Machines,0),O57)</f>
        <v>0.75</v>
      </c>
      <c r="O73">
        <f ca="1">O72+1</f>
        <v>72</v>
      </c>
    </row>
    <row r="74" spans="1:15">
      <c r="A74" s="159" t="s">
        <v>97</v>
      </c>
      <c r="B74" s="192" t="s">
        <v>88</v>
      </c>
      <c r="C74" s="103" t="s">
        <v>49</v>
      </c>
      <c r="D74" s="104">
        <f ca="1">INDEX(MachineData,MATCH(SelectedMachine,Machines,0),O58)</f>
        <v>1</v>
      </c>
      <c r="O74">
        <f ca="1">O73+1</f>
        <v>73</v>
      </c>
    </row>
    <row r="75" spans="1:15">
      <c r="A75" s="160"/>
      <c r="B75" s="192"/>
      <c r="C75" s="105" t="s">
        <v>50</v>
      </c>
      <c r="D75" s="106">
        <f ca="1">INDEX(MachineData,MATCH(SelectedMachine,Machines,0),O59)</f>
        <v>1</v>
      </c>
      <c r="O75">
        <f ca="1">O74+1</f>
        <v>74</v>
      </c>
    </row>
    <row r="76" spans="1:15">
      <c r="A76" s="160"/>
      <c r="B76" s="192"/>
      <c r="C76" s="105" t="s">
        <v>51</v>
      </c>
      <c r="D76" s="106">
        <f ca="1">INDEX(MachineData,MATCH(SelectedMachine,Machines,0),O60)</f>
        <v>1</v>
      </c>
      <c r="O76">
        <f ca="1">O75+1</f>
        <v>75</v>
      </c>
    </row>
    <row r="77" spans="1:4">
      <c r="A77" s="160"/>
      <c r="B77" s="192"/>
      <c r="C77" s="105" t="s">
        <v>52</v>
      </c>
      <c r="D77" s="106">
        <f ca="1">INDEX(MachineData,MATCH(SelectedMachine,Machines,0),O61)</f>
        <v>1</v>
      </c>
    </row>
    <row r="78" spans="1:4">
      <c r="A78" s="160"/>
      <c r="B78" s="192"/>
      <c r="C78" s="107" t="s">
        <v>53</v>
      </c>
      <c r="D78" s="108">
        <f ca="1">INDEX(MachineData,MATCH(SelectedMachine,Machines,0),O62)</f>
        <v>1</v>
      </c>
    </row>
    <row r="79" spans="1:4">
      <c r="A79" s="160"/>
      <c r="B79" s="192" t="s">
        <v>4</v>
      </c>
      <c r="C79" s="103" t="s">
        <v>48</v>
      </c>
      <c r="D79" s="104">
        <f ca="1">INDEX(MachineData,MATCH(SelectedMachine,Machines,0),O63)</f>
        <v>1.0038684719535782</v>
      </c>
    </row>
    <row r="80" spans="1:4">
      <c r="A80" s="160"/>
      <c r="B80" s="192"/>
      <c r="C80" s="105" t="s">
        <v>47</v>
      </c>
      <c r="D80" s="106">
        <f ca="1">INDEX(MachineData,MATCH(SelectedMachine,Machines,0),O64)</f>
        <v>1.0058199246833277</v>
      </c>
    </row>
    <row r="81" spans="1:4">
      <c r="A81" s="160"/>
      <c r="B81" s="192"/>
      <c r="C81" s="105" t="s">
        <v>49</v>
      </c>
      <c r="D81" s="106">
        <f ca="1">INDEX(MachineData,MATCH(SelectedMachine,Machines,0),O65)</f>
        <v>1.0149903288201161</v>
      </c>
    </row>
    <row r="82" spans="1:4">
      <c r="A82" s="160"/>
      <c r="B82" s="192"/>
      <c r="C82" s="112" t="s">
        <v>50</v>
      </c>
      <c r="D82" s="106">
        <f ca="1">INDEX(MachineData,MATCH(SelectedMachine,Machines,0),O66)</f>
        <v>1.0137799952482776</v>
      </c>
    </row>
    <row r="83" spans="1:4">
      <c r="A83" s="160"/>
      <c r="B83" s="192"/>
      <c r="C83" s="105" t="s">
        <v>51</v>
      </c>
      <c r="D83" s="106">
        <f ca="1">INDEX(MachineData,MATCH(SelectedMachine,Machines,0),O67)</f>
        <v>1.011832946635731</v>
      </c>
    </row>
    <row r="84" spans="1:4">
      <c r="A84" s="160"/>
      <c r="B84" s="192"/>
      <c r="C84" s="112" t="s">
        <v>52</v>
      </c>
      <c r="D84" s="106">
        <f ca="1">INDEX(MachineData,MATCH(SelectedMachine,Machines,0),O68)</f>
        <v>1.0128956623681125</v>
      </c>
    </row>
    <row r="85" spans="1:4">
      <c r="A85" s="160"/>
      <c r="B85" s="192"/>
      <c r="C85" s="107" t="s">
        <v>53</v>
      </c>
      <c r="D85" s="108">
        <f ca="1">INDEX(MachineData,MATCH(SelectedMachine,Machines,0),O69)</f>
        <v>1.0151151631477926</v>
      </c>
    </row>
    <row r="86" spans="1:4">
      <c r="A86" s="160"/>
      <c r="B86" s="192" t="s">
        <v>14</v>
      </c>
      <c r="C86" s="103" t="s">
        <v>48</v>
      </c>
      <c r="D86" s="104">
        <f ca="1">INDEX(MachineData,MATCH(SelectedMachine,Machines,0),O70)</f>
        <v>0.99980806142034551</v>
      </c>
    </row>
    <row r="87" spans="1:4">
      <c r="A87" s="160"/>
      <c r="B87" s="192"/>
      <c r="C87" s="105" t="s">
        <v>47</v>
      </c>
      <c r="D87" s="106">
        <f ca="1">INDEX(MachineData,MATCH(SelectedMachine,Machines,0),O71)</f>
        <v>0.99966159052453474</v>
      </c>
    </row>
    <row r="88" spans="1:4">
      <c r="A88" s="160"/>
      <c r="B88" s="192"/>
      <c r="C88" s="105" t="s">
        <v>49</v>
      </c>
      <c r="D88" s="106">
        <f ca="1">INDEX(MachineData,MATCH(SelectedMachine,Machines,0),O72)</f>
        <v>1.0009389671361502</v>
      </c>
    </row>
    <row r="89" spans="1:4">
      <c r="A89" s="160"/>
      <c r="B89" s="192"/>
      <c r="C89" s="105" t="s">
        <v>50</v>
      </c>
      <c r="D89" s="106">
        <f ca="1">INDEX(MachineData,MATCH(SelectedMachine,Machines,0),O73)</f>
        <v>1.0002312138728324</v>
      </c>
    </row>
    <row r="90" spans="1:4">
      <c r="A90" s="160"/>
      <c r="B90" s="192"/>
      <c r="C90" s="105" t="s">
        <v>51</v>
      </c>
      <c r="D90" s="106">
        <f ca="1">INDEX(MachineData,MATCH(SelectedMachine,Machines,0),O74)</f>
        <v>1</v>
      </c>
    </row>
    <row r="91" spans="1:4">
      <c r="A91" s="160"/>
      <c r="B91" s="192"/>
      <c r="C91" s="105" t="s">
        <v>52</v>
      </c>
      <c r="D91" s="106">
        <f ca="1">INDEX(MachineData,MATCH(SelectedMachine,Machines,0),O75)</f>
        <v>1.0003428571428572</v>
      </c>
    </row>
    <row r="92" spans="1:4">
      <c r="A92" s="160"/>
      <c r="B92" s="192"/>
      <c r="C92" s="107" t="s">
        <v>53</v>
      </c>
      <c r="D92" s="108">
        <f ca="1">INDEX(MachineData,MATCH(SelectedMachine,Machines,0),O76)</f>
        <v>1.0006986492780625</v>
      </c>
    </row>
    <row r="93" spans="1:4">
      <c r="A93" s="195" t="s">
        <v>73</v>
      </c>
      <c r="B93" s="196"/>
      <c r="C93" s="197"/>
      <c r="D93" s="113" t="b">
        <f ca="1">INDEX(MachineData,MATCH(SelectedMachine,Machines,0),76)</f>
        <v>1</v>
      </c>
    </row>
  </sheetData>
  <mergeCells count="2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 ref="B74:B78"/>
    <mergeCell ref="B79:B85"/>
    <mergeCell ref="B86:B92"/>
    <mergeCell ref="B34:B38"/>
    <mergeCell ref="B39:B43"/>
    <mergeCell ref="B44:B48"/>
    <mergeCell ref="A34:A73"/>
    <mergeCell ref="B49:B53"/>
    <mergeCell ref="B54:B58"/>
    <mergeCell ref="B59:B63"/>
    <mergeCell ref="B64:B68"/>
    <mergeCell ref="B69:B73"/>
  </mergeCells>
  <pageMargins left="0.7" right="0.7" top="0.75" bottom="0.75" header="0.3" footer="0.3"/>
  <pageSetup orientation="portrait" verticalDpi="4"/>
  <headerFooter scaleWithDoc="1" alignWithMargins="0" differentFirst="0" differentOddEven="0"/>
  <legacy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Props1.xml><?xml version="1.0" encoding="utf-8"?>
<ds:datastoreItem xmlns:ds="http://schemas.openxmlformats.org/officeDocument/2006/customXml" ds:itemID="SpreadsheetCalcChain"/>
</file>

<file path=docProps/app.xml><?xml version="1.0" encoding="utf-8"?>
<Properties xmlns="http://schemas.openxmlformats.org/officeDocument/2006/extended-properties">
  <Application>Essential XlsIO</Application>
  <AppVersion>16.0300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Rex</dc:creator>
  <cp:lastModifiedBy>Rex Cardan</cp:lastModifiedBy>
  <dcterms:created xsi:type="dcterms:W3CDTF">2012-09-18T13:52:51Z</dcterms:created>
  <dcterms:modified xsi:type="dcterms:W3CDTF">2017-04-20T22:21:59Z</dcterms:modified>
  <cp:lastPrinted>2015-09-17T18:02:08Z</cp:lastPrinted>
</cp:coreProperties>
</file>

<file path=docProps/custom.xml><?xml version="1.0" encoding="utf-8"?>
<Properties xmlns:vt="http://schemas.openxmlformats.org/officeDocument/2006/docPropsVTypes" xmlns="http://schemas.openxmlformats.org/officeDocument/2006/custom-properties"/>
</file>