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4.xml" ContentType="application/vnd.openxmlformats-officedocument.spreadsheetml.comments+xml"/>
  <Override PartName="/xl/comments5.xml" ContentType="application/vnd.openxmlformats-officedocument.spreadsheetml.comments+xml"/>
  <Override PartName="/xl/queryTables/queryTable1.xml" ContentType="application/vnd.openxmlformats-officedocument.spreadsheetml.queryTable+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rcardan\OneDrive\Cardan.Code\Git\Autodrive\TaskWorksheets\"/>
    </mc:Choice>
  </mc:AlternateContent>
  <bookViews>
    <workbookView xWindow="0" yWindow="60" windowWidth="19200" windowHeight="8670" tabRatio="494" activeTab="1"/>
  </bookViews>
  <sheets>
    <sheet name="MEASURE" sheetId="2" r:id="rId1"/>
    <sheet name="Chambers" sheetId="6" r:id="rId2"/>
    <sheet name="Electrometers" sheetId="10" r:id="rId3"/>
    <sheet name="Machines" sheetId="7" r:id="rId4"/>
    <sheet name="Physicists" sheetId="9" r:id="rId5"/>
    <sheet name="Corrections" sheetId="5" r:id="rId6"/>
    <sheet name="CurrentSelections" sheetId="8" state="hidden" r:id="rId7"/>
    <sheet name="Airport Pressure" sheetId="11" r:id="rId8"/>
  </sheets>
  <externalReferences>
    <externalReference r:id="rId9"/>
  </externalReferences>
  <definedNames>
    <definedName name="ChamberData">Chambers!$J$4:$T$21</definedName>
    <definedName name="Chambers">Chambers!$A$4:$A$21</definedName>
    <definedName name="CTP">MEASURE!$J$6</definedName>
    <definedName name="Current_Chamber_CalDate">CurrentSelections!$C$12</definedName>
    <definedName name="Current_ConeF_E1">CurrentSelections!$D$74</definedName>
    <definedName name="Current_ConeF_E2">CurrentSelections!$D$75</definedName>
    <definedName name="Current_ConeF_E3">CurrentSelections!$D$76</definedName>
    <definedName name="Current_ConeF_E4">CurrentSelections!$D$77</definedName>
    <definedName name="Current_ConeF_E5">CurrentSelections!$D$78</definedName>
    <definedName name="Current_dmax_HighX">CurrentSelections!$D$33</definedName>
    <definedName name="Current_dmax_LowX">CurrentSelections!$D$32</definedName>
    <definedName name="Current_dref_E1">CurrentSelections!$D$39</definedName>
    <definedName name="Current_dref_E2">CurrentSelections!$D$40</definedName>
    <definedName name="Current_dref_E3">CurrentSelections!$D$41</definedName>
    <definedName name="Current_dref_E4">CurrentSelections!$D$42</definedName>
    <definedName name="Current_dref_E5">CurrentSelections!$D$43</definedName>
    <definedName name="Current_E1">CurrentSelections!$D$20</definedName>
    <definedName name="Current_E1kpR50">CurrentSelections!$C$7</definedName>
    <definedName name="Current_E2">CurrentSelections!$D$21</definedName>
    <definedName name="Current_E2kpR50">CurrentSelections!$C$8</definedName>
    <definedName name="Current_E3">CurrentSelections!$D$22</definedName>
    <definedName name="Current_E3kpR50">CurrentSelections!$C$9</definedName>
    <definedName name="Current_E4">CurrentSelections!$D$23</definedName>
    <definedName name="Current_E4kpR50">CurrentSelections!$C$10</definedName>
    <definedName name="Current_E5">CurrentSelections!$D$24</definedName>
    <definedName name="Current_E5kpR50">CurrentSelections!$C$11</definedName>
    <definedName name="Current_Electrometer_CalDate">CurrentSelections!$B$15</definedName>
    <definedName name="Current_elPDD_E1">CurrentSelections!$D$44</definedName>
    <definedName name="Current_elPDD_E2">CurrentSelections!$D$45</definedName>
    <definedName name="Current_elPDD_E3">CurrentSelections!$D$46</definedName>
    <definedName name="Current_elPDD_E4">CurrentSelections!$D$47</definedName>
    <definedName name="Current_elPDD_E5">CurrentSelections!$D$48</definedName>
    <definedName name="Current_HighETol_E1">CurrentSelections!$D$64</definedName>
    <definedName name="Current_HighETol_E2">CurrentSelections!$D$65</definedName>
    <definedName name="Current_HighETol_E3">CurrentSelections!$D$66</definedName>
    <definedName name="Current_HighETol_E4">CurrentSelections!$D$67</definedName>
    <definedName name="Current_HighETol_E5">CurrentSelections!$D$68</definedName>
    <definedName name="Current_HighX">CurrentSelections!$D$19</definedName>
    <definedName name="Current_HighX_kQ">CurrentSelections!$C$3</definedName>
    <definedName name="Current_I50_E1">CurrentSelections!$D$34</definedName>
    <definedName name="Current_I50_E2">CurrentSelections!$D$35</definedName>
    <definedName name="Current_I50_E3">CurrentSelections!$D$36</definedName>
    <definedName name="Current_I50_E4">CurrentSelections!$D$37</definedName>
    <definedName name="Current_I50_E5">CurrentSelections!$D$38</definedName>
    <definedName name="Current_InvSq">CurrentSelections!$D$31</definedName>
    <definedName name="Current_IsSADType">CurrentSelections!$D$93</definedName>
    <definedName name="Current_kecal">CurrentSelections!$C$4</definedName>
    <definedName name="Current_kQ_HighX">CurrentSelections!$C$3</definedName>
    <definedName name="Current_kQ_LowX">CurrentSelections!$C$2</definedName>
    <definedName name="Current_LowETol_E1">CurrentSelections!$D$69</definedName>
    <definedName name="Current_LowETol_E2">CurrentSelections!$D$70</definedName>
    <definedName name="Current_LowETol_E3">CurrentSelections!$D$71</definedName>
    <definedName name="Current_LowETol_E4">CurrentSelections!$D$72</definedName>
    <definedName name="Current_LowETol_E5">CurrentSelections!$D$73</definedName>
    <definedName name="Current_LowX">CurrentSelections!$D$18</definedName>
    <definedName name="Current_NdwCo60">CurrentSelections!$C$6</definedName>
    <definedName name="Current_PDD10_HighX">CurrentSelections!$D$28</definedName>
    <definedName name="Current_PDD10_LowX">CurrentSelections!$D$27</definedName>
    <definedName name="Current_pDD10X_HighX">CurrentSelections!$D$26</definedName>
    <definedName name="Current_pDD10X_LowX">CurrentSelections!$D$25</definedName>
    <definedName name="Current_Pelec">CurrentSelections!$B$14</definedName>
    <definedName name="Current_Physicist">MEASURE!$G$3</definedName>
    <definedName name="Current_Pion_E1">CurrentSelections!$D$81</definedName>
    <definedName name="Current_Pion_E2">CurrentSelections!$D$82</definedName>
    <definedName name="Current_Pion_E3">CurrentSelections!$D$83</definedName>
    <definedName name="Current_Pion_E4">CurrentSelections!$D$84</definedName>
    <definedName name="Current_Pion_E5">CurrentSelections!$D$85</definedName>
    <definedName name="Current_Pion_HighX">CurrentSelections!$D$80</definedName>
    <definedName name="Current_Pion_LowX">CurrentSelections!$D$79</definedName>
    <definedName name="Current_Ppol_E1">CurrentSelections!$D$88</definedName>
    <definedName name="Current_Ppol_E2">CurrentSelections!$D$89</definedName>
    <definedName name="Current_Ppol_E3">CurrentSelections!$D$90</definedName>
    <definedName name="Current_Ppol_E4">CurrentSelections!$D$91</definedName>
    <definedName name="Current_Ppol_E5">CurrentSelections!$D$92</definedName>
    <definedName name="Current_Ppol_HighX">CurrentSelections!$D$87</definedName>
    <definedName name="Current_Ppol_LowX">CurrentSelections!$D$86</definedName>
    <definedName name="Current_R50_E1">CurrentSelections!$D$49</definedName>
    <definedName name="Current_R50_E2">CurrentSelections!$D$50</definedName>
    <definedName name="Current_R50_E3">CurrentSelections!$D$51</definedName>
    <definedName name="Current_R50_E4">CurrentSelections!$D$52</definedName>
    <definedName name="Current_R50_E5">CurrentSelections!$D$53</definedName>
    <definedName name="Current_R80_E1">CurrentSelections!$D$54</definedName>
    <definedName name="Current_R80_E2">CurrentSelections!$D$55</definedName>
    <definedName name="Current_R80_E3">CurrentSelections!$D$56</definedName>
    <definedName name="Current_R80_E4">CurrentSelections!$D$57</definedName>
    <definedName name="Current_R80_E5">CurrentSelections!$D$58</definedName>
    <definedName name="Current_R90_E1">CurrentSelections!$D$59</definedName>
    <definedName name="Current_R90_E2">CurrentSelections!$D$60</definedName>
    <definedName name="Current_R90_E3">CurrentSelections!$D$61</definedName>
    <definedName name="Current_R90_E4">CurrentSelections!$D$62</definedName>
    <definedName name="Current_R90_E5">CurrentSelections!$D$63</definedName>
    <definedName name="Current_rcav">CurrentSelections!$C$5</definedName>
    <definedName name="Current_TMR_PDD10_HighX">CurrentSelections!$D$30</definedName>
    <definedName name="Current_TMR_PDD10_LowX">CurrentSelections!$D$29</definedName>
    <definedName name="dref_12E">Corrections!$O$9</definedName>
    <definedName name="dref_15E">Corrections!$O$10</definedName>
    <definedName name="dref_18E">Corrections!$O$11</definedName>
    <definedName name="dref_6E">Corrections!$O$7</definedName>
    <definedName name="dref_9E">Corrections!$O$8</definedName>
    <definedName name="E1_dref">Corrections!$O$7</definedName>
    <definedName name="E1_Pion">Corrections!$E$14</definedName>
    <definedName name="E1_Ppol">Corrections!$J$14</definedName>
    <definedName name="E1_R50">Corrections!$N$7</definedName>
    <definedName name="E2_dref">Corrections!$O$8</definedName>
    <definedName name="E2_Pgrad">Corrections!$P$18</definedName>
    <definedName name="E2_Pion">Corrections!$E$18</definedName>
    <definedName name="E2_Ppol">Corrections!$J$18</definedName>
    <definedName name="E2_R50">Corrections!$N$8</definedName>
    <definedName name="E3_dref">Corrections!$O$9</definedName>
    <definedName name="E3_Pgrad">Corrections!$P$22</definedName>
    <definedName name="E3_Pion">Corrections!$E$22</definedName>
    <definedName name="E3_Ppol">Corrections!$J$22</definedName>
    <definedName name="E3_R50">Corrections!$N$9</definedName>
    <definedName name="E4_dref">Corrections!$O$10</definedName>
    <definedName name="E4_Pgrad">Corrections!$P$26</definedName>
    <definedName name="E4_Pion">Corrections!$E$26</definedName>
    <definedName name="E4_Ppol">Corrections!$J$26</definedName>
    <definedName name="E4_R50">Corrections!$N$10</definedName>
    <definedName name="E5_dref">Corrections!$O$11</definedName>
    <definedName name="E5_Pgrad">Corrections!$P$30</definedName>
    <definedName name="E5_Pion">Corrections!$E$30</definedName>
    <definedName name="E5_Ppol">Corrections!$J$30</definedName>
    <definedName name="E5_R50">Corrections!$N$11</definedName>
    <definedName name="Elec1">'[1]Accelerator Details'!$A$8</definedName>
    <definedName name="Elec1_10x10">'[1]Accelerator Details'!$E$8</definedName>
    <definedName name="Elec1_15x15">'[1]Accelerator Details'!$F$8</definedName>
    <definedName name="Elec1_20x20">'[1]Accelerator Details'!$G$8</definedName>
    <definedName name="Elec1_25x25">'[1]Accelerator Details'!$H$8</definedName>
    <definedName name="Elec1_6x6">'[1]Accelerator Details'!$D$8</definedName>
    <definedName name="Elec1_dmax">'[1]Accelerator Details'!$C$8</definedName>
    <definedName name="Elec2">'[1]Accelerator Details'!$A$9</definedName>
    <definedName name="Elec2_10x10">'[1]Accelerator Details'!$E$9</definedName>
    <definedName name="Elec2_15x15">'[1]Accelerator Details'!$F$9</definedName>
    <definedName name="Elec2_20x20">'[1]Accelerator Details'!$G$9</definedName>
    <definedName name="Elec2_25x25">'[1]Accelerator Details'!$H$9</definedName>
    <definedName name="Elec2_6x6">'[1]Accelerator Details'!$D$9</definedName>
    <definedName name="Elec2_dmax">'[1]Accelerator Details'!$C$9</definedName>
    <definedName name="Elec3">'[1]Accelerator Details'!$A$10</definedName>
    <definedName name="Elec3_10x10">'[1]Accelerator Details'!$E$10</definedName>
    <definedName name="Elec3_15x15">'[1]Accelerator Details'!$F$10</definedName>
    <definedName name="Elec3_20x20">'[1]Accelerator Details'!$G$10</definedName>
    <definedName name="Elec3_25x25">'[1]Accelerator Details'!$H$10</definedName>
    <definedName name="Elec3_6x6">'[1]Accelerator Details'!$D$10</definedName>
    <definedName name="Elec3_dmax">'[1]Accelerator Details'!$C$10</definedName>
    <definedName name="Elec4">'[1]Accelerator Details'!$A$11</definedName>
    <definedName name="Elec4_10x10">'[1]Accelerator Details'!$E$11</definedName>
    <definedName name="Elec4_15x15">'[1]Accelerator Details'!$F$11</definedName>
    <definedName name="Elec4_20x20">'[1]Accelerator Details'!$G$11</definedName>
    <definedName name="Elec4_25x25">'[1]Accelerator Details'!$H$11</definedName>
    <definedName name="Elec4_6x6">'[1]Accelerator Details'!$D$11</definedName>
    <definedName name="Elec4_dmax">'[1]Accelerator Details'!$C$11</definedName>
    <definedName name="Elec5">'[1]Accelerator Details'!$A$12</definedName>
    <definedName name="Elec5_10x10">'[1]Accelerator Details'!$E$12</definedName>
    <definedName name="Elec5_15x15">'[1]Accelerator Details'!$F$12</definedName>
    <definedName name="Elec5_20x20">'[1]Accelerator Details'!$G$12</definedName>
    <definedName name="Elec5_25x25">'[1]Accelerator Details'!$H$12</definedName>
    <definedName name="Elec5_6x6">'[1]Accelerator Details'!$D$12</definedName>
    <definedName name="Elec5_dmax">'[1]Accelerator Details'!$C$12</definedName>
    <definedName name="ElectrometerADCLDates">Electrometers!$C$4:$C$24</definedName>
    <definedName name="ElectrometerFactors">Electrometers!$B$4:$B$24</definedName>
    <definedName name="Electrometers">Electrometers!$A$4:$A$24</definedName>
    <definedName name="HighX">'[1]Accelerator Details'!$A$4</definedName>
    <definedName name="HighX_10EDW">'[1]Accelerator Details'!$Q$4</definedName>
    <definedName name="HighX_10x10">'[1]Accelerator Details'!$G$4</definedName>
    <definedName name="HighX_15EDW">'[1]Accelerator Details'!$R$4</definedName>
    <definedName name="HighX_15WF">'[1]Accelerator Details'!$M$4</definedName>
    <definedName name="HighX_15x15">'[1]Accelerator Details'!$H$4</definedName>
    <definedName name="HighX_20EDW">'[1]Accelerator Details'!$S$4</definedName>
    <definedName name="HighX_20x20">'[1]Accelerator Details'!$I$4</definedName>
    <definedName name="HighX_25EDW">'[1]Accelerator Details'!$T$4</definedName>
    <definedName name="HighX_30EDW">'[1]Accelerator Details'!$U$4</definedName>
    <definedName name="HighX_30WF">'[1]Accelerator Details'!$N$4</definedName>
    <definedName name="HighX_30x30">'[1]Accelerator Details'!$K$4</definedName>
    <definedName name="HighX_40x40">'[1]Accelerator Details'!$L$4</definedName>
    <definedName name="HighX_45EDW">'[1]Accelerator Details'!$V$4</definedName>
    <definedName name="HighX_45WF">'[1]Accelerator Details'!$O$4</definedName>
    <definedName name="HighX_5x5">'[1]Accelerator Details'!$E$4</definedName>
    <definedName name="HighX_60EDW">'[1]Accelerator Details'!$W$4</definedName>
    <definedName name="HighX_60WF">'[1]Accelerator Details'!$P$4</definedName>
    <definedName name="HighX_dmax">'[1]Accelerator Details'!$C$4</definedName>
    <definedName name="HighX_Pion">Corrections!$E$10</definedName>
    <definedName name="HighX_Ppol">Corrections!$J$10</definedName>
    <definedName name="KBHM_1" localSheetId="7">'Airport Pressure'!$A$9:$R$88</definedName>
    <definedName name="LowX">'[1]Accelerator Details'!$A$3</definedName>
    <definedName name="LowX_10EDW">'[1]Accelerator Details'!$Q$3</definedName>
    <definedName name="LowX_10x10">'[1]Accelerator Details'!$G$3</definedName>
    <definedName name="LowX_15EDW">'[1]Accelerator Details'!$R$3</definedName>
    <definedName name="LowX_15WF">'[1]Accelerator Details'!$M$3</definedName>
    <definedName name="LowX_15x15">'[1]Accelerator Details'!$H$3</definedName>
    <definedName name="LowX_20EDW">'[1]Accelerator Details'!$S$3</definedName>
    <definedName name="LowX_20x20">'[1]Accelerator Details'!$I$3</definedName>
    <definedName name="LowX_25EDW">'[1]Accelerator Details'!$T$3</definedName>
    <definedName name="LowX_30EDW">'[1]Accelerator Details'!$U$3</definedName>
    <definedName name="LowX_30WF">'[1]Accelerator Details'!$N$3</definedName>
    <definedName name="LowX_30x30">'[1]Accelerator Details'!$K$3</definedName>
    <definedName name="LowX_40x40">'[1]Accelerator Details'!$L$3</definedName>
    <definedName name="LowX_45EDW">'[1]Accelerator Details'!$V$3</definedName>
    <definedName name="LowX_45WF">'[1]Accelerator Details'!$O$3</definedName>
    <definedName name="LowX_5x5">'[1]Accelerator Details'!$E$3</definedName>
    <definedName name="LowX_60EDW">'[1]Accelerator Details'!$W$3</definedName>
    <definedName name="LowX_60WF">'[1]Accelerator Details'!$P$3</definedName>
    <definedName name="LowX_dmax">'[1]Accelerator Details'!$C$3</definedName>
    <definedName name="LowX_Pion">Corrections!$E$6</definedName>
    <definedName name="LowX_Ppol">Corrections!$J$6</definedName>
    <definedName name="MachineData">Machines!$B$5:$BY$20</definedName>
    <definedName name="Machines">Machines!$A$5:$A$20</definedName>
    <definedName name="MU">MEASURE!$J$3</definedName>
    <definedName name="NewMeasurementValues">MEASURE!$C$13:$D$14,MEASURE!$C$18:$D$19,MEASURE!$C$25:$D$26,MEASURE!$C$30:$D$31,MEASURE!$C$35:$D$36,MEASURE!$C$40:$D$41,MEASURE!$C$45:$D$46</definedName>
    <definedName name="P">MEASURE!$J$5</definedName>
    <definedName name="Physicists">Physicists!$A$4:$A$22</definedName>
    <definedName name="PionValues">Corrections!$B$6:$C$7,Corrections!$B$10:$C$11,Corrections!$B$14:$C$15,Corrections!$B$18:$C$19,Corrections!$B$22:$C$23,Corrections!$B$26:$C$27,Corrections!$B$30:$C$31</definedName>
    <definedName name="PpolValues">Corrections!$G$6:$H$7,Corrections!$G$10:$H$11,Corrections!$G$14:$H$15,Corrections!$G$18:$H$19,Corrections!$G$22:$H$23,Corrections!$G$26:$H$27,Corrections!$G$30:$H$31</definedName>
    <definedName name="_xlnm.Print_Area" localSheetId="1">Chambers!$A$6:$U$6</definedName>
    <definedName name="_xlnm.Print_Area" localSheetId="6">CurrentSelections!$A$1:$D$93</definedName>
    <definedName name="_xlnm.Print_Area" localSheetId="0">MEASURE!$A$1:$L$47</definedName>
    <definedName name="SelectedChamber">MEASURE!$G$5</definedName>
    <definedName name="SelectedElectrometer">MEASURE!$G$6</definedName>
    <definedName name="SelectedMachine">MEASURE!$H$1</definedName>
    <definedName name="T">MEASURE!$J$4</definedName>
    <definedName name="test">CurrentSelections!$L$32:$L$34</definedName>
  </definedNames>
  <calcPr calcId="162913"/>
</workbook>
</file>

<file path=xl/calcChain.xml><?xml version="1.0" encoding="utf-8"?>
<calcChain xmlns="http://schemas.openxmlformats.org/spreadsheetml/2006/main">
  <c r="J8" i="6" l="1"/>
  <c r="J9" i="6"/>
  <c r="J10" i="6"/>
  <c r="J11" i="6"/>
  <c r="J12" i="6"/>
  <c r="J13" i="6"/>
  <c r="J14" i="6"/>
  <c r="J15" i="6"/>
  <c r="J16" i="6"/>
  <c r="J17" i="6"/>
  <c r="J18" i="6"/>
  <c r="J19" i="6"/>
  <c r="J20" i="6"/>
  <c r="J21" i="6"/>
  <c r="K5" i="6"/>
  <c r="K6" i="6"/>
  <c r="K7" i="6"/>
  <c r="K4" i="6"/>
  <c r="J5" i="6"/>
  <c r="J6" i="6"/>
  <c r="J7" i="6"/>
  <c r="J4" i="6"/>
  <c r="H4" i="6"/>
  <c r="I4" i="6"/>
  <c r="O4" i="6"/>
  <c r="H8" i="6"/>
  <c r="I8" i="6"/>
  <c r="H9" i="6"/>
  <c r="I9" i="6"/>
  <c r="H10" i="6"/>
  <c r="I10" i="6"/>
  <c r="H11" i="6"/>
  <c r="I11" i="6"/>
  <c r="H12" i="6"/>
  <c r="I12" i="6"/>
  <c r="H13" i="6"/>
  <c r="I13" i="6"/>
  <c r="H14" i="6"/>
  <c r="I14" i="6"/>
  <c r="H15" i="6"/>
  <c r="I15" i="6"/>
  <c r="H16" i="6"/>
  <c r="I16" i="6"/>
  <c r="H17" i="6"/>
  <c r="I17" i="6"/>
  <c r="H18" i="6"/>
  <c r="I18" i="6"/>
  <c r="H19" i="6"/>
  <c r="I19" i="6"/>
  <c r="H20" i="6"/>
  <c r="I20" i="6"/>
  <c r="H21" i="6"/>
  <c r="I21" i="6"/>
  <c r="H5" i="6"/>
  <c r="I5" i="6"/>
  <c r="H6" i="6"/>
  <c r="I6" i="6"/>
  <c r="H7" i="6"/>
  <c r="I7" i="6"/>
  <c r="E4" i="11" l="1"/>
  <c r="E5" i="11"/>
  <c r="BE5" i="7" l="1"/>
  <c r="BD5" i="7"/>
  <c r="BC5" i="7"/>
  <c r="BB5" i="7"/>
  <c r="BA5" i="7"/>
  <c r="AZ5" i="7"/>
  <c r="AY5" i="7"/>
  <c r="AX5" i="7"/>
  <c r="AW5" i="7"/>
  <c r="AV5" i="7"/>
  <c r="W5" i="7"/>
  <c r="X5" i="7"/>
  <c r="Z5" i="7"/>
  <c r="AA5" i="7"/>
  <c r="Y5" i="7"/>
  <c r="B10" i="2" l="1"/>
  <c r="B15" i="2"/>
  <c r="E31" i="2"/>
  <c r="E46" i="2" l="1"/>
  <c r="E41" i="2"/>
  <c r="E36" i="2"/>
  <c r="E26" i="2"/>
  <c r="E18" i="2"/>
  <c r="E13" i="2"/>
  <c r="B42" i="2" l="1"/>
  <c r="D93" i="8" l="1"/>
  <c r="J17" i="2" l="1"/>
  <c r="J12" i="2"/>
  <c r="BC6" i="7"/>
  <c r="B37" i="2"/>
  <c r="B22" i="2" l="1"/>
  <c r="D5" i="10" l="1"/>
  <c r="D6" i="10"/>
  <c r="D7" i="10"/>
  <c r="D8" i="10"/>
  <c r="D9" i="10"/>
  <c r="D10" i="10"/>
  <c r="D11" i="10"/>
  <c r="D12" i="10"/>
  <c r="D13" i="10"/>
  <c r="D14" i="10"/>
  <c r="D15" i="10"/>
  <c r="D16" i="10"/>
  <c r="D17" i="10"/>
  <c r="D18" i="10"/>
  <c r="D19" i="10"/>
  <c r="D20" i="10"/>
  <c r="D21" i="10"/>
  <c r="D22" i="10"/>
  <c r="D23" i="10"/>
  <c r="D24" i="10"/>
  <c r="D4" i="10"/>
  <c r="U5" i="6"/>
  <c r="U6" i="6"/>
  <c r="U7" i="6"/>
  <c r="U8" i="6"/>
  <c r="U9" i="6"/>
  <c r="U10" i="6"/>
  <c r="U11" i="6"/>
  <c r="U12" i="6"/>
  <c r="U13" i="6"/>
  <c r="U14" i="6"/>
  <c r="U15" i="6"/>
  <c r="U16" i="6"/>
  <c r="U17" i="6"/>
  <c r="U18" i="6"/>
  <c r="U19" i="6"/>
  <c r="U20" i="6"/>
  <c r="U21" i="6"/>
  <c r="U4" i="6"/>
  <c r="K14" i="6"/>
  <c r="K12" i="6"/>
  <c r="K15" i="6"/>
  <c r="K19" i="6"/>
  <c r="K18" i="6"/>
  <c r="K13" i="6"/>
  <c r="K21" i="6"/>
  <c r="K8" i="6"/>
  <c r="K11" i="6"/>
  <c r="K9" i="6"/>
  <c r="K20" i="6"/>
  <c r="K10" i="6"/>
  <c r="K16" i="6"/>
  <c r="K17" i="6"/>
  <c r="B15" i="8" l="1"/>
  <c r="E6" i="2" s="1"/>
  <c r="B14" i="8"/>
  <c r="C12" i="8"/>
  <c r="E5" i="2" l="1"/>
  <c r="F4" i="11"/>
  <c r="F5" i="11" s="1"/>
  <c r="D17" i="8" l="1"/>
  <c r="D18" i="8"/>
  <c r="BA6" i="7"/>
  <c r="BB6" i="7"/>
  <c r="BD6" i="7"/>
  <c r="BE6" i="7"/>
  <c r="BA7" i="7"/>
  <c r="BB7" i="7"/>
  <c r="BC7" i="7"/>
  <c r="BD7" i="7"/>
  <c r="BE7" i="7"/>
  <c r="BA8" i="7"/>
  <c r="BB8" i="7"/>
  <c r="BC8" i="7"/>
  <c r="BD8" i="7"/>
  <c r="BE8" i="7"/>
  <c r="BA9" i="7"/>
  <c r="BB9" i="7"/>
  <c r="BC9" i="7"/>
  <c r="BD9" i="7"/>
  <c r="BE9" i="7"/>
  <c r="BA10" i="7"/>
  <c r="BB10" i="7"/>
  <c r="BC10" i="7"/>
  <c r="BD10" i="7"/>
  <c r="BE10" i="7"/>
  <c r="BA11" i="7"/>
  <c r="BB11" i="7"/>
  <c r="BC11" i="7"/>
  <c r="BD11" i="7"/>
  <c r="BE11" i="7"/>
  <c r="BA12" i="7"/>
  <c r="BB12" i="7"/>
  <c r="BC12" i="7"/>
  <c r="BD12" i="7"/>
  <c r="BE12" i="7"/>
  <c r="BA13" i="7"/>
  <c r="BB13" i="7"/>
  <c r="BC13" i="7"/>
  <c r="BD13" i="7"/>
  <c r="BE13" i="7"/>
  <c r="BA14" i="7"/>
  <c r="BB14" i="7"/>
  <c r="BC14" i="7"/>
  <c r="BD14" i="7"/>
  <c r="BE14" i="7"/>
  <c r="BA15" i="7"/>
  <c r="BB15" i="7"/>
  <c r="BC15" i="7"/>
  <c r="BD15" i="7"/>
  <c r="BE15" i="7"/>
  <c r="BA16" i="7"/>
  <c r="BB16" i="7"/>
  <c r="BC16" i="7"/>
  <c r="BD16" i="7"/>
  <c r="BE16" i="7"/>
  <c r="BA17" i="7"/>
  <c r="BB17" i="7"/>
  <c r="BC17" i="7"/>
  <c r="BD17" i="7"/>
  <c r="BE17" i="7"/>
  <c r="BA18" i="7"/>
  <c r="BB18" i="7"/>
  <c r="BC18" i="7"/>
  <c r="BD18" i="7"/>
  <c r="BE18" i="7"/>
  <c r="BA19" i="7"/>
  <c r="BB19" i="7"/>
  <c r="BC19" i="7"/>
  <c r="BD19" i="7"/>
  <c r="BE19" i="7"/>
  <c r="BA20" i="7"/>
  <c r="BB20" i="7"/>
  <c r="BC20" i="7"/>
  <c r="BD20" i="7"/>
  <c r="BE20" i="7"/>
  <c r="AV6" i="7"/>
  <c r="AW6" i="7"/>
  <c r="AX6" i="7"/>
  <c r="AY6" i="7"/>
  <c r="AZ6" i="7"/>
  <c r="AV7" i="7"/>
  <c r="AW7" i="7"/>
  <c r="AX7" i="7"/>
  <c r="AY7" i="7"/>
  <c r="AZ7" i="7"/>
  <c r="AV8" i="7"/>
  <c r="AW8" i="7"/>
  <c r="AX8" i="7"/>
  <c r="AY8" i="7"/>
  <c r="AZ8" i="7"/>
  <c r="AV9" i="7"/>
  <c r="AW9" i="7"/>
  <c r="AX9" i="7"/>
  <c r="AY9" i="7"/>
  <c r="AZ9" i="7"/>
  <c r="AV10" i="7"/>
  <c r="AW10" i="7"/>
  <c r="AX10" i="7"/>
  <c r="AY10" i="7"/>
  <c r="AZ10" i="7"/>
  <c r="AV11" i="7"/>
  <c r="AW11" i="7"/>
  <c r="AX11" i="7"/>
  <c r="AY11" i="7"/>
  <c r="AZ11" i="7"/>
  <c r="AV12" i="7"/>
  <c r="AW12" i="7"/>
  <c r="AX12" i="7"/>
  <c r="AY12" i="7"/>
  <c r="AZ12" i="7"/>
  <c r="AV13" i="7"/>
  <c r="AW13" i="7"/>
  <c r="AX13" i="7"/>
  <c r="AY13" i="7"/>
  <c r="AZ13" i="7"/>
  <c r="AV14" i="7"/>
  <c r="AW14" i="7"/>
  <c r="AX14" i="7"/>
  <c r="AY14" i="7"/>
  <c r="AZ14" i="7"/>
  <c r="AV15" i="7"/>
  <c r="AW15" i="7"/>
  <c r="AX15" i="7"/>
  <c r="AY15" i="7"/>
  <c r="AZ15" i="7"/>
  <c r="AV16" i="7"/>
  <c r="AW16" i="7"/>
  <c r="AX16" i="7"/>
  <c r="AY16" i="7"/>
  <c r="AZ16" i="7"/>
  <c r="AV17" i="7"/>
  <c r="AW17" i="7"/>
  <c r="AX17" i="7"/>
  <c r="AY17" i="7"/>
  <c r="AZ17" i="7"/>
  <c r="AV18" i="7"/>
  <c r="AW18" i="7"/>
  <c r="AX18" i="7"/>
  <c r="AY18" i="7"/>
  <c r="AZ18" i="7"/>
  <c r="AV19" i="7"/>
  <c r="AW19" i="7"/>
  <c r="AX19" i="7"/>
  <c r="AY19" i="7"/>
  <c r="AZ19" i="7"/>
  <c r="AV20" i="7"/>
  <c r="AW20" i="7"/>
  <c r="AX20" i="7"/>
  <c r="AY20" i="7"/>
  <c r="AZ20" i="7"/>
  <c r="D6" i="5" l="1"/>
  <c r="O3" i="6"/>
  <c r="E25" i="2"/>
  <c r="I26" i="2" s="1"/>
  <c r="AA20" i="7"/>
  <c r="Z20" i="7"/>
  <c r="Y20" i="7"/>
  <c r="X20" i="7"/>
  <c r="W20" i="7"/>
  <c r="AA19" i="7"/>
  <c r="Z19" i="7"/>
  <c r="Y19" i="7"/>
  <c r="X19" i="7"/>
  <c r="W19" i="7"/>
  <c r="AA18" i="7"/>
  <c r="Z18" i="7"/>
  <c r="Y18" i="7"/>
  <c r="X18" i="7"/>
  <c r="W18" i="7"/>
  <c r="AA17" i="7"/>
  <c r="Z17" i="7"/>
  <c r="Y17" i="7"/>
  <c r="X17" i="7"/>
  <c r="W17" i="7"/>
  <c r="AA16" i="7"/>
  <c r="Z16" i="7"/>
  <c r="Y16" i="7"/>
  <c r="X16" i="7"/>
  <c r="W16" i="7"/>
  <c r="AA15" i="7"/>
  <c r="Z15" i="7"/>
  <c r="Y15" i="7"/>
  <c r="X15" i="7"/>
  <c r="W15" i="7"/>
  <c r="AA14" i="7"/>
  <c r="Z14" i="7"/>
  <c r="Y14" i="7"/>
  <c r="X14" i="7"/>
  <c r="W14" i="7"/>
  <c r="AA13" i="7"/>
  <c r="Z13" i="7"/>
  <c r="Y13" i="7"/>
  <c r="X13" i="7"/>
  <c r="W13" i="7"/>
  <c r="AA12" i="7"/>
  <c r="Z12" i="7"/>
  <c r="Y12" i="7"/>
  <c r="X12" i="7"/>
  <c r="W12" i="7"/>
  <c r="AA11" i="7"/>
  <c r="Z11" i="7"/>
  <c r="Y11" i="7"/>
  <c r="X11" i="7"/>
  <c r="W11" i="7"/>
  <c r="AA10" i="7"/>
  <c r="Z10" i="7"/>
  <c r="Y10" i="7"/>
  <c r="X10" i="7"/>
  <c r="W10" i="7"/>
  <c r="AA9" i="7"/>
  <c r="Z9" i="7"/>
  <c r="Y9" i="7"/>
  <c r="X9" i="7"/>
  <c r="W9" i="7"/>
  <c r="AA8" i="7"/>
  <c r="Z8" i="7"/>
  <c r="Y8" i="7"/>
  <c r="X8" i="7"/>
  <c r="W8" i="7"/>
  <c r="Y7" i="7"/>
  <c r="AA6" i="7"/>
  <c r="AA7" i="7"/>
  <c r="X6" i="7"/>
  <c r="W7" i="7"/>
  <c r="W6" i="7"/>
  <c r="Z6" i="7"/>
  <c r="Z7" i="7"/>
  <c r="Y6" i="7"/>
  <c r="X7" i="7"/>
  <c r="C2" i="8" l="1"/>
  <c r="E14" i="2"/>
  <c r="I13" i="2" s="1"/>
  <c r="E45" i="2"/>
  <c r="I46" i="2" s="1"/>
  <c r="E40" i="2"/>
  <c r="I41" i="2" s="1"/>
  <c r="E35" i="2"/>
  <c r="I36" i="2" s="1"/>
  <c r="E30" i="2"/>
  <c r="I31" i="2" s="1"/>
  <c r="E19" i="2"/>
  <c r="I18" i="2" s="1"/>
  <c r="O3" i="8"/>
  <c r="S3" i="6"/>
  <c r="R3" i="6"/>
  <c r="Q3" i="6"/>
  <c r="P3" i="6"/>
  <c r="B11" i="8"/>
  <c r="B10" i="8"/>
  <c r="B9" i="8"/>
  <c r="B8" i="8"/>
  <c r="B7" i="8"/>
  <c r="C6" i="8"/>
  <c r="C5" i="8"/>
  <c r="C4" i="8"/>
  <c r="J6" i="2"/>
  <c r="A8" i="5"/>
  <c r="D19" i="8" l="1"/>
  <c r="P5" i="5"/>
  <c r="O4" i="8"/>
  <c r="D20" i="8" s="1"/>
  <c r="O5" i="8" l="1"/>
  <c r="D21" i="8" s="1"/>
  <c r="F8" i="5"/>
  <c r="F4" i="5"/>
  <c r="A4" i="5"/>
  <c r="L11" i="5"/>
  <c r="L10" i="5"/>
  <c r="L9" i="5"/>
  <c r="L8" i="5"/>
  <c r="L7" i="5"/>
  <c r="B32" i="2"/>
  <c r="B27" i="2"/>
  <c r="O31" i="5"/>
  <c r="O30" i="5"/>
  <c r="O27" i="5"/>
  <c r="O26" i="5"/>
  <c r="O23" i="5"/>
  <c r="O22" i="5"/>
  <c r="O19" i="5"/>
  <c r="O18" i="5"/>
  <c r="O15" i="5"/>
  <c r="O14" i="5"/>
  <c r="I31" i="5"/>
  <c r="I30" i="5"/>
  <c r="I27" i="5"/>
  <c r="I26" i="5"/>
  <c r="I23" i="5"/>
  <c r="I22" i="5"/>
  <c r="I19" i="5"/>
  <c r="I18" i="5"/>
  <c r="I15" i="5"/>
  <c r="I14" i="5"/>
  <c r="I11" i="5"/>
  <c r="I10" i="5"/>
  <c r="I7" i="5"/>
  <c r="I6" i="5"/>
  <c r="D31" i="5"/>
  <c r="D30" i="5"/>
  <c r="D27" i="5"/>
  <c r="D26" i="5"/>
  <c r="D23" i="5"/>
  <c r="D22" i="5"/>
  <c r="D19" i="5"/>
  <c r="D18" i="5"/>
  <c r="D15" i="5"/>
  <c r="D14" i="5"/>
  <c r="D11" i="5"/>
  <c r="D10" i="5"/>
  <c r="D7" i="5"/>
  <c r="P14" i="5" l="1"/>
  <c r="P22" i="5"/>
  <c r="P30" i="5"/>
  <c r="P18" i="5"/>
  <c r="P26" i="5"/>
  <c r="O6" i="8"/>
  <c r="D22" i="8" s="1"/>
  <c r="J14" i="5"/>
  <c r="J30" i="5"/>
  <c r="J26" i="5"/>
  <c r="J22" i="5"/>
  <c r="J18" i="5"/>
  <c r="J10" i="5"/>
  <c r="E30" i="5"/>
  <c r="E26" i="5"/>
  <c r="E22" i="5"/>
  <c r="E14" i="5"/>
  <c r="E10" i="5"/>
  <c r="J6" i="5"/>
  <c r="C3" i="8"/>
  <c r="E18" i="5"/>
  <c r="E6" i="5"/>
  <c r="O7" i="8" l="1"/>
  <c r="D23" i="8" s="1"/>
  <c r="O8" i="8" l="1"/>
  <c r="D24" i="8" s="1"/>
  <c r="O9" i="8" l="1"/>
  <c r="D25" i="8" s="1"/>
  <c r="O10" i="8" l="1"/>
  <c r="D26" i="8" s="1"/>
  <c r="O11" i="8" l="1"/>
  <c r="D27" i="8" l="1"/>
  <c r="K13" i="2" s="1"/>
  <c r="O12" i="8"/>
  <c r="D28" i="8" l="1"/>
  <c r="K18" i="2" s="1"/>
  <c r="O13" i="8"/>
  <c r="D29" i="8" s="1"/>
  <c r="O14" i="8" l="1"/>
  <c r="O15" i="8" l="1"/>
  <c r="D31" i="8" s="1"/>
  <c r="D30" i="8"/>
  <c r="O16" i="8" l="1"/>
  <c r="D32" i="8" l="1"/>
  <c r="B13" i="2" s="1"/>
  <c r="O17" i="8"/>
  <c r="D33" i="8" l="1"/>
  <c r="B18" i="2" s="1"/>
  <c r="O18" i="8"/>
  <c r="D34" i="8" l="1"/>
  <c r="M7" i="5" s="1"/>
  <c r="O19" i="8"/>
  <c r="N7" i="5"/>
  <c r="O7" i="5"/>
  <c r="P7" i="5" l="1"/>
  <c r="D35" i="8"/>
  <c r="M8" i="5" s="1"/>
  <c r="O20" i="8"/>
  <c r="N8" i="5"/>
  <c r="O8" i="5"/>
  <c r="P8" i="5" l="1"/>
  <c r="D36" i="8"/>
  <c r="M9" i="5" s="1"/>
  <c r="O21" i="8"/>
  <c r="N9" i="5"/>
  <c r="O9" i="5"/>
  <c r="P9" i="5" l="1"/>
  <c r="D37" i="8"/>
  <c r="M10" i="5" s="1"/>
  <c r="O22" i="8"/>
  <c r="O10" i="5"/>
  <c r="N10" i="5"/>
  <c r="P10" i="5" l="1"/>
  <c r="D38" i="8"/>
  <c r="M11" i="5" s="1"/>
  <c r="O23" i="8"/>
  <c r="N11" i="5"/>
  <c r="O11" i="5"/>
  <c r="P11" i="5" l="1"/>
  <c r="D39" i="8"/>
  <c r="B25" i="2" s="1"/>
  <c r="O24" i="8"/>
  <c r="D40" i="8" l="1"/>
  <c r="B30" i="2" s="1"/>
  <c r="O25" i="8"/>
  <c r="D41" i="8" l="1"/>
  <c r="B35" i="2" s="1"/>
  <c r="O26" i="8"/>
  <c r="D42" i="8" l="1"/>
  <c r="B40" i="2" s="1"/>
  <c r="O27" i="8"/>
  <c r="D43" i="8" l="1"/>
  <c r="B45" i="2" s="1"/>
  <c r="O28" i="8"/>
  <c r="D44" i="8" l="1"/>
  <c r="O29" i="8"/>
  <c r="D45" i="8" l="1"/>
  <c r="O30" i="8"/>
  <c r="D46" i="8" l="1"/>
  <c r="O31" i="8"/>
  <c r="D47" i="8" l="1"/>
  <c r="O32" i="8"/>
  <c r="D48" i="8" l="1"/>
  <c r="O33" i="8"/>
  <c r="D49" i="8" l="1"/>
  <c r="O34" i="8"/>
  <c r="O7" i="6" l="1"/>
  <c r="O20" i="6"/>
  <c r="O18" i="6"/>
  <c r="O16" i="6"/>
  <c r="O14" i="6"/>
  <c r="O12" i="6"/>
  <c r="O10" i="6"/>
  <c r="O8" i="6"/>
  <c r="O5" i="6"/>
  <c r="O6" i="6"/>
  <c r="O21" i="6"/>
  <c r="O19" i="6"/>
  <c r="O17" i="6"/>
  <c r="O15" i="6"/>
  <c r="O13" i="6"/>
  <c r="O11" i="6"/>
  <c r="O9" i="6"/>
  <c r="D50" i="8"/>
  <c r="O35" i="8"/>
  <c r="C7" i="8" l="1"/>
  <c r="P21" i="6"/>
  <c r="P19" i="6"/>
  <c r="P17" i="6"/>
  <c r="P15" i="6"/>
  <c r="P13" i="6"/>
  <c r="P11" i="6"/>
  <c r="P9" i="6"/>
  <c r="P7" i="6"/>
  <c r="P6" i="6"/>
  <c r="P4" i="6"/>
  <c r="P20" i="6"/>
  <c r="P18" i="6"/>
  <c r="P16" i="6"/>
  <c r="P14" i="6"/>
  <c r="P12" i="6"/>
  <c r="P10" i="6"/>
  <c r="P8" i="6"/>
  <c r="P5" i="6"/>
  <c r="D51" i="8"/>
  <c r="O36" i="8"/>
  <c r="C8" i="8" l="1"/>
  <c r="Q20" i="6"/>
  <c r="Q18" i="6"/>
  <c r="Q16" i="6"/>
  <c r="Q14" i="6"/>
  <c r="Q12" i="6"/>
  <c r="Q10" i="6"/>
  <c r="Q8" i="6"/>
  <c r="Q5" i="6"/>
  <c r="Q21" i="6"/>
  <c r="Q19" i="6"/>
  <c r="Q17" i="6"/>
  <c r="Q15" i="6"/>
  <c r="Q13" i="6"/>
  <c r="Q11" i="6"/>
  <c r="Q9" i="6"/>
  <c r="Q7" i="6"/>
  <c r="Q6" i="6"/>
  <c r="Q4" i="6"/>
  <c r="D52" i="8"/>
  <c r="O37" i="8"/>
  <c r="C9" i="8" l="1"/>
  <c r="R21" i="6"/>
  <c r="R19" i="6"/>
  <c r="R17" i="6"/>
  <c r="R15" i="6"/>
  <c r="R13" i="6"/>
  <c r="R11" i="6"/>
  <c r="R9" i="6"/>
  <c r="R7" i="6"/>
  <c r="R6" i="6"/>
  <c r="R4" i="6"/>
  <c r="R8" i="6"/>
  <c r="R20" i="6"/>
  <c r="R18" i="6"/>
  <c r="R16" i="6"/>
  <c r="R14" i="6"/>
  <c r="R12" i="6"/>
  <c r="R10" i="6"/>
  <c r="R5" i="6"/>
  <c r="D53" i="8"/>
  <c r="O38" i="8"/>
  <c r="C10" i="8" l="1"/>
  <c r="S20" i="6"/>
  <c r="S18" i="6"/>
  <c r="S16" i="6"/>
  <c r="S14" i="6"/>
  <c r="S12" i="6"/>
  <c r="S10" i="6"/>
  <c r="S8" i="6"/>
  <c r="S5" i="6"/>
  <c r="S7" i="6"/>
  <c r="S6" i="6"/>
  <c r="S4" i="6"/>
  <c r="S21" i="6"/>
  <c r="S19" i="6"/>
  <c r="S17" i="6"/>
  <c r="S15" i="6"/>
  <c r="S13" i="6"/>
  <c r="S11" i="6"/>
  <c r="S9" i="6"/>
  <c r="D54" i="8"/>
  <c r="B26" i="2" s="1"/>
  <c r="O39" i="8"/>
  <c r="C11" i="8" l="1"/>
  <c r="D55" i="8"/>
  <c r="B31" i="2" s="1"/>
  <c r="O40" i="8"/>
  <c r="D56" i="8" l="1"/>
  <c r="B36" i="2" s="1"/>
  <c r="O41" i="8"/>
  <c r="D57" i="8" l="1"/>
  <c r="B41" i="2" s="1"/>
  <c r="O42" i="8"/>
  <c r="D58" i="8" l="1"/>
  <c r="B46" i="2" s="1"/>
  <c r="O43" i="8"/>
  <c r="D59" i="8" l="1"/>
  <c r="O44" i="8"/>
  <c r="D60" i="8" l="1"/>
  <c r="O45" i="8"/>
  <c r="D61" i="8" l="1"/>
  <c r="O46" i="8"/>
  <c r="D62" i="8" l="1"/>
  <c r="O47" i="8"/>
  <c r="D63" i="8" l="1"/>
  <c r="O48" i="8"/>
  <c r="D64" i="8" l="1"/>
  <c r="O49" i="8"/>
  <c r="D65" i="8" l="1"/>
  <c r="O50" i="8"/>
  <c r="D66" i="8" l="1"/>
  <c r="O51" i="8"/>
  <c r="D67" i="8" l="1"/>
  <c r="O52" i="8"/>
  <c r="D68" i="8" l="1"/>
  <c r="O53" i="8"/>
  <c r="D69" i="8" l="1"/>
  <c r="O54" i="8"/>
  <c r="K36" i="2" l="1"/>
  <c r="K46" i="2"/>
  <c r="K41" i="2"/>
  <c r="K31" i="2"/>
  <c r="K26" i="2"/>
  <c r="D70" i="8"/>
  <c r="O55" i="8"/>
  <c r="D71" i="8" l="1"/>
  <c r="O56" i="8"/>
  <c r="D72" i="8" l="1"/>
  <c r="O57" i="8"/>
  <c r="D73" i="8" l="1"/>
  <c r="O58" i="8"/>
  <c r="O59" i="8" l="1"/>
  <c r="D74" i="8"/>
  <c r="O60" i="8" l="1"/>
  <c r="D75" i="8"/>
  <c r="O61" i="8" l="1"/>
  <c r="D76" i="8"/>
  <c r="O62" i="8" l="1"/>
  <c r="D77" i="8"/>
  <c r="O63" i="8" l="1"/>
  <c r="D78" i="8"/>
  <c r="O64" i="8" l="1"/>
  <c r="D79" i="8"/>
  <c r="O65" i="8" l="1"/>
  <c r="D80" i="8"/>
  <c r="O66" i="8" l="1"/>
  <c r="D81" i="8"/>
  <c r="O67" i="8" l="1"/>
  <c r="D82" i="8"/>
  <c r="O68" i="8" l="1"/>
  <c r="D83" i="8"/>
  <c r="O69" i="8" l="1"/>
  <c r="D84" i="8"/>
  <c r="O70" i="8" l="1"/>
  <c r="D85" i="8"/>
  <c r="D86" i="8" l="1"/>
  <c r="O71" i="8"/>
  <c r="F14" i="2" l="1"/>
  <c r="G14" i="2" s="1"/>
  <c r="F13" i="2"/>
  <c r="G13" i="2" s="1"/>
  <c r="H13" i="2" s="1"/>
  <c r="O72" i="8"/>
  <c r="D87" i="8"/>
  <c r="F18" i="2" s="1"/>
  <c r="G18" i="2" s="1"/>
  <c r="H18" i="2" s="1"/>
  <c r="H14" i="2" l="1"/>
  <c r="I14" i="2" s="1"/>
  <c r="J14" i="2" s="1"/>
  <c r="F19" i="2"/>
  <c r="G19" i="2" s="1"/>
  <c r="H19" i="2" s="1"/>
  <c r="I19" i="2" s="1"/>
  <c r="K19" i="2" s="1"/>
  <c r="D88" i="8"/>
  <c r="O73" i="8"/>
  <c r="F25" i="2" l="1"/>
  <c r="G25" i="2" s="1"/>
  <c r="F26" i="2"/>
  <c r="G26" i="2" s="1"/>
  <c r="H26" i="2" s="1"/>
  <c r="K14" i="2"/>
  <c r="J19" i="2"/>
  <c r="O74" i="8"/>
  <c r="D89" i="8"/>
  <c r="F31" i="2" s="1"/>
  <c r="G31" i="2" s="1"/>
  <c r="H31" i="2" s="1"/>
  <c r="H25" i="2" l="1"/>
  <c r="J26" i="2" s="1"/>
  <c r="F30" i="2"/>
  <c r="G30" i="2" s="1"/>
  <c r="H30" i="2" s="1"/>
  <c r="J31" i="2" s="1"/>
  <c r="D90" i="8"/>
  <c r="F36" i="2" s="1"/>
  <c r="G36" i="2" s="1"/>
  <c r="H36" i="2" s="1"/>
  <c r="O75" i="8"/>
  <c r="I30" i="2" l="1"/>
  <c r="I25" i="2"/>
  <c r="O76" i="8"/>
  <c r="D92" i="8" s="1"/>
  <c r="F46" i="2" s="1"/>
  <c r="G46" i="2" s="1"/>
  <c r="H46" i="2" s="1"/>
  <c r="D91" i="8"/>
  <c r="F41" i="2" s="1"/>
  <c r="G41" i="2" s="1"/>
  <c r="H41" i="2" s="1"/>
  <c r="F35" i="2"/>
  <c r="G35" i="2" s="1"/>
  <c r="H35" i="2" s="1"/>
  <c r="J36" i="2" s="1"/>
  <c r="K25" i="2" l="1"/>
  <c r="K30" i="2"/>
  <c r="J30" i="2"/>
  <c r="I35" i="2"/>
  <c r="J25" i="2"/>
  <c r="F40" i="2"/>
  <c r="G40" i="2" s="1"/>
  <c r="H40" i="2" s="1"/>
  <c r="J41" i="2" s="1"/>
  <c r="F45" i="2"/>
  <c r="G45" i="2" s="1"/>
  <c r="H45" i="2" s="1"/>
  <c r="J46" i="2" s="1"/>
  <c r="K35" i="2" l="1"/>
  <c r="J35" i="2"/>
  <c r="I45" i="2"/>
  <c r="I40" i="2"/>
  <c r="K45" i="2" l="1"/>
  <c r="K40" i="2"/>
  <c r="J45" i="2"/>
  <c r="J40" i="2"/>
</calcChain>
</file>

<file path=xl/comments1.xml><?xml version="1.0" encoding="utf-8"?>
<comments xmlns="http://schemas.openxmlformats.org/spreadsheetml/2006/main">
  <authors>
    <author>Rex Cardan</author>
    <author>Rex Cardan, Ph.D.</author>
  </authors>
  <commentList>
    <comment ref="B4" authorId="0" shapeId="0">
      <text>
        <r>
          <rPr>
            <b/>
            <sz val="9"/>
            <color indexed="81"/>
            <rFont val="Tahoma"/>
            <family val="2"/>
          </rPr>
          <t>Rex Cardan:</t>
        </r>
        <r>
          <rPr>
            <sz val="9"/>
            <color indexed="81"/>
            <rFont val="Tahoma"/>
            <family val="2"/>
          </rPr>
          <t xml:space="preserve">
This logo button clears all the previous values (MACRO) to reset the sheet for new values</t>
        </r>
      </text>
    </comment>
    <comment ref="F12" authorId="0" shapeId="0">
      <text>
        <r>
          <rPr>
            <b/>
            <sz val="9"/>
            <color indexed="81"/>
            <rFont val="Tahoma"/>
            <family val="2"/>
          </rPr>
          <t>Rex Cardan:</t>
        </r>
        <r>
          <rPr>
            <sz val="9"/>
            <color indexed="81"/>
            <rFont val="Tahoma"/>
            <family val="2"/>
          </rPr>
          <t xml:space="preserve">
The correction values are dependent on the machine and electrometer selected at the top of the page.</t>
        </r>
      </text>
    </comment>
    <comment ref="H12" authorId="0" shapeId="0">
      <text>
        <r>
          <rPr>
            <b/>
            <sz val="9"/>
            <color indexed="81"/>
            <rFont val="Tahoma"/>
            <family val="2"/>
          </rPr>
          <t>Rex Cardan:</t>
        </r>
        <r>
          <rPr>
            <sz val="9"/>
            <color indexed="81"/>
            <rFont val="Tahoma"/>
            <family val="2"/>
          </rPr>
          <t xml:space="preserve">
The value depends on the ion chamber selected. It is looked up via the "Chambers" tab</t>
        </r>
      </text>
    </comment>
    <comment ref="I12" authorId="0" shapeId="0">
      <text>
        <r>
          <rPr>
            <b/>
            <sz val="9"/>
            <color indexed="81"/>
            <rFont val="Tahoma"/>
            <family val="2"/>
          </rPr>
          <t>Rex Cardan:</t>
        </r>
        <r>
          <rPr>
            <sz val="9"/>
            <color indexed="81"/>
            <rFont val="Tahoma"/>
            <family val="2"/>
          </rPr>
          <t xml:space="preserve">
Rex Cardan:
Looking at the current accelerator PDD (10) value from the "Machines" tab. Compares to within 2%</t>
        </r>
      </text>
    </comment>
    <comment ref="B25"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30"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35"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40"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45"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List>
</comments>
</file>

<file path=xl/comments2.xml><?xml version="1.0" encoding="utf-8"?>
<comments xmlns="http://schemas.openxmlformats.org/spreadsheetml/2006/main">
  <authors>
    <author>Rex Cardan, Ph.D.</author>
  </authors>
  <commentList>
    <comment ref="J2" authorId="0" shapeId="0">
      <text>
        <r>
          <rPr>
            <b/>
            <sz val="9"/>
            <color indexed="81"/>
            <rFont val="Tahoma"/>
            <family val="2"/>
          </rPr>
          <t>Rex Cardan, Ph.D.:</t>
        </r>
        <r>
          <rPr>
            <sz val="9"/>
            <color indexed="81"/>
            <rFont val="Tahoma"/>
            <family val="2"/>
          </rPr>
          <t xml:space="preserve">
These values will change based on the machine you choose on the Measure tab.</t>
        </r>
      </text>
    </comment>
  </commentList>
</comments>
</file>

<file path=xl/comments3.xml><?xml version="1.0" encoding="utf-8"?>
<comments xmlns="http://schemas.openxmlformats.org/spreadsheetml/2006/main">
  <authors>
    <author>Rex Cardan, Ph.D.</author>
    <author>Rex Cardan</author>
    <author>REX CARDAN</author>
  </authors>
  <commentList>
    <comment ref="K3" authorId="0" shapeId="0">
      <text>
        <r>
          <rPr>
            <b/>
            <sz val="9"/>
            <color indexed="81"/>
            <rFont val="Tahoma"/>
            <family val="2"/>
          </rPr>
          <t>Rex Cardan, Ph.D.:</t>
        </r>
        <r>
          <rPr>
            <sz val="9"/>
            <color indexed="81"/>
            <rFont val="Tahoma"/>
            <family val="2"/>
          </rPr>
          <t xml:space="preserve">
This is used to check the energy ratio</t>
        </r>
      </text>
    </comment>
    <comment ref="M3" authorId="0" shapeId="0">
      <text>
        <r>
          <rPr>
            <b/>
            <sz val="9"/>
            <color indexed="81"/>
            <rFont val="Tahoma"/>
            <family val="2"/>
          </rPr>
          <t>Rex Cardan, Ph.D.:</t>
        </r>
        <r>
          <rPr>
            <sz val="9"/>
            <color indexed="81"/>
            <rFont val="Tahoma"/>
            <family val="2"/>
          </rPr>
          <t xml:space="preserve">
This is the clinical TMR(10,10x10) or PDD (10,10x10) that is
 used to move the dose from 10cm depth to dmax. If the machine is calibrated for 1cHy/MU at dmax, this value should be the TMR (10), otherwise it should be the PDD(10).</t>
        </r>
      </text>
    </comment>
    <comment ref="O3" authorId="0" shapeId="0">
      <text>
        <r>
          <rPr>
            <b/>
            <sz val="9"/>
            <color indexed="81"/>
            <rFont val="Tahoma"/>
            <family val="2"/>
          </rPr>
          <t>Rex Cardan, Ph.D.:</t>
        </r>
        <r>
          <rPr>
            <sz val="9"/>
            <color indexed="81"/>
            <rFont val="Tahoma"/>
            <family val="2"/>
          </rPr>
          <t xml:space="preserve">
This exists to correct for setup differences between SSD and Isocenter. If it is a TMR calibrated machine with 100 cm SSD setup, the ISF would be (110/100)^2. If it is a SSD calibrated machine, ISF = 1 and PDD(10) should be used in the TMR column.</t>
        </r>
      </text>
    </comment>
    <comment ref="AV3" authorId="0" shapeId="0">
      <text>
        <r>
          <rPr>
            <b/>
            <sz val="9"/>
            <color indexed="81"/>
            <rFont val="Tahoma"/>
            <family val="2"/>
          </rPr>
          <t>Rex Cardan, Ph.D.:</t>
        </r>
        <r>
          <rPr>
            <sz val="9"/>
            <color indexed="81"/>
            <rFont val="Tahoma"/>
            <family val="2"/>
          </rPr>
          <t xml:space="preserve">
These values are interpolated between the R80 and R90 values.</t>
        </r>
      </text>
    </comment>
    <comment ref="BA3" authorId="0" shapeId="0">
      <text>
        <r>
          <rPr>
            <b/>
            <sz val="9"/>
            <color indexed="81"/>
            <rFont val="Tahoma"/>
            <family val="2"/>
          </rPr>
          <t>Rex Cardan, Ph.D.:</t>
        </r>
        <r>
          <rPr>
            <sz val="9"/>
            <color indexed="81"/>
            <rFont val="Tahoma"/>
            <family val="2"/>
          </rPr>
          <t xml:space="preserve">
These values are interpolated between the R80 and R50 values.</t>
        </r>
      </text>
    </comment>
    <comment ref="BF3" authorId="0" shapeId="0">
      <text>
        <r>
          <rPr>
            <b/>
            <sz val="9"/>
            <color indexed="81"/>
            <rFont val="Tahoma"/>
            <family val="2"/>
          </rPr>
          <t>Rex Cardan, Ph.D.:</t>
        </r>
        <r>
          <rPr>
            <sz val="9"/>
            <color indexed="81"/>
            <rFont val="Tahoma"/>
            <family val="2"/>
          </rPr>
          <t xml:space="preserve">
This is in place to adjust the electron measurements in the case the A10 cone is not used. If the A10 is used, just put in 1.0</t>
        </r>
      </text>
    </comment>
    <comment ref="BK5" authorId="1" shapeId="0">
      <text>
        <r>
          <rPr>
            <sz val="8"/>
            <color indexed="81"/>
            <rFont val="Tahoma"/>
            <family val="2"/>
          </rPr>
          <t>Correction measurements taken by Rex Cardan, Ph.D. on 4/14/2014 using the Extradin A12 (XA132053) - RMC chamber.</t>
        </r>
      </text>
    </comment>
    <comment ref="BL5" authorId="1" shapeId="0">
      <text>
        <r>
          <rPr>
            <sz val="8"/>
            <color indexed="81"/>
            <rFont val="Tahoma"/>
            <family val="2"/>
          </rPr>
          <t>Correction measurements taken by Rex Cardan, Ph.D. on 4/14/2014 using the Extradin A12 (XA132053) - RMC chamber.</t>
        </r>
      </text>
    </comment>
    <comment ref="BM5" authorId="1" shapeId="0">
      <text>
        <r>
          <rPr>
            <sz val="8"/>
            <color indexed="81"/>
            <rFont val="Tahoma"/>
            <family val="2"/>
          </rPr>
          <t>Correction measurements taken by Rex Cardan, Ph.D. on 4/14/2014 using the Extradin A12 (XA132053) - RMC chamber.</t>
        </r>
      </text>
    </comment>
    <comment ref="BN5" authorId="1" shapeId="0">
      <text>
        <r>
          <rPr>
            <sz val="8"/>
            <color indexed="81"/>
            <rFont val="Tahoma"/>
            <family val="2"/>
          </rPr>
          <t>Correction measurements taken by Rex Cardan, Ph.D. on 4/14/2014 using the Extradin A12 (XA132053) - RMC chamber.</t>
        </r>
      </text>
    </comment>
    <comment ref="BO5" authorId="1" shapeId="0">
      <text>
        <r>
          <rPr>
            <sz val="8"/>
            <color indexed="81"/>
            <rFont val="Tahoma"/>
            <family val="2"/>
          </rPr>
          <t>Correction measurements taken by Rex Cardan, Ph.D. on 4/14/2014 using the Extradin A12 (XA132053) - RMC chamber.</t>
        </r>
      </text>
    </comment>
    <comment ref="BP5" authorId="1" shapeId="0">
      <text>
        <r>
          <rPr>
            <sz val="8"/>
            <color indexed="81"/>
            <rFont val="Tahoma"/>
            <family val="2"/>
          </rPr>
          <t>Correction measurements taken by Rex Cardan, Ph.D. on 4/14/2014 using the Extradin A12 (XA132053) - RMC chamber.</t>
        </r>
      </text>
    </comment>
    <comment ref="BQ5" authorId="1" shapeId="0">
      <text>
        <r>
          <rPr>
            <sz val="8"/>
            <color indexed="81"/>
            <rFont val="Tahoma"/>
            <family val="2"/>
          </rPr>
          <t>Correction measurements taken by Rex Cardan, Ph.D. on 4/14/2014 using the Extradin A12 (XA132053) - RMC chamber.</t>
        </r>
      </text>
    </comment>
    <comment ref="BR5" authorId="1" shapeId="0">
      <text>
        <r>
          <rPr>
            <sz val="8"/>
            <color indexed="81"/>
            <rFont val="Tahoma"/>
            <family val="2"/>
          </rPr>
          <t>Correction measurements taken by Rex Cardan, Ph.D. on 4/14/2014 using the Extradin A12 (XA132053) - RMC chamber.</t>
        </r>
      </text>
    </comment>
    <comment ref="BS5" authorId="1" shapeId="0">
      <text>
        <r>
          <rPr>
            <sz val="8"/>
            <color indexed="81"/>
            <rFont val="Tahoma"/>
            <family val="2"/>
          </rPr>
          <t>Correction measurements taken by Rex Cardan, Ph.D. on 4/14/2014 using the Extradin A12 (XA132053) - RMC chamber.</t>
        </r>
      </text>
    </comment>
    <comment ref="BT5" authorId="1" shapeId="0">
      <text>
        <r>
          <rPr>
            <sz val="8"/>
            <color indexed="81"/>
            <rFont val="Tahoma"/>
            <family val="2"/>
          </rPr>
          <t>Correction measurements taken by Rex Cardan, Ph.D. on 4/14/2014 using the Extradin A12 (XA132053) - RMC chamber.</t>
        </r>
      </text>
    </comment>
    <comment ref="BU5" authorId="1" shapeId="0">
      <text>
        <r>
          <rPr>
            <sz val="8"/>
            <color indexed="81"/>
            <rFont val="Tahoma"/>
            <family val="2"/>
          </rPr>
          <t>Correction measurements taken by Rex Cardan, Ph.D. on 4/14/2014 using the Extradin A12 (XA132053) - RMC chamber.</t>
        </r>
      </text>
    </comment>
    <comment ref="BV5" authorId="1" shapeId="0">
      <text>
        <r>
          <rPr>
            <sz val="8"/>
            <color indexed="81"/>
            <rFont val="Tahoma"/>
            <family val="2"/>
          </rPr>
          <t>Correction measurements taken by Rex Cardan, Ph.D. on 4/14/2014 using the Extradin A12 (XA132053) - RMC chamber.</t>
        </r>
      </text>
    </comment>
    <comment ref="BW5" authorId="1" shapeId="0">
      <text>
        <r>
          <rPr>
            <sz val="8"/>
            <color indexed="81"/>
            <rFont val="Tahoma"/>
            <family val="2"/>
          </rPr>
          <t>Correction measurements taken by Rex Cardan, Ph.D. on 4/14/2014 using the Extradin A12 (XA132053) - RMC chamber.</t>
        </r>
      </text>
    </comment>
    <comment ref="BX5" authorId="1" shapeId="0">
      <text>
        <r>
          <rPr>
            <sz val="8"/>
            <color indexed="81"/>
            <rFont val="Tahoma"/>
            <family val="2"/>
          </rPr>
          <t>Correction measurements taken by Rex Cardan, Ph.D. on 4/14/2014 using the Extradin A12 (XA132053) - RMC chamber.</t>
        </r>
      </text>
    </comment>
    <comment ref="BK7" authorId="2" shapeId="0">
      <text>
        <r>
          <rPr>
            <sz val="9"/>
            <color indexed="81"/>
            <rFont val="Tahoma"/>
            <family val="2"/>
          </rPr>
          <t>Correction measurements taken by Rex Cardan, Ph.D. on 3/10/2014 using the Extradin A12 (XA132053) - RMC chamber.</t>
        </r>
      </text>
    </comment>
    <comment ref="BL7" authorId="2" shapeId="0">
      <text>
        <r>
          <rPr>
            <sz val="9"/>
            <color indexed="81"/>
            <rFont val="Tahoma"/>
            <family val="2"/>
          </rPr>
          <t>Correction measurements taken by Rex Cardan, Ph.D. on 3/10/2014 using the Extradin A12 (XA132053) - RMC chamber.</t>
        </r>
      </text>
    </comment>
    <comment ref="BM7" authorId="2" shapeId="0">
      <text>
        <r>
          <rPr>
            <sz val="9"/>
            <color indexed="81"/>
            <rFont val="Tahoma"/>
            <family val="2"/>
          </rPr>
          <t>Correction measurements taken by Rex Cardan, Ph.D. on 3/10/2014 using the Extradin A12 (XA132053) - RMC chamber.</t>
        </r>
      </text>
    </comment>
    <comment ref="BN7" authorId="2" shapeId="0">
      <text>
        <r>
          <rPr>
            <sz val="9"/>
            <color indexed="81"/>
            <rFont val="Tahoma"/>
            <family val="2"/>
          </rPr>
          <t>Correction measurements taken by Rex Cardan, Ph.D. on 3/10/2014 using the Extradin A12 (XA132053) - RMC chamber.</t>
        </r>
      </text>
    </comment>
    <comment ref="BO7" authorId="2" shapeId="0">
      <text>
        <r>
          <rPr>
            <sz val="9"/>
            <color indexed="81"/>
            <rFont val="Tahoma"/>
            <family val="2"/>
          </rPr>
          <t>Correction measurements taken by Rex Cardan, Ph.D. on 3/10/2014 using the Extradin A12 (XA132053) - RMC chamber.</t>
        </r>
      </text>
    </comment>
    <comment ref="BP7" authorId="2" shapeId="0">
      <text>
        <r>
          <rPr>
            <sz val="9"/>
            <color indexed="81"/>
            <rFont val="Tahoma"/>
            <family val="2"/>
          </rPr>
          <t>Correction measurements taken by Rex Cardan, Ph.D. on 3/10/2014 using the Extradin A12 (XA132053) - RMC chamber.</t>
        </r>
      </text>
    </comment>
    <comment ref="BQ7" authorId="2" shapeId="0">
      <text>
        <r>
          <rPr>
            <sz val="9"/>
            <color indexed="81"/>
            <rFont val="Tahoma"/>
            <family val="2"/>
          </rPr>
          <t>Correction measurements taken by Rex Cardan, Ph.D. on 3/10/2014 using the Extradin A12 (XA132053) - RMC chamber.</t>
        </r>
      </text>
    </comment>
    <comment ref="BR7" authorId="2" shapeId="0">
      <text>
        <r>
          <rPr>
            <sz val="9"/>
            <color indexed="81"/>
            <rFont val="Tahoma"/>
            <family val="2"/>
          </rPr>
          <t>Correction measurements taken by Rex Cardan, Ph.D. on 3/10/2014 using the Extradin A12 (XA132053) - RMC chamber.</t>
        </r>
      </text>
    </comment>
    <comment ref="BS7" authorId="2" shapeId="0">
      <text>
        <r>
          <rPr>
            <sz val="9"/>
            <color indexed="81"/>
            <rFont val="Tahoma"/>
            <family val="2"/>
          </rPr>
          <t>Correction measurements taken by Rex Cardan, Ph.D. on 3/10/2014 using the Extradin A12 (XA132053) - RMC chamber.</t>
        </r>
      </text>
    </comment>
    <comment ref="BT7" authorId="2" shapeId="0">
      <text>
        <r>
          <rPr>
            <sz val="9"/>
            <color indexed="81"/>
            <rFont val="Tahoma"/>
            <family val="2"/>
          </rPr>
          <t>Correction measurements taken by Rex Cardan, Ph.D. on 3/10/2014 using the Extradin A12 (XA132053) - RMC chamber.</t>
        </r>
      </text>
    </comment>
    <comment ref="BU7" authorId="2" shapeId="0">
      <text>
        <r>
          <rPr>
            <sz val="9"/>
            <color indexed="81"/>
            <rFont val="Tahoma"/>
            <family val="2"/>
          </rPr>
          <t>Correction measurements taken by Rex Cardan, Ph.D. on 3/10/2014 using the Extradin A12 (XA132053) - RMC chamber.</t>
        </r>
      </text>
    </comment>
    <comment ref="BV7" authorId="2" shapeId="0">
      <text>
        <r>
          <rPr>
            <sz val="9"/>
            <color indexed="81"/>
            <rFont val="Tahoma"/>
            <family val="2"/>
          </rPr>
          <t>Correction measurements taken by Rex Cardan, Ph.D. on 3/10/2014 using the Extradin A12 (XA132053) - RMC chamber.</t>
        </r>
      </text>
    </comment>
    <comment ref="BW7" authorId="2" shapeId="0">
      <text>
        <r>
          <rPr>
            <sz val="9"/>
            <color indexed="81"/>
            <rFont val="Tahoma"/>
            <family val="2"/>
          </rPr>
          <t>Correction measurements taken by Rex Cardan, Ph.D. on 3/10/2014 using the Extradin A12 (XA132053) - RMC chamber.</t>
        </r>
      </text>
    </comment>
    <comment ref="BX7" authorId="2" shapeId="0">
      <text>
        <r>
          <rPr>
            <sz val="9"/>
            <color indexed="81"/>
            <rFont val="Tahoma"/>
            <family val="2"/>
          </rPr>
          <t>Correction measurements taken by Rex Cardan, Ph.D. on 3/10/2014 using the Extradin A12 (XA132053) - RMC chamber.</t>
        </r>
      </text>
    </comment>
  </commentList>
</comments>
</file>

<file path=xl/comments4.xml><?xml version="1.0" encoding="utf-8"?>
<comments xmlns="http://schemas.openxmlformats.org/spreadsheetml/2006/main">
  <authors>
    <author>Rex Cardan, Ph.D.</author>
  </authors>
  <commentList>
    <comment ref="F3" authorId="0" shapeId="0">
      <text>
        <r>
          <rPr>
            <b/>
            <sz val="9"/>
            <color indexed="81"/>
            <rFont val="Tahoma"/>
            <family val="2"/>
          </rPr>
          <t>Rex Cardan, Ph.D.:</t>
        </r>
        <r>
          <rPr>
            <sz val="9"/>
            <color indexed="81"/>
            <rFont val="Tahoma"/>
            <family val="2"/>
          </rPr>
          <t xml:space="preserve">
Assumption is that you will use the -300V for measurements. Invert measurements if positive voltage is used.</t>
        </r>
      </text>
    </comment>
  </commentList>
</comments>
</file>

<file path=xl/comments5.xml><?xml version="1.0" encoding="utf-8"?>
<comments xmlns="http://schemas.openxmlformats.org/spreadsheetml/2006/main">
  <authors>
    <author>Rex Cardan, Ph.D.</author>
  </authors>
  <commentList>
    <comment ref="B27" authorId="0" shapeId="0">
      <text>
        <r>
          <rPr>
            <b/>
            <sz val="9"/>
            <color indexed="81"/>
            <rFont val="Tahoma"/>
            <family val="2"/>
          </rPr>
          <t>Rex Cardan, Ph.D.:</t>
        </r>
        <r>
          <rPr>
            <sz val="9"/>
            <color indexed="81"/>
            <rFont val="Tahoma"/>
            <family val="2"/>
          </rPr>
          <t xml:space="preserve">
This is used to check the energy ratio</t>
        </r>
      </text>
    </comment>
    <comment ref="B29" authorId="0" shapeId="0">
      <text>
        <r>
          <rPr>
            <b/>
            <sz val="9"/>
            <color indexed="81"/>
            <rFont val="Tahoma"/>
            <family val="2"/>
          </rPr>
          <t>Rex Cardan, Ph.D.:</t>
        </r>
        <r>
          <rPr>
            <sz val="9"/>
            <color indexed="81"/>
            <rFont val="Tahoma"/>
            <family val="2"/>
          </rPr>
          <t xml:space="preserve">
This is the clinical TMR(10,10x10) or PDD (10,10x10) that is
 used to move the dose from 10cm depth to dmax. If the machine is calibrated for 1cHy/MU at dmax, this value should be the TMR (10), otherwise it should be the PDD(10).</t>
        </r>
      </text>
    </comment>
    <comment ref="B31" authorId="0" shapeId="0">
      <text>
        <r>
          <rPr>
            <b/>
            <sz val="9"/>
            <color indexed="81"/>
            <rFont val="Tahoma"/>
            <family val="2"/>
          </rPr>
          <t>Rex Cardan, Ph.D.:</t>
        </r>
        <r>
          <rPr>
            <sz val="9"/>
            <color indexed="81"/>
            <rFont val="Tahoma"/>
            <family val="2"/>
          </rPr>
          <t xml:space="preserve">
This exists to correct for setup differences between SSD and Isocenter. If it is a TMR calibrated machine with 100 cm SSD setup, the ISF would be (110/100)^2. If it is a SSD calibrated machine, ISF = 1 and PDD(10) should be used in the TMR column.</t>
        </r>
      </text>
    </comment>
    <comment ref="B64" authorId="0" shapeId="0">
      <text>
        <r>
          <rPr>
            <b/>
            <sz val="9"/>
            <color indexed="81"/>
            <rFont val="Tahoma"/>
            <family val="2"/>
          </rPr>
          <t>Rex Cardan, Ph.D.:</t>
        </r>
        <r>
          <rPr>
            <sz val="9"/>
            <color indexed="81"/>
            <rFont val="Tahoma"/>
            <family val="2"/>
          </rPr>
          <t xml:space="preserve">
These values are interpolated between the R80 and R90 values.</t>
        </r>
      </text>
    </comment>
    <comment ref="B69" authorId="0" shapeId="0">
      <text>
        <r>
          <rPr>
            <b/>
            <sz val="9"/>
            <color indexed="81"/>
            <rFont val="Tahoma"/>
            <family val="2"/>
          </rPr>
          <t>Rex Cardan, Ph.D.:</t>
        </r>
        <r>
          <rPr>
            <sz val="9"/>
            <color indexed="81"/>
            <rFont val="Tahoma"/>
            <family val="2"/>
          </rPr>
          <t xml:space="preserve">
These values are interpolated between the R80 and R50 values.</t>
        </r>
      </text>
    </comment>
    <comment ref="B74" authorId="0" shapeId="0">
      <text>
        <r>
          <rPr>
            <b/>
            <sz val="9"/>
            <color indexed="81"/>
            <rFont val="Tahoma"/>
            <family val="2"/>
          </rPr>
          <t>Rex Cardan, Ph.D.:</t>
        </r>
        <r>
          <rPr>
            <sz val="9"/>
            <color indexed="81"/>
            <rFont val="Tahoma"/>
            <family val="2"/>
          </rPr>
          <t xml:space="preserve">
This is in place to adjust the electron measurements in the case the A10 cone is not used. If the A10 is used, just put in 1.0</t>
        </r>
      </text>
    </comment>
  </commentList>
</comments>
</file>

<file path=xl/comments6.xml><?xml version="1.0" encoding="utf-8"?>
<comments xmlns="http://schemas.openxmlformats.org/spreadsheetml/2006/main">
  <authors>
    <author>Rex Cardan</author>
  </authors>
  <commentList>
    <comment ref="D5" authorId="0" shapeId="0">
      <text>
        <r>
          <rPr>
            <b/>
            <sz val="8"/>
            <color indexed="81"/>
            <rFont val="Tahoma"/>
            <family val="2"/>
          </rPr>
          <t>Rex Cardan:</t>
        </r>
        <r>
          <rPr>
            <sz val="8"/>
            <color indexed="81"/>
            <rFont val="Tahoma"/>
            <family val="2"/>
          </rPr>
          <t xml:space="preserve">
Difference between current measured pressure and airport pressure (corrected).</t>
        </r>
      </text>
    </comment>
  </commentList>
</comments>
</file>

<file path=xl/connections.xml><?xml version="1.0" encoding="utf-8"?>
<connections xmlns="http://schemas.openxmlformats.org/spreadsheetml/2006/main">
  <connection id="1" name="Connection" type="4" refreshedVersion="4" background="1" saveData="1">
    <webPr sourceData="1" parsePre="1" consecutive="1" xl2000="1" url="http://w1.weather.gov/obhistory/KBHM.html" htmlTables="1">
      <tables count="1">
        <x v="4"/>
      </tables>
    </webPr>
  </connection>
</connections>
</file>

<file path=xl/sharedStrings.xml><?xml version="1.0" encoding="utf-8"?>
<sst xmlns="http://schemas.openxmlformats.org/spreadsheetml/2006/main" count="849" uniqueCount="248">
  <si>
    <t>OK?</t>
  </si>
  <si>
    <t>Electrons</t>
  </si>
  <si>
    <t>Depth (cm)</t>
  </si>
  <si>
    <t>Photons</t>
  </si>
  <si>
    <t>Pion</t>
  </si>
  <si>
    <t>Bias</t>
  </si>
  <si>
    <t>Read 1</t>
  </si>
  <si>
    <t>Read 2</t>
  </si>
  <si>
    <t>Average</t>
  </si>
  <si>
    <t>6E</t>
  </si>
  <si>
    <t>9E</t>
  </si>
  <si>
    <t>12E</t>
  </si>
  <si>
    <t>15E</t>
  </si>
  <si>
    <t>18E</t>
  </si>
  <si>
    <t>Ppol</t>
  </si>
  <si>
    <t>Pgrad</t>
  </si>
  <si>
    <t>R50s</t>
  </si>
  <si>
    <t>I50s</t>
  </si>
  <si>
    <t>dref (cm)</t>
  </si>
  <si>
    <t>dref+0.5rcav (cm)</t>
  </si>
  <si>
    <t>rcav (mm) =</t>
  </si>
  <si>
    <t>E</t>
  </si>
  <si>
    <t>R50 Calculation</t>
  </si>
  <si>
    <t>dref</t>
  </si>
  <si>
    <t>dref+0.5rcav</t>
  </si>
  <si>
    <t>Depth</t>
  </si>
  <si>
    <t>kQ</t>
  </si>
  <si>
    <t>Dose Conversion</t>
  </si>
  <si>
    <t>Temperature</t>
  </si>
  <si>
    <t>Pressure</t>
  </si>
  <si>
    <t>Physicist</t>
  </si>
  <si>
    <t>Date</t>
  </si>
  <si>
    <t>C</t>
  </si>
  <si>
    <t>mmHg</t>
  </si>
  <si>
    <t>Energy Check</t>
  </si>
  <si>
    <t>Ctp</t>
  </si>
  <si>
    <t>kecal</t>
  </si>
  <si>
    <t>k'R50</t>
  </si>
  <si>
    <t>Dose Conversion (kR50)</t>
  </si>
  <si>
    <t>M(dref) /PDD(dref)</t>
  </si>
  <si>
    <t>%dd(10)x</t>
  </si>
  <si>
    <t>kQ Calc (from Table 1 - TG51)</t>
  </si>
  <si>
    <t>rcav (cm)</t>
  </si>
  <si>
    <t>Chamber Label</t>
  </si>
  <si>
    <t>Machine Label</t>
  </si>
  <si>
    <t>iX HSF 5326 AR</t>
  </si>
  <si>
    <t>21EX 1833 HSF AR</t>
  </si>
  <si>
    <t>High X</t>
  </si>
  <si>
    <t>Low X</t>
  </si>
  <si>
    <t>E1</t>
  </si>
  <si>
    <t>E2</t>
  </si>
  <si>
    <t>E3</t>
  </si>
  <si>
    <t>E4</t>
  </si>
  <si>
    <t>E5</t>
  </si>
  <si>
    <t>ENERGIES SUPPORTED</t>
  </si>
  <si>
    <t>ISF</t>
  </si>
  <si>
    <t>Inv. Sq.</t>
  </si>
  <si>
    <t>Electron Depth Dose at dref</t>
  </si>
  <si>
    <t>I50 (cm)</t>
  </si>
  <si>
    <t>CHAMBERS</t>
  </si>
  <si>
    <t>Ndw-Co60</t>
  </si>
  <si>
    <t>*Ndw - Co60</t>
  </si>
  <si>
    <t>*kQ</t>
  </si>
  <si>
    <t>CORRECTION FACTOR WORKSHEET (MACHINE AND CHAMBER SPECIFIC)</t>
  </si>
  <si>
    <t>Selected Chamber</t>
  </si>
  <si>
    <t>Selection Index</t>
  </si>
  <si>
    <t>Here For Convenience (Not Used)</t>
  </si>
  <si>
    <t>dmax (cm, SSD,10x10)</t>
  </si>
  <si>
    <t>Name</t>
  </si>
  <si>
    <t>Rex Cardan, Ph.D.</t>
  </si>
  <si>
    <t>PHYSICISTS</t>
  </si>
  <si>
    <t>Mraw (nC)</t>
  </si>
  <si>
    <t>M (nC)</t>
  </si>
  <si>
    <t>SAD Type Calibration</t>
  </si>
  <si>
    <t>Number of MU Used</t>
  </si>
  <si>
    <t>Output (cGy/MU)</t>
  </si>
  <si>
    <t>Extradin A12 (XA023335) - AR</t>
  </si>
  <si>
    <t>PTW TN30013 (1937) - RMC</t>
  </si>
  <si>
    <t>R80 (cm, A10/A20 [for high E])</t>
  </si>
  <si>
    <t>ELECTROMETERS</t>
  </si>
  <si>
    <t>Electrometer Label</t>
  </si>
  <si>
    <t>Electrometer Factor</t>
  </si>
  <si>
    <t>Selected Electrometer</t>
  </si>
  <si>
    <t>Factor</t>
  </si>
  <si>
    <t>Mraw*Ppol*Pion*Ctp*Pelec</t>
  </si>
  <si>
    <t>PTW 10005 (T111067|High Mode) -AR</t>
  </si>
  <si>
    <t>SI Max 4000  (E021141 | High) - RMC</t>
  </si>
  <si>
    <t>*kecal*k'R50/CF</t>
  </si>
  <si>
    <t>Cone Factor</t>
  </si>
  <si>
    <t>Clinical PDD(10)</t>
  </si>
  <si>
    <t>Clinical TMR|PDD(10)</t>
  </si>
  <si>
    <t>R50 (cm, A10/A20 [for high E])</t>
  </si>
  <si>
    <t>R90 (cm, A10/A20 [for high E])</t>
  </si>
  <si>
    <t>MACHINES                                                                                                                                                                                                   MACHINES                                                                                                                                                                 MACHINES</t>
  </si>
  <si>
    <t>PHOTON INFORMATION</t>
  </si>
  <si>
    <t>BASIC INFORMATION</t>
  </si>
  <si>
    <t>ELECTRON INFORMATION</t>
  </si>
  <si>
    <t>CORRECTION INFORMATION</t>
  </si>
  <si>
    <t>Energy Tolerances (R80-2mm)</t>
  </si>
  <si>
    <t>Energy Tolerances (R80+2mm)</t>
  </si>
  <si>
    <t>D</t>
  </si>
  <si>
    <t>a</t>
  </si>
  <si>
    <t>t</t>
  </si>
  <si>
    <t>e</t>
  </si>
  <si>
    <t>Time</t>
  </si>
  <si>
    <t>Wind</t>
  </si>
  <si>
    <t>(mph)</t>
  </si>
  <si>
    <t>Vis.</t>
  </si>
  <si>
    <t>(mi.)</t>
  </si>
  <si>
    <t>Weather</t>
  </si>
  <si>
    <t>Sky Cond.</t>
  </si>
  <si>
    <t>Temperature (ºF)</t>
  </si>
  <si>
    <t>Relative</t>
  </si>
  <si>
    <t>Humidity</t>
  </si>
  <si>
    <t>Chill</t>
  </si>
  <si>
    <t>(°F)</t>
  </si>
  <si>
    <t>Heat</t>
  </si>
  <si>
    <t>Index</t>
  </si>
  <si>
    <t>Precipitation (in.)</t>
  </si>
  <si>
    <t>Air</t>
  </si>
  <si>
    <t>Dwpt</t>
  </si>
  <si>
    <t>6 hour</t>
  </si>
  <si>
    <t>altimeter</t>
  </si>
  <si>
    <t>(in)</t>
  </si>
  <si>
    <t>sea level</t>
  </si>
  <si>
    <t>(mb)</t>
  </si>
  <si>
    <t>1 hr</t>
  </si>
  <si>
    <t>3 hr</t>
  </si>
  <si>
    <t>6 hr</t>
  </si>
  <si>
    <t>Max.</t>
  </si>
  <si>
    <t>Min.</t>
  </si>
  <si>
    <t>Calm</t>
  </si>
  <si>
    <t>Fair</t>
  </si>
  <si>
    <t>CLR</t>
  </si>
  <si>
    <t>NA</t>
  </si>
  <si>
    <t>A Few Clouds</t>
  </si>
  <si>
    <t>Mostly Cloudy</t>
  </si>
  <si>
    <t>Partly Cloudy</t>
  </si>
  <si>
    <t>(in.)</t>
  </si>
  <si>
    <t>Acton Road</t>
  </si>
  <si>
    <t>HSROC</t>
  </si>
  <si>
    <t>From WEB (http://w1.weather.gov/obhistory/KBHM.html)</t>
  </si>
  <si>
    <t>Δ</t>
  </si>
  <si>
    <t>P</t>
  </si>
  <si>
    <t>Richard Popple, Ph.D.</t>
  </si>
  <si>
    <t>Prem Pareek, Ph.D.</t>
  </si>
  <si>
    <t>Ivan Brezovich, Ph.D.</t>
  </si>
  <si>
    <t>To update, click on "Data" tab up top and then click the "Refresh All" button</t>
  </si>
  <si>
    <t>Last ADCL Calibration</t>
  </si>
  <si>
    <t>Calibration Date</t>
  </si>
  <si>
    <t>Extradin A12 (XA022324) - HSROC</t>
  </si>
  <si>
    <t>Jun Duan, Ph.D.</t>
  </si>
  <si>
    <t>Sui Shen, Ph.D.</t>
  </si>
  <si>
    <t>Xingen, Wu, Ph.D.</t>
  </si>
  <si>
    <t>iX 5867 RMC</t>
  </si>
  <si>
    <t>I50 (cm, A10/A20 [for high E])</t>
  </si>
  <si>
    <t>I80 (cm, A10/A20 [for high E])</t>
  </si>
  <si>
    <t>SAD Calibrated</t>
  </si>
  <si>
    <t>Extradin A12 (XA132053) - RMC</t>
  </si>
  <si>
    <t>TG 51 Monthly Calibration |</t>
  </si>
  <si>
    <t>SI Max 4000 PLUS - AR</t>
  </si>
  <si>
    <t>The point of this page is to provide a way to check your pressure reading. It works by calling into the local pressure reading at sea level (via the internet) and correcting that to both HSROC and TKC AR altitudes. The delta values are the difference from the "MEASURE" tab.</t>
  </si>
  <si>
    <t>The point of this page is to provide a tool for calculating and storing correction values Pion and Ppol during the annual QA. When you click the button at the bottom "PUSH TO SELECTED…." it stores all of these correction values for monthly use for the year. Specifically it stores them on the "Machines" tab under the selected accelerator from the "Measure" tab. A Pgrad tool is included but shifts are performed to the chamber in this worksheet so Pgrad is not actually used.</t>
  </si>
  <si>
    <t>The purpose of this tab is to maintain a list of physicists which can be selected on the "Measure" tab. If a new name is added, it will be available via the dropdown box on the "Measure" tab.</t>
  </si>
  <si>
    <t>The purpose of this tab is to keep a list of electrometers which can be used for the monthly QA. The date of the most recent ADCL calibration is also stored, so as to alert a user on the "Measure" tab when 1) It is a few months away from needed calibration and 2) Its calibration is expired</t>
  </si>
  <si>
    <t>(cdt)</t>
  </si>
  <si>
    <t>NE 6</t>
  </si>
  <si>
    <t>N 5</t>
  </si>
  <si>
    <t>N 6</t>
  </si>
  <si>
    <t>E 6</t>
  </si>
  <si>
    <t>Vrbl 3</t>
  </si>
  <si>
    <t>W 5</t>
  </si>
  <si>
    <t>NE 3</t>
  </si>
  <si>
    <t>W 7</t>
  </si>
  <si>
    <t>BKN090</t>
  </si>
  <si>
    <t>SW 5</t>
  </si>
  <si>
    <t>S 6</t>
  </si>
  <si>
    <t>FEW090 BKN095</t>
  </si>
  <si>
    <t>Overcast</t>
  </si>
  <si>
    <t>OVC090</t>
  </si>
  <si>
    <t>OVC095</t>
  </si>
  <si>
    <t>OVC100</t>
  </si>
  <si>
    <t>BKN100</t>
  </si>
  <si>
    <t>N 7</t>
  </si>
  <si>
    <t>NW 7</t>
  </si>
  <si>
    <t>N 8</t>
  </si>
  <si>
    <t>N 12 G 18</t>
  </si>
  <si>
    <t>NW 13 G 22</t>
  </si>
  <si>
    <t>NW 10 G 18</t>
  </si>
  <si>
    <t>NW 9 G 17</t>
  </si>
  <si>
    <t>NW 12</t>
  </si>
  <si>
    <t>FEW048</t>
  </si>
  <si>
    <t>N 10</t>
  </si>
  <si>
    <t>FEW039</t>
  </si>
  <si>
    <t>N 15</t>
  </si>
  <si>
    <t>N 16</t>
  </si>
  <si>
    <t>FEW032</t>
  </si>
  <si>
    <t>N 9</t>
  </si>
  <si>
    <t>FEW120</t>
  </si>
  <si>
    <t>N 12</t>
  </si>
  <si>
    <t>NW 6</t>
  </si>
  <si>
    <t>FEW130</t>
  </si>
  <si>
    <t>NW 3</t>
  </si>
  <si>
    <t>SCT120</t>
  </si>
  <si>
    <t>BKN110</t>
  </si>
  <si>
    <t>SCT038</t>
  </si>
  <si>
    <t>NW 13</t>
  </si>
  <si>
    <t>OVC036</t>
  </si>
  <si>
    <t>N 14</t>
  </si>
  <si>
    <t>OVC031</t>
  </si>
  <si>
    <t>BKN029 OVC036</t>
  </si>
  <si>
    <t>NW 16 G 24</t>
  </si>
  <si>
    <t>OVC034</t>
  </si>
  <si>
    <t>NW 12 G 22</t>
  </si>
  <si>
    <t>BKN025 OVC034</t>
  </si>
  <si>
    <t>SCT022 BKN030 OVC036</t>
  </si>
  <si>
    <t>BKN024 OVC033</t>
  </si>
  <si>
    <t>NW 15</t>
  </si>
  <si>
    <t>OVC025</t>
  </si>
  <si>
    <t>NW 15 G 22</t>
  </si>
  <si>
    <t>OVC027</t>
  </si>
  <si>
    <t>NW 9</t>
  </si>
  <si>
    <t>OVC023</t>
  </si>
  <si>
    <t>OVC024</t>
  </si>
  <si>
    <t>NW 13 G 25</t>
  </si>
  <si>
    <t>OVC020</t>
  </si>
  <si>
    <t>NW 12 G 24</t>
  </si>
  <si>
    <t>OVC017</t>
  </si>
  <si>
    <t>NW 15 G 20</t>
  </si>
  <si>
    <t>BKN015 OVC024</t>
  </si>
  <si>
    <t>NW 10</t>
  </si>
  <si>
    <t>OVC015</t>
  </si>
  <si>
    <t>SCT010 BKN021 OVC050</t>
  </si>
  <si>
    <t>SCT011 BKN021 OVC026</t>
  </si>
  <si>
    <t>BKN009 OVC014</t>
  </si>
  <si>
    <t>NW 8</t>
  </si>
  <si>
    <t>FEW009 OVC013</t>
  </si>
  <si>
    <t>BKN010 OVC031</t>
  </si>
  <si>
    <t>BKN011 OVC030</t>
  </si>
  <si>
    <t>BKN009 BKN016 OVC025</t>
  </si>
  <si>
    <t>SCT008 BKN023 OVC034</t>
  </si>
  <si>
    <t>FEW009 SCT019 OVC027</t>
  </si>
  <si>
    <t>SCT009 BKN050 OVC100</t>
  </si>
  <si>
    <t>Rain Fog/Mist</t>
  </si>
  <si>
    <t>BKN007 OVC060</t>
  </si>
  <si>
    <t>BKN008 BKN014 OVC022</t>
  </si>
  <si>
    <t>Light Rain Fog/Mist</t>
  </si>
  <si>
    <t>OVC007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</si>
</sst>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
    <numFmt numFmtId="165" formatCode="0.00000"/>
    <numFmt numFmtId="166" formatCode="0.000E+00"/>
    <numFmt numFmtId="167" formatCode="0.0000"/>
    <numFmt numFmtId="168" formatCode="[$-F400]h:mm:ss\ AM/PM"/>
    <numFmt numFmtId="169" formatCode="0.000%"/>
  </numFmts>
  <fonts count="30" x14ac:knownFonts="1">
    <font>
      <sz val="11"/>
      <color theme="1"/>
      <name val="Century Gothic"/>
      <family val="2"/>
      <scheme val="minor"/>
    </font>
    <font>
      <sz val="11"/>
      <color theme="0"/>
      <name val="Century Gothic"/>
      <family val="2"/>
      <scheme val="minor"/>
    </font>
    <font>
      <sz val="11"/>
      <color theme="1"/>
      <name val="Century Gothic"/>
      <family val="2"/>
      <scheme val="minor"/>
    </font>
    <font>
      <sz val="11"/>
      <color rgb="FF9C6500"/>
      <name val="Century Gothic"/>
      <family val="2"/>
      <scheme val="minor"/>
    </font>
    <font>
      <b/>
      <sz val="11"/>
      <color rgb="FF3F3F3F"/>
      <name val="Century Gothic"/>
      <family val="2"/>
      <scheme val="minor"/>
    </font>
    <font>
      <b/>
      <sz val="11"/>
      <color rgb="FFFA7D00"/>
      <name val="Century Gothic"/>
      <family val="2"/>
      <scheme val="minor"/>
    </font>
    <font>
      <b/>
      <sz val="11"/>
      <color theme="0"/>
      <name val="Century Gothic"/>
      <family val="2"/>
      <scheme val="minor"/>
    </font>
    <font>
      <b/>
      <sz val="11"/>
      <color theme="1"/>
      <name val="Century Gothic"/>
      <family val="2"/>
      <scheme val="minor"/>
    </font>
    <font>
      <b/>
      <sz val="11"/>
      <color rgb="FF9C6500"/>
      <name val="Century Gothic"/>
      <family val="2"/>
      <scheme val="minor"/>
    </font>
    <font>
      <b/>
      <sz val="20"/>
      <color theme="1"/>
      <name val="Century Gothic"/>
      <family val="2"/>
      <scheme val="major"/>
    </font>
    <font>
      <sz val="9"/>
      <color indexed="81"/>
      <name val="Tahoma"/>
      <family val="2"/>
    </font>
    <font>
      <b/>
      <sz val="9"/>
      <color indexed="81"/>
      <name val="Tahoma"/>
      <family val="2"/>
    </font>
    <font>
      <sz val="11"/>
      <color rgb="FFFF0000"/>
      <name val="Century Gothic"/>
      <family val="2"/>
      <scheme val="minor"/>
    </font>
    <font>
      <sz val="22"/>
      <color theme="0"/>
      <name val="Century Gothic"/>
      <family val="2"/>
      <scheme val="minor"/>
    </font>
    <font>
      <b/>
      <sz val="18"/>
      <color rgb="FF3F3F3F"/>
      <name val="Century Gothic"/>
      <family val="2"/>
      <scheme val="minor"/>
    </font>
    <font>
      <b/>
      <sz val="20"/>
      <color theme="0"/>
      <name val="Century Gothic"/>
      <family val="1"/>
      <scheme val="major"/>
    </font>
    <font>
      <b/>
      <sz val="24"/>
      <color theme="0"/>
      <name val="Century Gothic"/>
      <family val="1"/>
      <scheme val="major"/>
    </font>
    <font>
      <b/>
      <sz val="18"/>
      <color theme="0"/>
      <name val="Century Gothic"/>
      <family val="2"/>
      <scheme val="minor"/>
    </font>
    <font>
      <sz val="8"/>
      <color indexed="81"/>
      <name val="Tahoma"/>
      <family val="2"/>
    </font>
    <font>
      <b/>
      <sz val="8"/>
      <color indexed="81"/>
      <name val="Tahoma"/>
      <family val="2"/>
    </font>
    <font>
      <sz val="22"/>
      <color rgb="FF9C6500"/>
      <name val="Century Gothic"/>
      <family val="2"/>
      <scheme val="minor"/>
    </font>
    <font>
      <b/>
      <sz val="11"/>
      <color theme="1" tint="0.249977111117893"/>
      <name val="Century Gothic"/>
      <family val="2"/>
      <scheme val="minor"/>
    </font>
    <font>
      <sz val="11"/>
      <color rgb="FF000000"/>
      <name val="Century Gothic"/>
      <family val="2"/>
    </font>
    <font>
      <b/>
      <sz val="12"/>
      <name val="Century Gothic"/>
      <family val="1"/>
      <scheme val="major"/>
    </font>
    <font>
      <b/>
      <sz val="18"/>
      <name val="Century Gothic"/>
      <family val="2"/>
      <scheme val="major"/>
    </font>
    <font>
      <b/>
      <sz val="17"/>
      <name val="Century Gothic"/>
      <family val="2"/>
      <scheme val="major"/>
    </font>
    <font>
      <b/>
      <sz val="14"/>
      <color theme="1" tint="0.14996795556505021"/>
      <name val="Century Gothic"/>
      <family val="1"/>
      <scheme val="major"/>
    </font>
    <font>
      <b/>
      <sz val="16"/>
      <color theme="0"/>
      <name val="Century Gothic"/>
      <family val="1"/>
      <scheme val="major"/>
    </font>
    <font>
      <b/>
      <sz val="14"/>
      <color theme="1"/>
      <name val="Century Gothic"/>
      <family val="1"/>
      <scheme val="major"/>
    </font>
    <font>
      <sz val="11"/>
      <color theme="1"/>
      <name val="Century Gothic"/>
      <family val="1"/>
      <scheme val="minor"/>
    </font>
  </fonts>
  <fills count="23">
    <fill>
      <patternFill patternType="none"/>
    </fill>
    <fill>
      <patternFill patternType="gray125"/>
    </fill>
    <fill>
      <patternFill patternType="solid">
        <fgColor rgb="FFFFEB9C"/>
      </patternFill>
    </fill>
    <fill>
      <patternFill patternType="solid">
        <fgColor rgb="FFF2F2F2"/>
      </patternFill>
    </fill>
    <fill>
      <patternFill patternType="solid">
        <fgColor rgb="FFFFFFCC"/>
      </patternFill>
    </fill>
    <fill>
      <patternFill patternType="solid">
        <fgColor theme="6" tint="0.59999389629810485"/>
        <bgColor indexed="65"/>
      </patternFill>
    </fill>
    <fill>
      <patternFill patternType="solid">
        <fgColor theme="6" tint="0.39997558519241921"/>
        <bgColor indexed="65"/>
      </patternFill>
    </fill>
    <fill>
      <gradientFill degree="90">
        <stop position="0">
          <color rgb="FF71E462"/>
        </stop>
        <stop position="0.5">
          <color rgb="FF44DC30"/>
        </stop>
        <stop position="1">
          <color rgb="FF71E462"/>
        </stop>
      </gradientFill>
    </fill>
    <fill>
      <patternFill patternType="solid">
        <fgColor theme="0" tint="-4.9989318521683403E-2"/>
        <bgColor indexed="64"/>
      </patternFill>
    </fill>
    <fill>
      <gradientFill degree="90">
        <stop position="0">
          <color rgb="FFF58427"/>
        </stop>
        <stop position="1">
          <color theme="9" tint="-0.25098422193060094"/>
        </stop>
      </gradientFill>
    </fill>
    <fill>
      <patternFill patternType="solid">
        <fgColor theme="1" tint="0.249977111117893"/>
        <bgColor indexed="64"/>
      </patternFill>
    </fill>
    <fill>
      <patternFill patternType="solid">
        <fgColor theme="0"/>
        <bgColor indexed="64"/>
      </patternFill>
    </fill>
    <fill>
      <patternFill patternType="solid">
        <fgColor theme="4"/>
      </patternFill>
    </fill>
    <fill>
      <patternFill patternType="solid">
        <fgColor theme="5"/>
      </patternFill>
    </fill>
    <fill>
      <patternFill patternType="solid">
        <fgColor theme="8"/>
      </patternFill>
    </fill>
    <fill>
      <patternFill patternType="solid">
        <fgColor theme="9"/>
      </patternFill>
    </fill>
    <fill>
      <patternFill patternType="solid">
        <fgColor rgb="FFA5A5A5"/>
      </patternFill>
    </fill>
    <fill>
      <patternFill patternType="solid">
        <fgColor theme="0" tint="-0.14996795556505021"/>
        <bgColor indexed="64"/>
      </patternFill>
    </fill>
    <fill>
      <gradientFill degree="90">
        <stop position="0">
          <color theme="0" tint="-5.0965910824915313E-2"/>
        </stop>
        <stop position="1">
          <color theme="0" tint="-5.0965910824915313E-2"/>
        </stop>
      </gradientFill>
    </fill>
    <fill>
      <gradientFill degree="90">
        <stop position="0">
          <color theme="0"/>
        </stop>
        <stop position="1">
          <color theme="6" tint="0.80001220740379042"/>
        </stop>
      </gradientFill>
    </fill>
    <fill>
      <gradientFill degree="135">
        <stop position="0">
          <color theme="0"/>
        </stop>
        <stop position="1">
          <color theme="0" tint="-0.25098422193060094"/>
        </stop>
      </gradientFill>
    </fill>
    <fill>
      <patternFill patternType="solid">
        <fgColor theme="1"/>
        <bgColor auto="1"/>
      </patternFill>
    </fill>
    <fill>
      <patternFill patternType="solid">
        <fgColor theme="5" tint="0.79998168889431442"/>
        <bgColor indexed="64"/>
      </patternFill>
    </fill>
  </fills>
  <borders count="11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
      <left style="thin">
        <color rgb="FF7F7F7F"/>
      </left>
      <right/>
      <top style="thin">
        <color rgb="FF7F7F7F"/>
      </top>
      <bottom style="thin">
        <color rgb="FF7F7F7F"/>
      </bottom>
      <diagonal/>
    </border>
    <border>
      <left style="medium">
        <color theme="9" tint="-0.24994659260841701"/>
      </left>
      <right style="medium">
        <color theme="9" tint="-0.24994659260841701"/>
      </right>
      <top style="medium">
        <color theme="9" tint="-0.24994659260841701"/>
      </top>
      <bottom style="medium">
        <color theme="9" tint="-0.24994659260841701"/>
      </bottom>
      <diagonal/>
    </border>
    <border>
      <left style="thin">
        <color theme="0" tint="-0.499984740745262"/>
      </left>
      <right/>
      <top style="thin">
        <color theme="0" tint="-0.499984740745262"/>
      </top>
      <bottom style="thin">
        <color theme="0" tint="-0.499984740745262"/>
      </bottom>
      <diagonal/>
    </border>
    <border>
      <left/>
      <right/>
      <top/>
      <bottom style="thin">
        <color rgb="FFB2B2B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right/>
      <top style="thin">
        <color theme="2" tint="-0.499984740745262"/>
      </top>
      <bottom style="thin">
        <color rgb="FFB2B2B2"/>
      </bottom>
      <diagonal/>
    </border>
    <border>
      <left style="medium">
        <color theme="0" tint="-0.499984740745262"/>
      </left>
      <right/>
      <top style="medium">
        <color theme="0" tint="-0.499984740745262"/>
      </top>
      <bottom style="medium">
        <color theme="0" tint="-0.499984740745262"/>
      </bottom>
      <diagonal/>
    </border>
    <border>
      <left/>
      <right/>
      <top/>
      <bottom style="thin">
        <color theme="2" tint="-0.499984740745262"/>
      </bottom>
      <diagonal/>
    </border>
    <border>
      <left style="thin">
        <color theme="0" tint="-0.34998626667073579"/>
      </left>
      <right/>
      <top style="thin">
        <color theme="0" tint="-0.34998626667073579"/>
      </top>
      <bottom style="thin">
        <color rgb="FFB2B2B2"/>
      </bottom>
      <diagonal/>
    </border>
    <border>
      <left/>
      <right/>
      <top style="thin">
        <color theme="0" tint="-0.34998626667073579"/>
      </top>
      <bottom style="thin">
        <color rgb="FFB2B2B2"/>
      </bottom>
      <diagonal/>
    </border>
    <border>
      <left/>
      <right style="thin">
        <color theme="0" tint="-0.34998626667073579"/>
      </right>
      <top style="thin">
        <color theme="0" tint="-0.34998626667073579"/>
      </top>
      <bottom style="thin">
        <color rgb="FFB2B2B2"/>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2" tint="-0.499984740745262"/>
      </right>
      <top style="thin">
        <color theme="2" tint="-0.499984740745262"/>
      </top>
      <bottom style="thin">
        <color theme="2" tint="-0.499984740745262"/>
      </bottom>
      <diagonal/>
    </border>
    <border>
      <left style="thin">
        <color theme="0" tint="-0.34998626667073579"/>
      </left>
      <right style="thin">
        <color theme="2" tint="-0.499984740745262"/>
      </right>
      <top style="thin">
        <color theme="0" tint="-0.34998626667073579"/>
      </top>
      <bottom style="thin">
        <color theme="2" tint="-0.499984740745262"/>
      </bottom>
      <diagonal/>
    </border>
    <border>
      <left style="thin">
        <color theme="2" tint="-0.499984740745262"/>
      </left>
      <right style="thin">
        <color theme="2" tint="-0.499984740745262"/>
      </right>
      <top style="thin">
        <color theme="0" tint="-0.34998626667073579"/>
      </top>
      <bottom style="thin">
        <color theme="2" tint="-0.499984740745262"/>
      </bottom>
      <diagonal/>
    </border>
    <border>
      <left style="thin">
        <color theme="2" tint="-0.499984740745262"/>
      </left>
      <right style="thin">
        <color theme="0" tint="-0.34998626667073579"/>
      </right>
      <top style="thin">
        <color theme="0" tint="-0.34998626667073579"/>
      </top>
      <bottom style="thin">
        <color theme="2" tint="-0.499984740745262"/>
      </bottom>
      <diagonal/>
    </border>
    <border>
      <left style="thin">
        <color theme="0" tint="-0.34998626667073579"/>
      </left>
      <right/>
      <top/>
      <bottom style="thin">
        <color rgb="FFB2B2B2"/>
      </bottom>
      <diagonal/>
    </border>
    <border>
      <left/>
      <right style="thin">
        <color theme="0" tint="-0.34998626667073579"/>
      </right>
      <top/>
      <bottom style="thin">
        <color rgb="FFB2B2B2"/>
      </bottom>
      <diagonal/>
    </border>
    <border>
      <left style="thin">
        <color rgb="FF7F7F7F"/>
      </left>
      <right style="thin">
        <color rgb="FF7F7F7F"/>
      </right>
      <top style="thin">
        <color rgb="FF7F7F7F"/>
      </top>
      <bottom style="thin">
        <color theme="0" tint="-0.34998626667073579"/>
      </bottom>
      <diagonal/>
    </border>
    <border>
      <left style="thin">
        <color rgb="FF3F3F3F"/>
      </left>
      <right style="thin">
        <color rgb="FF3F3F3F"/>
      </right>
      <top style="thin">
        <color rgb="FF3F3F3F"/>
      </top>
      <bottom style="thin">
        <color theme="0" tint="-0.34998626667073579"/>
      </bottom>
      <diagonal/>
    </border>
    <border>
      <left style="thin">
        <color rgb="FF3F3F3F"/>
      </left>
      <right style="thin">
        <color theme="0" tint="-0.34998626667073579"/>
      </right>
      <top style="thin">
        <color rgb="FF3F3F3F"/>
      </top>
      <bottom style="thin">
        <color rgb="FF3F3F3F"/>
      </bottom>
      <diagonal/>
    </border>
    <border>
      <left style="thin">
        <color rgb="FF7F7F7F"/>
      </left>
      <right style="thin">
        <color rgb="FF7F7F7F"/>
      </right>
      <top style="thin">
        <color rgb="FF7F7F7F"/>
      </top>
      <bottom/>
      <diagonal/>
    </border>
    <border>
      <left style="thin">
        <color rgb="FF3F3F3F"/>
      </left>
      <right style="thin">
        <color rgb="FF3F3F3F"/>
      </right>
      <top style="thin">
        <color rgb="FF3F3F3F"/>
      </top>
      <bottom/>
      <diagonal/>
    </border>
    <border>
      <left style="thin">
        <color rgb="FF3F3F3F"/>
      </left>
      <right style="thin">
        <color theme="0" tint="-0.34998626667073579"/>
      </right>
      <top style="thin">
        <color rgb="FF3F3F3F"/>
      </top>
      <bottom/>
      <diagonal/>
    </border>
    <border>
      <left style="thin">
        <color theme="0" tint="-0.34998626667073579"/>
      </left>
      <right/>
      <top/>
      <bottom style="thin">
        <color theme="2" tint="-0.499984740745262"/>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2" tint="-0.499984740745262"/>
      </left>
      <right/>
      <top style="thin">
        <color theme="2" tint="-0.499984740745262"/>
      </top>
      <bottom style="thin">
        <color theme="2" tint="-0.499984740745262"/>
      </bottom>
      <diagonal/>
    </border>
    <border>
      <left/>
      <right style="thin">
        <color rgb="FF3F3F3F"/>
      </right>
      <top style="thin">
        <color rgb="FF3F3F3F"/>
      </top>
      <bottom style="thin">
        <color rgb="FF3F3F3F"/>
      </bottom>
      <diagonal/>
    </border>
    <border>
      <left style="thin">
        <color theme="0" tint="-0.34998626667073579"/>
      </left>
      <right style="thin">
        <color rgb="FF7F7F7F"/>
      </right>
      <top style="thin">
        <color rgb="FF7F7F7F"/>
      </top>
      <bottom style="thin">
        <color rgb="FF7F7F7F"/>
      </bottom>
      <diagonal/>
    </border>
    <border>
      <left style="thin">
        <color rgb="FF7F7F7F"/>
      </left>
      <right style="thin">
        <color theme="0" tint="-0.34998626667073579"/>
      </right>
      <top style="thin">
        <color rgb="FF7F7F7F"/>
      </top>
      <bottom style="thin">
        <color rgb="FF7F7F7F"/>
      </bottom>
      <diagonal/>
    </border>
    <border>
      <left style="thin">
        <color theme="0" tint="-0.34998626667073579"/>
      </left>
      <right style="thin">
        <color rgb="FF7F7F7F"/>
      </right>
      <top style="thin">
        <color rgb="FF7F7F7F"/>
      </top>
      <bottom style="thin">
        <color theme="0" tint="-0.34998626667073579"/>
      </bottom>
      <diagonal/>
    </border>
    <border>
      <left style="thin">
        <color rgb="FF7F7F7F"/>
      </left>
      <right style="thin">
        <color theme="0" tint="-0.34998626667073579"/>
      </right>
      <top style="thin">
        <color rgb="FF7F7F7F"/>
      </top>
      <bottom style="thin">
        <color theme="0" tint="-0.34998626667073579"/>
      </bottom>
      <diagonal/>
    </border>
    <border>
      <left style="thin">
        <color theme="0" tint="-0.34998626667073579"/>
      </left>
      <right style="thin">
        <color theme="0" tint="-0.34998626667073579"/>
      </right>
      <top/>
      <bottom style="thin">
        <color rgb="FFB2B2B2"/>
      </bottom>
      <diagonal/>
    </border>
    <border>
      <left/>
      <right/>
      <top style="thin">
        <color theme="2" tint="-0.499984740745262"/>
      </top>
      <bottom style="thin">
        <color theme="2" tint="-0.499984740745262"/>
      </bottom>
      <diagonal/>
    </border>
    <border>
      <left style="thin">
        <color theme="2" tint="-0.499984740745262"/>
      </left>
      <right/>
      <top style="thin">
        <color theme="0" tint="-0.34998626667073579"/>
      </top>
      <bottom style="thin">
        <color theme="2" tint="-0.499984740745262"/>
      </bottom>
      <diagonal/>
    </border>
    <border>
      <left style="thin">
        <color rgb="FF7F7F7F"/>
      </left>
      <right/>
      <top style="thin">
        <color rgb="FF7F7F7F"/>
      </top>
      <bottom style="thin">
        <color theme="0" tint="-0.34998626667073579"/>
      </bottom>
      <diagonal/>
    </border>
    <border>
      <left/>
      <right style="thin">
        <color rgb="FF7F7F7F"/>
      </right>
      <top style="thin">
        <color rgb="FF7F7F7F"/>
      </top>
      <bottom style="thin">
        <color rgb="FF7F7F7F"/>
      </bottom>
      <diagonal/>
    </border>
    <border>
      <left style="thin">
        <color theme="2" tint="-0.499984740745262"/>
      </left>
      <right style="thin">
        <color theme="2" tint="-0.499984740745262"/>
      </right>
      <top style="thin">
        <color theme="2" tint="-0.499984740745262"/>
      </top>
      <bottom/>
      <diagonal/>
    </border>
    <border>
      <left style="thin">
        <color theme="0" tint="-0.34998626667073579"/>
      </left>
      <right style="thin">
        <color theme="2" tint="-0.499984740745262"/>
      </right>
      <top style="thin">
        <color theme="0" tint="-0.34998626667073579"/>
      </top>
      <bottom style="thin">
        <color theme="0" tint="-0.34998626667073579"/>
      </bottom>
      <diagonal/>
    </border>
    <border>
      <left style="thin">
        <color theme="2" tint="-0.499984740745262"/>
      </left>
      <right style="thin">
        <color theme="2" tint="-0.499984740745262"/>
      </right>
      <top style="thin">
        <color theme="0" tint="-0.34998626667073579"/>
      </top>
      <bottom style="thin">
        <color theme="0" tint="-0.34998626667073579"/>
      </bottom>
      <diagonal/>
    </border>
    <border>
      <left style="thin">
        <color theme="2" tint="-0.499984740745262"/>
      </left>
      <right/>
      <top style="thin">
        <color theme="0" tint="-0.34998626667073579"/>
      </top>
      <bottom style="thin">
        <color theme="0" tint="-0.34998626667073579"/>
      </bottom>
      <diagonal/>
    </border>
    <border>
      <left style="thin">
        <color theme="2" tint="-0.499984740745262"/>
      </left>
      <right style="thin">
        <color theme="0" tint="-0.34998626667073579"/>
      </right>
      <top style="thin">
        <color theme="0" tint="-0.34998626667073579"/>
      </top>
      <bottom style="thin">
        <color theme="0" tint="-0.34998626667073579"/>
      </bottom>
      <diagonal/>
    </border>
    <border>
      <left/>
      <right style="thin">
        <color theme="2" tint="-0.499984740745262"/>
      </right>
      <top style="thin">
        <color theme="0" tint="-0.34998626667073579"/>
      </top>
      <bottom style="thin">
        <color theme="0" tint="-0.34998626667073579"/>
      </bottom>
      <diagonal/>
    </border>
    <border>
      <left/>
      <right style="thin">
        <color theme="0" tint="-0.34998626667073579"/>
      </right>
      <top style="thin">
        <color rgb="FF7F7F7F"/>
      </top>
      <bottom style="thin">
        <color rgb="FF7F7F7F"/>
      </bottom>
      <diagonal/>
    </border>
    <border>
      <left/>
      <right style="thin">
        <color theme="0" tint="-0.34998626667073579"/>
      </right>
      <top style="thin">
        <color rgb="FF7F7F7F"/>
      </top>
      <bottom style="thin">
        <color theme="0" tint="-0.34998626667073579"/>
      </bottom>
      <diagonal/>
    </border>
    <border>
      <left style="thin">
        <color theme="2" tint="-0.499984740745262"/>
      </left>
      <right/>
      <top style="thin">
        <color theme="2" tint="-0.499984740745262"/>
      </top>
      <bottom style="thin">
        <color rgb="FF7F7F7F"/>
      </bottom>
      <diagonal/>
    </border>
    <border>
      <left style="thin">
        <color rgb="FF7F7F7F"/>
      </left>
      <right/>
      <top style="thin">
        <color rgb="FF7F7F7F"/>
      </top>
      <bottom/>
      <diagonal/>
    </border>
    <border>
      <left/>
      <right style="thin">
        <color rgb="FF7F7F7F"/>
      </right>
      <top style="thin">
        <color rgb="FF7F7F7F"/>
      </top>
      <bottom style="thin">
        <color theme="0" tint="-0.34998626667073579"/>
      </bottom>
      <diagonal/>
    </border>
    <border>
      <left style="thin">
        <color theme="2" tint="-0.499984740745262"/>
      </left>
      <right style="thin">
        <color theme="1" tint="0.249977111117893"/>
      </right>
      <top style="thin">
        <color theme="0" tint="-0.34998626667073579"/>
      </top>
      <bottom style="thin">
        <color theme="0" tint="-0.34998626667073579"/>
      </bottom>
      <diagonal/>
    </border>
    <border>
      <left style="thin">
        <color rgb="FF7F7F7F"/>
      </left>
      <right style="thin">
        <color theme="1" tint="0.249977111117893"/>
      </right>
      <top style="thin">
        <color rgb="FF7F7F7F"/>
      </top>
      <bottom style="thin">
        <color rgb="FF7F7F7F"/>
      </bottom>
      <diagonal/>
    </border>
    <border>
      <left/>
      <right style="thin">
        <color theme="1" tint="0.249977111117893"/>
      </right>
      <top style="thin">
        <color theme="0" tint="-0.34998626667073579"/>
      </top>
      <bottom style="thin">
        <color rgb="FFB2B2B2"/>
      </bottom>
      <diagonal/>
    </border>
    <border>
      <left/>
      <right style="thin">
        <color theme="1" tint="0.249977111117893"/>
      </right>
      <top style="thin">
        <color theme="0" tint="-0.34998626667073579"/>
      </top>
      <bottom style="thin">
        <color theme="0" tint="-0.34998626667073579"/>
      </bottom>
      <diagonal/>
    </border>
    <border>
      <left style="thin">
        <color rgb="FF7F7F7F"/>
      </left>
      <right style="thin">
        <color theme="1" tint="0.249977111117893"/>
      </right>
      <top style="thin">
        <color rgb="FF7F7F7F"/>
      </top>
      <bottom style="thin">
        <color theme="0" tint="-0.34998626667073579"/>
      </bottom>
      <diagonal/>
    </border>
    <border>
      <left style="thin">
        <color theme="1" tint="0.249977111117893"/>
      </left>
      <right/>
      <top/>
      <bottom style="thin">
        <color theme="0" tint="-0.34998626667073579"/>
      </bottom>
      <diagonal/>
    </border>
    <border>
      <left/>
      <right style="thin">
        <color rgb="FF3F3F3F"/>
      </right>
      <top/>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bottom/>
      <diagonal/>
    </border>
    <border>
      <left style="medium">
        <color theme="1" tint="0.499984740745262"/>
      </left>
      <right style="medium">
        <color theme="1" tint="0.499984740745262"/>
      </right>
      <top style="thin">
        <color theme="0" tint="-0.499984740745262"/>
      </top>
      <bottom style="medium">
        <color theme="1" tint="0.499984740745262"/>
      </bottom>
      <diagonal/>
    </border>
    <border>
      <left style="medium">
        <color theme="1" tint="0.499984740745262"/>
      </left>
      <right style="medium">
        <color theme="1" tint="0.499984740745262"/>
      </right>
      <top style="thin">
        <color rgb="FF44DC30"/>
      </top>
      <bottom style="medium">
        <color theme="1" tint="0.499984740745262"/>
      </bottom>
      <diagonal/>
    </border>
    <border>
      <left style="medium">
        <color theme="1" tint="0.499984740745262"/>
      </left>
      <right style="medium">
        <color theme="1" tint="0.499984740745262"/>
      </right>
      <top style="medium">
        <color theme="1" tint="0.499984740745262"/>
      </top>
      <bottom style="thin">
        <color theme="0" tint="-0.34998626667073579"/>
      </bottom>
      <diagonal/>
    </border>
    <border>
      <left style="medium">
        <color theme="1" tint="0.499984740745262"/>
      </left>
      <right style="medium">
        <color theme="1" tint="0.499984740745262"/>
      </right>
      <top style="thin">
        <color theme="0" tint="-0.34998626667073579"/>
      </top>
      <bottom style="thin">
        <color theme="0" tint="-0.34998626667073579"/>
      </bottom>
      <diagonal/>
    </border>
    <border>
      <left style="double">
        <color rgb="FF3F3F3F"/>
      </left>
      <right style="double">
        <color rgb="FF3F3F3F"/>
      </right>
      <top style="double">
        <color rgb="FF3F3F3F"/>
      </top>
      <bottom style="double">
        <color rgb="FF3F3F3F"/>
      </bottom>
      <diagonal/>
    </border>
    <border>
      <left/>
      <right style="thin">
        <color rgb="FF7F7F7F"/>
      </right>
      <top/>
      <bottom/>
      <diagonal/>
    </border>
    <border>
      <left/>
      <right/>
      <top/>
      <bottom style="thin">
        <color rgb="FF7F7F7F"/>
      </bottom>
      <diagonal/>
    </border>
    <border>
      <left style="medium">
        <color theme="1" tint="0.499984740745262"/>
      </left>
      <right style="medium">
        <color theme="1" tint="0.499984740745262"/>
      </right>
      <top style="thin">
        <color rgb="FF44DC30"/>
      </top>
      <bottom style="thin">
        <color theme="0" tint="-0.499984740745262"/>
      </bottom>
      <diagonal/>
    </border>
    <border>
      <left style="thin">
        <color auto="1"/>
      </left>
      <right/>
      <top style="thin">
        <color auto="1"/>
      </top>
      <bottom style="thin">
        <color auto="1"/>
      </bottom>
      <diagonal/>
    </border>
    <border>
      <left style="thin">
        <color theme="1" tint="0.249977111117893"/>
      </left>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rgb="FFB2B2B2"/>
      </bottom>
      <diagonal/>
    </border>
    <border>
      <left style="medium">
        <color indexed="64"/>
      </left>
      <right style="thin">
        <color indexed="64"/>
      </right>
      <top style="thin">
        <color indexed="64"/>
      </top>
      <bottom/>
      <diagonal/>
    </border>
    <border>
      <left style="thin">
        <color indexed="64"/>
      </left>
      <right/>
      <top/>
      <bottom style="thin">
        <color rgb="FFB2B2B2"/>
      </bottom>
      <diagonal/>
    </border>
    <border>
      <left style="medium">
        <color indexed="64"/>
      </left>
      <right style="thin">
        <color indexed="64"/>
      </right>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theme="0" tint="-0.34998626667073579"/>
      </top>
      <bottom style="thin">
        <color rgb="FFB2B2B2"/>
      </bottom>
      <diagonal/>
    </border>
    <border>
      <left style="thin">
        <color rgb="FF3F3F3F"/>
      </left>
      <right style="thin">
        <color rgb="FF3F3F3F"/>
      </right>
      <top/>
      <bottom style="thin">
        <color rgb="FF3F3F3F"/>
      </bottom>
      <diagonal/>
    </border>
    <border>
      <left style="thin">
        <color theme="2" tint="-0.499984740745262"/>
      </left>
      <right style="thin">
        <color theme="2" tint="-0.499984740745262"/>
      </right>
      <top/>
      <bottom/>
      <diagonal/>
    </border>
    <border>
      <left style="thin">
        <color indexed="64"/>
      </left>
      <right style="thin">
        <color indexed="64"/>
      </right>
      <top style="thin">
        <color indexed="64"/>
      </top>
      <bottom style="thin">
        <color theme="2" tint="-0.499984740745262"/>
      </bottom>
      <diagonal/>
    </border>
    <border>
      <left style="thin">
        <color indexed="64"/>
      </left>
      <right style="thin">
        <color indexed="64"/>
      </right>
      <top style="thin">
        <color theme="0" tint="-0.34998626667073579"/>
      </top>
      <bottom style="thin">
        <color theme="2" tint="-0.499984740745262"/>
      </bottom>
      <diagonal/>
    </border>
    <border>
      <left style="thin">
        <color indexed="64"/>
      </left>
      <right style="thin">
        <color indexed="64"/>
      </right>
      <top/>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thin">
        <color indexed="64"/>
      </bottom>
      <diagonal/>
    </border>
    <border>
      <left/>
      <right/>
      <top style="thin">
        <color rgb="FF3F3F3F"/>
      </top>
      <bottom style="thin">
        <color rgb="FF3F3F3F"/>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0" tint="-0.34998626667073579"/>
      </right>
      <top/>
      <bottom style="thin">
        <color theme="0" tint="-0.34998626667073579"/>
      </bottom>
      <diagonal/>
    </border>
    <border>
      <left/>
      <right/>
      <top style="medium">
        <color indexed="64"/>
      </top>
      <bottom style="medium">
        <color indexed="64"/>
      </bottom>
      <diagonal/>
    </border>
    <border>
      <left style="thin">
        <color theme="2" tint="-0.499984740745262"/>
      </left>
      <right style="thin">
        <color theme="2" tint="-0.499984740745262"/>
      </right>
      <top/>
      <bottom style="thin">
        <color theme="2" tint="-0.499984740745262"/>
      </bottom>
      <diagonal/>
    </border>
  </borders>
  <cellStyleXfs count="20">
    <xf numFmtId="0" fontId="0" fillId="0" borderId="0"/>
    <xf numFmtId="0" fontId="4" fillId="3" borderId="2" applyNumberFormat="0" applyAlignment="0" applyProtection="0"/>
    <xf numFmtId="0" fontId="5" fillId="3" borderId="1" applyNumberFormat="0" applyAlignment="0" applyProtection="0"/>
    <xf numFmtId="0" fontId="2" fillId="8" borderId="0"/>
    <xf numFmtId="0" fontId="6" fillId="9" borderId="5">
      <alignment horizontal="center" vertical="center"/>
    </xf>
    <xf numFmtId="0" fontId="2" fillId="5" borderId="6" applyBorder="0"/>
    <xf numFmtId="0" fontId="23" fillId="18" borderId="7">
      <alignment horizontal="center"/>
    </xf>
    <xf numFmtId="0" fontId="26" fillId="20" borderId="8">
      <alignment horizontal="center" vertical="center"/>
    </xf>
    <xf numFmtId="0" fontId="1" fillId="17" borderId="0" applyFont="0" applyBorder="0" applyAlignment="0"/>
    <xf numFmtId="0" fontId="2" fillId="4" borderId="10" applyBorder="0">
      <alignment horizontal="center"/>
    </xf>
    <xf numFmtId="164" fontId="3" fillId="2" borderId="1"/>
    <xf numFmtId="0" fontId="1" fillId="1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2" fillId="0" borderId="0" applyNumberFormat="0" applyFill="0" applyBorder="0" applyAlignment="0" applyProtection="0"/>
    <xf numFmtId="0" fontId="3" fillId="2" borderId="0" applyNumberFormat="0" applyBorder="0" applyAlignment="0" applyProtection="0"/>
    <xf numFmtId="0" fontId="6" fillId="16" borderId="73" applyNumberFormat="0" applyAlignment="0" applyProtection="0"/>
    <xf numFmtId="0" fontId="1" fillId="6" borderId="0" applyNumberFormat="0" applyBorder="0" applyAlignment="0" applyProtection="0"/>
  </cellStyleXfs>
  <cellXfs count="235">
    <xf numFmtId="0" fontId="0" fillId="0" borderId="0" xfId="0"/>
    <xf numFmtId="0" fontId="23" fillId="18" borderId="7" xfId="6">
      <alignment horizontal="center"/>
    </xf>
    <xf numFmtId="0" fontId="26" fillId="20" borderId="8" xfId="7">
      <alignment horizontal="center" vertical="center"/>
    </xf>
    <xf numFmtId="164" fontId="3" fillId="2" borderId="1" xfId="10"/>
    <xf numFmtId="0" fontId="4" fillId="3" borderId="2" xfId="1"/>
    <xf numFmtId="0" fontId="2" fillId="5" borderId="0" xfId="5" applyBorder="1"/>
    <xf numFmtId="0" fontId="0" fillId="5" borderId="0" xfId="5" applyFont="1" applyBorder="1"/>
    <xf numFmtId="0" fontId="0" fillId="5" borderId="0" xfId="5" applyFont="1" applyBorder="1" applyAlignment="1">
      <alignment horizontal="center"/>
    </xf>
    <xf numFmtId="0" fontId="2" fillId="5" borderId="16" xfId="5" applyBorder="1"/>
    <xf numFmtId="0" fontId="7" fillId="5" borderId="15" xfId="5" applyFont="1" applyBorder="1" applyAlignment="1">
      <alignment horizontal="center"/>
    </xf>
    <xf numFmtId="0" fontId="7" fillId="5" borderId="0" xfId="5" applyFont="1" applyBorder="1" applyAlignment="1">
      <alignment horizontal="center"/>
    </xf>
    <xf numFmtId="0" fontId="7" fillId="5" borderId="16" xfId="5" applyFont="1" applyBorder="1" applyAlignment="1">
      <alignment horizontal="center"/>
    </xf>
    <xf numFmtId="0" fontId="7" fillId="5" borderId="0" xfId="5" applyFont="1" applyBorder="1"/>
    <xf numFmtId="0" fontId="7" fillId="5" borderId="16" xfId="5" applyFont="1" applyBorder="1"/>
    <xf numFmtId="0" fontId="2" fillId="5" borderId="15" xfId="5" applyBorder="1"/>
    <xf numFmtId="164" fontId="8" fillId="2" borderId="1" xfId="10" applyFont="1"/>
    <xf numFmtId="164" fontId="3" fillId="2" borderId="1" xfId="10" applyBorder="1"/>
    <xf numFmtId="0" fontId="4" fillId="3" borderId="2" xfId="1" applyBorder="1"/>
    <xf numFmtId="0" fontId="2" fillId="5" borderId="17" xfId="5" applyBorder="1"/>
    <xf numFmtId="164" fontId="3" fillId="2" borderId="25" xfId="10" applyBorder="1"/>
    <xf numFmtId="0" fontId="4" fillId="3" borderId="26" xfId="1" applyBorder="1"/>
    <xf numFmtId="0" fontId="4" fillId="3" borderId="27" xfId="1" applyBorder="1"/>
    <xf numFmtId="2" fontId="4" fillId="3" borderId="2" xfId="1" applyNumberFormat="1" applyBorder="1"/>
    <xf numFmtId="2" fontId="4" fillId="3" borderId="27" xfId="1" applyNumberFormat="1" applyBorder="1"/>
    <xf numFmtId="164" fontId="3" fillId="2" borderId="28" xfId="10" applyBorder="1"/>
    <xf numFmtId="0" fontId="4" fillId="3" borderId="29" xfId="1" applyBorder="1"/>
    <xf numFmtId="2" fontId="4" fillId="3" borderId="30" xfId="1" applyNumberFormat="1" applyBorder="1"/>
    <xf numFmtId="0" fontId="23" fillId="18" borderId="23" xfId="6" applyBorder="1">
      <alignment horizontal="center"/>
    </xf>
    <xf numFmtId="0" fontId="23" fillId="18" borderId="7" xfId="6" applyBorder="1">
      <alignment horizontal="center"/>
    </xf>
    <xf numFmtId="164" fontId="4" fillId="3" borderId="2" xfId="1" applyNumberFormat="1"/>
    <xf numFmtId="164" fontId="3" fillId="2" borderId="4" xfId="10" applyBorder="1"/>
    <xf numFmtId="164" fontId="4" fillId="3" borderId="39" xfId="1" applyNumberFormat="1" applyBorder="1"/>
    <xf numFmtId="0" fontId="23" fillId="18" borderId="24" xfId="6" applyBorder="1">
      <alignment horizontal="center"/>
    </xf>
    <xf numFmtId="164" fontId="3" fillId="2" borderId="40" xfId="10" applyBorder="1"/>
    <xf numFmtId="164" fontId="3" fillId="2" borderId="41" xfId="10" applyBorder="1"/>
    <xf numFmtId="164" fontId="3" fillId="2" borderId="42" xfId="10" applyBorder="1"/>
    <xf numFmtId="164" fontId="3" fillId="2" borderId="43" xfId="10" applyBorder="1"/>
    <xf numFmtId="0" fontId="23" fillId="18" borderId="44" xfId="6" applyBorder="1">
      <alignment horizontal="center"/>
    </xf>
    <xf numFmtId="0" fontId="7" fillId="5" borderId="0" xfId="5" applyFont="1" applyBorder="1" applyAlignment="1">
      <alignment horizontal="left"/>
    </xf>
    <xf numFmtId="0" fontId="7" fillId="5" borderId="23" xfId="5" applyFont="1" applyBorder="1"/>
    <xf numFmtId="0" fontId="7" fillId="5" borderId="7" xfId="5" applyFont="1" applyBorder="1"/>
    <xf numFmtId="0" fontId="26" fillId="20" borderId="38" xfId="7" applyBorder="1">
      <alignment horizontal="center" vertical="center"/>
    </xf>
    <xf numFmtId="0" fontId="2" fillId="11" borderId="0" xfId="5" applyFill="1" applyBorder="1"/>
    <xf numFmtId="0" fontId="2" fillId="11" borderId="0" xfId="5" applyFill="1" applyBorder="1" applyAlignment="1">
      <alignment horizontal="right"/>
    </xf>
    <xf numFmtId="0" fontId="0" fillId="11" borderId="0" xfId="5" applyFont="1" applyFill="1" applyBorder="1" applyAlignment="1">
      <alignment horizontal="right"/>
    </xf>
    <xf numFmtId="0" fontId="0" fillId="11" borderId="0" xfId="0" applyFill="1"/>
    <xf numFmtId="164" fontId="3" fillId="2" borderId="47" xfId="10" applyBorder="1"/>
    <xf numFmtId="165" fontId="3" fillId="2" borderId="40" xfId="10" applyNumberFormat="1" applyBorder="1"/>
    <xf numFmtId="165" fontId="3" fillId="2" borderId="1" xfId="10" applyNumberFormat="1" applyBorder="1"/>
    <xf numFmtId="165" fontId="3" fillId="2" borderId="41" xfId="10" applyNumberFormat="1" applyBorder="1"/>
    <xf numFmtId="165" fontId="3" fillId="2" borderId="42" xfId="10" applyNumberFormat="1" applyBorder="1"/>
    <xf numFmtId="165" fontId="3" fillId="2" borderId="25" xfId="10" applyNumberFormat="1" applyBorder="1"/>
    <xf numFmtId="165" fontId="3" fillId="2" borderId="43" xfId="10" applyNumberFormat="1" applyBorder="1"/>
    <xf numFmtId="166" fontId="3" fillId="2" borderId="4" xfId="10" applyNumberFormat="1" applyBorder="1"/>
    <xf numFmtId="0" fontId="7" fillId="5" borderId="36" xfId="5" applyFont="1" applyBorder="1"/>
    <xf numFmtId="0" fontId="7" fillId="5" borderId="18" xfId="5" applyFont="1" applyBorder="1"/>
    <xf numFmtId="0" fontId="7" fillId="5" borderId="13" xfId="5" applyFont="1" applyBorder="1"/>
    <xf numFmtId="2" fontId="2" fillId="5" borderId="15" xfId="5" applyNumberFormat="1" applyBorder="1" applyAlignment="1">
      <alignment horizontal="right"/>
    </xf>
    <xf numFmtId="164" fontId="4" fillId="3" borderId="2" xfId="1" applyNumberFormat="1" applyBorder="1"/>
    <xf numFmtId="0" fontId="26" fillId="20" borderId="34" xfId="7" applyBorder="1">
      <alignment horizontal="center" vertical="center"/>
    </xf>
    <xf numFmtId="164" fontId="3" fillId="2" borderId="55" xfId="10" applyBorder="1"/>
    <xf numFmtId="164" fontId="3" fillId="2" borderId="56" xfId="10" applyBorder="1"/>
    <xf numFmtId="164" fontId="3" fillId="2" borderId="40" xfId="10" applyNumberFormat="1" applyBorder="1"/>
    <xf numFmtId="164" fontId="3" fillId="2" borderId="42" xfId="10" applyNumberFormat="1" applyBorder="1"/>
    <xf numFmtId="0" fontId="23" fillId="18" borderId="7" xfId="6" applyBorder="1">
      <alignment horizontal="center"/>
    </xf>
    <xf numFmtId="0" fontId="23" fillId="18" borderId="24" xfId="6" applyBorder="1">
      <alignment horizontal="center"/>
    </xf>
    <xf numFmtId="0" fontId="26" fillId="20" borderId="57" xfId="7" applyBorder="1" applyAlignment="1">
      <alignment vertical="center"/>
    </xf>
    <xf numFmtId="167" fontId="4" fillId="3" borderId="2" xfId="1" applyNumberFormat="1"/>
    <xf numFmtId="0" fontId="23" fillId="18" borderId="23" xfId="6" applyBorder="1">
      <alignment horizontal="center"/>
    </xf>
    <xf numFmtId="0" fontId="26" fillId="20" borderId="50" xfId="7" applyBorder="1">
      <alignment horizontal="center" vertical="center"/>
    </xf>
    <xf numFmtId="0" fontId="23" fillId="18" borderId="7" xfId="6" applyBorder="1">
      <alignment horizontal="center"/>
    </xf>
    <xf numFmtId="0" fontId="23" fillId="18" borderId="24" xfId="6" applyBorder="1">
      <alignment horizontal="center"/>
    </xf>
    <xf numFmtId="164" fontId="3" fillId="2" borderId="58" xfId="10" applyBorder="1"/>
    <xf numFmtId="0" fontId="23" fillId="18" borderId="13" xfId="6" applyBorder="1">
      <alignment horizontal="center"/>
    </xf>
    <xf numFmtId="0" fontId="23" fillId="18" borderId="7" xfId="6" applyBorder="1">
      <alignment horizontal="center"/>
    </xf>
    <xf numFmtId="0" fontId="23" fillId="18" borderId="24" xfId="6" applyBorder="1">
      <alignment horizontal="center"/>
    </xf>
    <xf numFmtId="165" fontId="4" fillId="3" borderId="2" xfId="1" applyNumberFormat="1"/>
    <xf numFmtId="164" fontId="3" fillId="2" borderId="48" xfId="10" applyBorder="1"/>
    <xf numFmtId="164" fontId="3" fillId="2" borderId="59" xfId="10" applyBorder="1"/>
    <xf numFmtId="164" fontId="8" fillId="2" borderId="1" xfId="10" applyFont="1" applyBorder="1" applyAlignment="1">
      <alignment horizontal="right"/>
    </xf>
    <xf numFmtId="1" fontId="3" fillId="2" borderId="1" xfId="10" applyNumberFormat="1" applyBorder="1"/>
    <xf numFmtId="164" fontId="3" fillId="2" borderId="61" xfId="10" applyNumberFormat="1" applyBorder="1"/>
    <xf numFmtId="0" fontId="23" fillId="18" borderId="62" xfId="6" applyBorder="1">
      <alignment horizontal="center"/>
    </xf>
    <xf numFmtId="1" fontId="3" fillId="2" borderId="61" xfId="10" applyNumberFormat="1" applyBorder="1"/>
    <xf numFmtId="164" fontId="3" fillId="2" borderId="64" xfId="10" applyNumberFormat="1" applyBorder="1"/>
    <xf numFmtId="165" fontId="3" fillId="2" borderId="48" xfId="10" applyNumberFormat="1" applyBorder="1"/>
    <xf numFmtId="165" fontId="3" fillId="2" borderId="59" xfId="10" applyNumberFormat="1" applyBorder="1"/>
    <xf numFmtId="165" fontId="3" fillId="2" borderId="61" xfId="10" applyNumberFormat="1" applyBorder="1"/>
    <xf numFmtId="165" fontId="3" fillId="2" borderId="64" xfId="10" applyNumberFormat="1" applyBorder="1"/>
    <xf numFmtId="164" fontId="4" fillId="3" borderId="3" xfId="1" applyNumberFormat="1" applyBorder="1" applyAlignment="1">
      <alignment horizontal="right"/>
    </xf>
    <xf numFmtId="0" fontId="23" fillId="18" borderId="67" xfId="6" applyBorder="1" applyAlignment="1">
      <alignment horizontal="center" vertical="center"/>
    </xf>
    <xf numFmtId="0" fontId="23" fillId="18" borderId="68" xfId="6" applyBorder="1" applyAlignment="1">
      <alignment horizontal="center" vertical="center"/>
    </xf>
    <xf numFmtId="0" fontId="6" fillId="7" borderId="69" xfId="2" applyFont="1" applyFill="1" applyBorder="1"/>
    <xf numFmtId="0" fontId="6" fillId="7" borderId="70" xfId="2" applyFont="1" applyFill="1" applyBorder="1"/>
    <xf numFmtId="0" fontId="23" fillId="18" borderId="71" xfId="6" applyBorder="1" applyAlignment="1">
      <alignment horizontal="center" vertical="center"/>
    </xf>
    <xf numFmtId="0" fontId="23" fillId="18" borderId="72" xfId="6" applyBorder="1" applyAlignment="1">
      <alignment horizontal="center" vertical="center"/>
    </xf>
    <xf numFmtId="20" fontId="0" fillId="0" borderId="0" xfId="0" applyNumberFormat="1"/>
    <xf numFmtId="9" fontId="0" fillId="0" borderId="0" xfId="0" applyNumberFormat="1"/>
    <xf numFmtId="0" fontId="13" fillId="6" borderId="0" xfId="19" applyFont="1"/>
    <xf numFmtId="0" fontId="13" fillId="19" borderId="0" xfId="11" applyFont="1"/>
    <xf numFmtId="0" fontId="14" fillId="3" borderId="2" xfId="1" applyFont="1"/>
    <xf numFmtId="168" fontId="2" fillId="5" borderId="0" xfId="5" applyNumberFormat="1" applyBorder="1"/>
    <xf numFmtId="0" fontId="15" fillId="18" borderId="7" xfId="6" applyFont="1">
      <alignment horizontal="center"/>
    </xf>
    <xf numFmtId="0" fontId="16" fillId="18" borderId="7" xfId="6" applyFont="1">
      <alignment horizontal="center"/>
    </xf>
    <xf numFmtId="10" fontId="17" fillId="16" borderId="73" xfId="18" applyNumberFormat="1" applyFont="1"/>
    <xf numFmtId="0" fontId="21" fillId="10" borderId="2" xfId="1" applyFont="1" applyFill="1" applyBorder="1"/>
    <xf numFmtId="0" fontId="21" fillId="10" borderId="29" xfId="1" applyFont="1" applyFill="1" applyBorder="1"/>
    <xf numFmtId="0" fontId="21" fillId="10" borderId="26" xfId="1" applyFont="1" applyFill="1" applyBorder="1"/>
    <xf numFmtId="9" fontId="2" fillId="5" borderId="0" xfId="5" applyNumberFormat="1" applyBorder="1"/>
    <xf numFmtId="0" fontId="23" fillId="18" borderId="9" xfId="6" applyBorder="1">
      <alignment horizontal="center"/>
    </xf>
    <xf numFmtId="0" fontId="26" fillId="20" borderId="8" xfId="7">
      <alignment horizontal="center" vertical="center"/>
    </xf>
    <xf numFmtId="0" fontId="2" fillId="5" borderId="1" xfId="5" applyBorder="1"/>
    <xf numFmtId="14" fontId="3" fillId="2" borderId="1" xfId="10" applyNumberFormat="1"/>
    <xf numFmtId="14" fontId="4" fillId="3" borderId="2" xfId="1" applyNumberFormat="1"/>
    <xf numFmtId="0" fontId="4" fillId="3" borderId="2" xfId="1" applyAlignment="1">
      <alignment horizontal="center"/>
    </xf>
    <xf numFmtId="0" fontId="23" fillId="18" borderId="7" xfId="6">
      <alignment horizontal="center"/>
    </xf>
    <xf numFmtId="169" fontId="4" fillId="3" borderId="2" xfId="1" applyNumberFormat="1" applyBorder="1"/>
    <xf numFmtId="0" fontId="4" fillId="10" borderId="3" xfId="1" applyFill="1" applyBorder="1"/>
    <xf numFmtId="0" fontId="6" fillId="7" borderId="76" xfId="2" applyFont="1" applyFill="1" applyBorder="1"/>
    <xf numFmtId="0" fontId="23" fillId="18" borderId="79" xfId="6" applyBorder="1" applyAlignment="1">
      <alignment horizontal="center" vertical="center" wrapText="1"/>
    </xf>
    <xf numFmtId="0" fontId="2" fillId="5" borderId="80" xfId="5" applyBorder="1"/>
    <xf numFmtId="0" fontId="12" fillId="0" borderId="81" xfId="16" applyBorder="1"/>
    <xf numFmtId="0" fontId="2" fillId="5" borderId="82" xfId="5" applyBorder="1"/>
    <xf numFmtId="0" fontId="12" fillId="0" borderId="83" xfId="16" applyBorder="1"/>
    <xf numFmtId="0" fontId="2" fillId="5" borderId="84" xfId="5" applyBorder="1"/>
    <xf numFmtId="0" fontId="12" fillId="0" borderId="85" xfId="16" applyBorder="1"/>
    <xf numFmtId="0" fontId="2" fillId="5" borderId="77" xfId="5" applyBorder="1"/>
    <xf numFmtId="0" fontId="12" fillId="0" borderId="86" xfId="16" applyBorder="1"/>
    <xf numFmtId="0" fontId="2" fillId="5" borderId="87" xfId="5" applyBorder="1"/>
    <xf numFmtId="0" fontId="2" fillId="5" borderId="88" xfId="5" applyBorder="1"/>
    <xf numFmtId="0" fontId="4" fillId="3" borderId="89" xfId="1" applyBorder="1"/>
    <xf numFmtId="0" fontId="29" fillId="17" borderId="93" xfId="8" applyFont="1" applyBorder="1"/>
    <xf numFmtId="0" fontId="28" fillId="17" borderId="95" xfId="8" applyFont="1" applyBorder="1" applyAlignment="1">
      <alignment vertical="center"/>
    </xf>
    <xf numFmtId="0" fontId="28" fillId="17" borderId="97" xfId="8" applyFont="1" applyBorder="1" applyAlignment="1">
      <alignment vertical="center"/>
    </xf>
    <xf numFmtId="0" fontId="12" fillId="0" borderId="101" xfId="16" applyBorder="1" applyAlignment="1">
      <alignment horizontal="right"/>
    </xf>
    <xf numFmtId="0" fontId="1" fillId="6" borderId="111" xfId="19" applyBorder="1" applyAlignment="1">
      <alignment horizontal="center" vertical="center"/>
    </xf>
    <xf numFmtId="0" fontId="0" fillId="22" borderId="102" xfId="0" applyFill="1" applyBorder="1" applyAlignment="1">
      <alignment vertical="center" wrapText="1"/>
    </xf>
    <xf numFmtId="0" fontId="23" fillId="18" borderId="7" xfId="6" applyBorder="1">
      <alignment horizontal="center"/>
    </xf>
    <xf numFmtId="0" fontId="26" fillId="20" borderId="32" xfId="7" applyBorder="1" applyAlignment="1">
      <alignment horizontal="center" vertical="center"/>
    </xf>
    <xf numFmtId="0" fontId="26" fillId="20" borderId="33" xfId="7" applyBorder="1" applyAlignment="1">
      <alignment horizontal="center" vertical="center"/>
    </xf>
    <xf numFmtId="0" fontId="26" fillId="20" borderId="16" xfId="7" applyBorder="1" applyAlignment="1">
      <alignment horizontal="center" vertical="center"/>
    </xf>
    <xf numFmtId="0" fontId="23" fillId="18" borderId="7" xfId="6" applyBorder="1" applyAlignment="1">
      <alignment horizontal="center"/>
    </xf>
    <xf numFmtId="0" fontId="26" fillId="20" borderId="31" xfId="7" applyBorder="1" applyAlignment="1">
      <alignment horizontal="center" vertical="center"/>
    </xf>
    <xf numFmtId="0" fontId="26" fillId="20" borderId="11" xfId="7" applyBorder="1" applyAlignment="1">
      <alignment horizontal="center" vertical="center"/>
    </xf>
    <xf numFmtId="0" fontId="26" fillId="20" borderId="37" xfId="7" applyBorder="1" applyAlignment="1">
      <alignment horizontal="center" vertical="center"/>
    </xf>
    <xf numFmtId="0" fontId="9" fillId="11" borderId="0" xfId="0" applyFont="1" applyFill="1" applyAlignment="1">
      <alignment horizontal="right" vertical="center"/>
    </xf>
    <xf numFmtId="0" fontId="9" fillId="11" borderId="0" xfId="0" applyFont="1" applyFill="1" applyAlignment="1">
      <alignment horizontal="left" vertical="center"/>
    </xf>
    <xf numFmtId="0" fontId="23" fillId="18" borderId="9" xfId="6" applyBorder="1" applyAlignment="1">
      <alignment horizontal="center"/>
    </xf>
    <xf numFmtId="0" fontId="27" fillId="21" borderId="32" xfId="6" applyFont="1" applyFill="1" applyBorder="1" applyAlignment="1">
      <alignment horizontal="center"/>
    </xf>
    <xf numFmtId="0" fontId="27" fillId="21" borderId="33" xfId="6" applyFont="1" applyFill="1" applyBorder="1" applyAlignment="1">
      <alignment horizontal="center"/>
    </xf>
    <xf numFmtId="0" fontId="27" fillId="21" borderId="34" xfId="6" applyFont="1" applyFill="1" applyBorder="1" applyAlignment="1">
      <alignment horizontal="center"/>
    </xf>
    <xf numFmtId="14" fontId="3" fillId="2" borderId="4" xfId="10" applyNumberFormat="1" applyBorder="1" applyAlignment="1">
      <alignment horizontal="right"/>
    </xf>
    <xf numFmtId="14" fontId="3" fillId="2" borderId="48" xfId="10" applyNumberFormat="1" applyBorder="1" applyAlignment="1">
      <alignment horizontal="right"/>
    </xf>
    <xf numFmtId="164" fontId="3" fillId="2" borderId="4" xfId="10" applyBorder="1" applyAlignment="1">
      <alignment horizontal="right"/>
    </xf>
    <xf numFmtId="164" fontId="3" fillId="2" borderId="48" xfId="10" applyBorder="1" applyAlignment="1">
      <alignment horizontal="right"/>
    </xf>
    <xf numFmtId="0" fontId="27" fillId="21" borderId="35" xfId="6" applyFont="1" applyFill="1" applyBorder="1" applyAlignment="1">
      <alignment horizontal="center"/>
    </xf>
    <xf numFmtId="0" fontId="27" fillId="21" borderId="36" xfId="6" applyFont="1" applyFill="1" applyBorder="1" applyAlignment="1">
      <alignment horizontal="center"/>
    </xf>
    <xf numFmtId="0" fontId="27" fillId="21" borderId="37" xfId="6" applyFont="1" applyFill="1" applyBorder="1" applyAlignment="1">
      <alignment horizontal="center"/>
    </xf>
    <xf numFmtId="0" fontId="0" fillId="11" borderId="0" xfId="5" applyFont="1" applyFill="1" applyBorder="1" applyAlignment="1">
      <alignment horizontal="right"/>
    </xf>
    <xf numFmtId="0" fontId="2" fillId="11" borderId="74" xfId="5" applyFill="1" applyBorder="1" applyAlignment="1">
      <alignment horizontal="right"/>
    </xf>
    <xf numFmtId="0" fontId="26" fillId="20" borderId="38" xfId="7" applyBorder="1">
      <alignment horizontal="center" vertical="center"/>
    </xf>
    <xf numFmtId="0" fontId="26" fillId="20" borderId="45" xfId="7" applyBorder="1">
      <alignment horizontal="center" vertical="center"/>
    </xf>
    <xf numFmtId="0" fontId="26" fillId="20" borderId="19" xfId="7" applyBorder="1">
      <alignment horizontal="center" vertical="center"/>
    </xf>
    <xf numFmtId="0" fontId="26" fillId="20" borderId="38" xfId="7" applyBorder="1" applyAlignment="1">
      <alignment horizontal="center" vertical="center"/>
    </xf>
    <xf numFmtId="0" fontId="26" fillId="20" borderId="45" xfId="7" applyBorder="1" applyAlignment="1">
      <alignment horizontal="center" vertical="center"/>
    </xf>
    <xf numFmtId="0" fontId="24" fillId="19" borderId="11" xfId="11" applyFont="1" applyBorder="1" applyAlignment="1">
      <alignment horizontal="center" vertical="center"/>
    </xf>
    <xf numFmtId="0" fontId="26" fillId="20" borderId="54" xfId="7" applyBorder="1">
      <alignment horizontal="center" vertical="center"/>
    </xf>
    <xf numFmtId="0" fontId="26" fillId="20" borderId="52" xfId="7" applyBorder="1">
      <alignment horizontal="center" vertical="center"/>
    </xf>
    <xf numFmtId="0" fontId="1" fillId="6" borderId="11" xfId="19" applyBorder="1" applyAlignment="1">
      <alignment horizontal="center" vertical="center"/>
    </xf>
    <xf numFmtId="0" fontId="0" fillId="22" borderId="99" xfId="0" applyFill="1" applyBorder="1" applyAlignment="1">
      <alignment horizontal="center" vertical="center" wrapText="1"/>
    </xf>
    <xf numFmtId="0" fontId="0" fillId="22" borderId="110" xfId="0" applyFill="1" applyBorder="1" applyAlignment="1">
      <alignment horizontal="center" vertical="center" wrapText="1"/>
    </xf>
    <xf numFmtId="0" fontId="0" fillId="22" borderId="101" xfId="0" applyFill="1" applyBorder="1" applyAlignment="1">
      <alignment horizontal="center" vertical="center" wrapText="1"/>
    </xf>
    <xf numFmtId="0" fontId="24" fillId="19" borderId="0" xfId="11" applyFont="1" applyBorder="1" applyAlignment="1">
      <alignment horizontal="center" vertical="center"/>
    </xf>
    <xf numFmtId="0" fontId="6" fillId="15" borderId="36" xfId="15" applyFont="1" applyBorder="1" applyAlignment="1">
      <alignment horizontal="center" vertical="center"/>
    </xf>
    <xf numFmtId="0" fontId="6" fillId="15" borderId="0" xfId="15" applyFont="1" applyBorder="1" applyAlignment="1">
      <alignment horizontal="center" vertical="center"/>
    </xf>
    <xf numFmtId="0" fontId="6" fillId="15" borderId="75" xfId="15" applyFont="1" applyBorder="1" applyAlignment="1">
      <alignment horizontal="center" vertical="center"/>
    </xf>
    <xf numFmtId="0" fontId="26" fillId="20" borderId="51" xfId="7" applyBorder="1">
      <alignment horizontal="center" vertical="center"/>
    </xf>
    <xf numFmtId="0" fontId="26" fillId="20" borderId="53" xfId="7" applyBorder="1">
      <alignment horizontal="center" vertical="center"/>
    </xf>
    <xf numFmtId="0" fontId="26" fillId="20" borderId="50" xfId="7" applyBorder="1">
      <alignment horizontal="center" vertical="center"/>
    </xf>
    <xf numFmtId="0" fontId="26" fillId="20" borderId="60" xfId="7" applyBorder="1">
      <alignment horizontal="center" vertical="center"/>
    </xf>
    <xf numFmtId="0" fontId="26" fillId="20" borderId="34" xfId="7" applyBorder="1" applyAlignment="1">
      <alignment horizontal="center" vertical="center"/>
    </xf>
    <xf numFmtId="0" fontId="26" fillId="20" borderId="78" xfId="7" applyBorder="1" applyAlignment="1">
      <alignment horizontal="center" vertical="center"/>
    </xf>
    <xf numFmtId="0" fontId="26" fillId="20" borderId="54" xfId="7" applyBorder="1" applyAlignment="1">
      <alignment horizontal="center" vertical="center"/>
    </xf>
    <xf numFmtId="0" fontId="26" fillId="20" borderId="52" xfId="7" applyBorder="1" applyAlignment="1">
      <alignment horizontal="center" vertical="center"/>
    </xf>
    <xf numFmtId="0" fontId="6" fillId="15" borderId="78" xfId="15" applyFont="1" applyBorder="1" applyAlignment="1">
      <alignment horizontal="center" vertical="center"/>
    </xf>
    <xf numFmtId="0" fontId="6" fillId="15" borderId="33" xfId="15" applyFont="1" applyBorder="1" applyAlignment="1">
      <alignment horizontal="center" vertical="center"/>
    </xf>
    <xf numFmtId="0" fontId="6" fillId="15" borderId="63" xfId="15" applyFont="1" applyBorder="1" applyAlignment="1">
      <alignment horizontal="center" vertical="center"/>
    </xf>
    <xf numFmtId="0" fontId="26" fillId="20" borderId="63" xfId="7" applyBorder="1" applyAlignment="1">
      <alignment horizontal="center" vertical="center"/>
    </xf>
    <xf numFmtId="0" fontId="6" fillId="12" borderId="33" xfId="12" applyFont="1" applyBorder="1" applyAlignment="1">
      <alignment horizontal="center" vertical="center"/>
    </xf>
    <xf numFmtId="0" fontId="6" fillId="12" borderId="63" xfId="12" applyFont="1" applyBorder="1" applyAlignment="1">
      <alignment horizontal="center" vertical="center"/>
    </xf>
    <xf numFmtId="0" fontId="6" fillId="13" borderId="33" xfId="13" applyFont="1" applyBorder="1" applyAlignment="1">
      <alignment horizontal="center" vertical="center"/>
    </xf>
    <xf numFmtId="0" fontId="6" fillId="13" borderId="63" xfId="13" applyFont="1" applyBorder="1" applyAlignment="1">
      <alignment horizontal="center" vertical="center"/>
    </xf>
    <xf numFmtId="0" fontId="6" fillId="14" borderId="65" xfId="14" applyFont="1" applyBorder="1" applyAlignment="1">
      <alignment horizontal="center" vertical="center"/>
    </xf>
    <xf numFmtId="0" fontId="6" fillId="14" borderId="18" xfId="14" applyFont="1" applyBorder="1" applyAlignment="1">
      <alignment horizontal="center" vertical="center"/>
    </xf>
    <xf numFmtId="0" fontId="5" fillId="3" borderId="1" xfId="2" applyAlignment="1">
      <alignment horizontal="center" vertical="center"/>
    </xf>
    <xf numFmtId="0" fontId="23" fillId="18" borderId="12" xfId="6" applyBorder="1">
      <alignment horizontal="center"/>
    </xf>
    <xf numFmtId="0" fontId="23" fillId="18" borderId="13" xfId="6" applyBorder="1">
      <alignment horizontal="center"/>
    </xf>
    <xf numFmtId="0" fontId="23" fillId="18" borderId="14" xfId="6" applyBorder="1">
      <alignment horizontal="center"/>
    </xf>
    <xf numFmtId="0" fontId="26" fillId="20" borderId="20" xfId="7" applyBorder="1">
      <alignment horizontal="center" vertical="center"/>
    </xf>
    <xf numFmtId="0" fontId="26" fillId="20" borderId="21" xfId="7" applyBorder="1">
      <alignment horizontal="center" vertical="center"/>
    </xf>
    <xf numFmtId="0" fontId="26" fillId="20" borderId="22" xfId="7" applyBorder="1">
      <alignment horizontal="center" vertical="center"/>
    </xf>
    <xf numFmtId="0" fontId="23" fillId="18" borderId="23" xfId="6" applyBorder="1">
      <alignment horizontal="center"/>
    </xf>
    <xf numFmtId="0" fontId="23" fillId="18" borderId="7" xfId="6" applyBorder="1">
      <alignment horizontal="center"/>
    </xf>
    <xf numFmtId="0" fontId="23" fillId="18" borderId="24" xfId="6" applyBorder="1">
      <alignment horizontal="center"/>
    </xf>
    <xf numFmtId="0" fontId="25" fillId="19" borderId="18" xfId="11" applyFont="1" applyBorder="1" applyAlignment="1">
      <alignment horizontal="center" vertical="center"/>
    </xf>
    <xf numFmtId="0" fontId="24" fillId="19" borderId="17" xfId="11" applyFont="1" applyBorder="1" applyAlignment="1">
      <alignment horizontal="center" vertical="center"/>
    </xf>
    <xf numFmtId="0" fontId="24" fillId="19" borderId="18" xfId="11" applyFont="1" applyBorder="1" applyAlignment="1">
      <alignment horizontal="center" vertical="center"/>
    </xf>
    <xf numFmtId="0" fontId="24" fillId="19" borderId="109" xfId="11" applyFont="1" applyBorder="1" applyAlignment="1">
      <alignment horizontal="center" vertical="center"/>
    </xf>
    <xf numFmtId="0" fontId="0" fillId="0" borderId="36" xfId="0" applyBorder="1" applyAlignment="1">
      <alignment horizontal="center"/>
    </xf>
    <xf numFmtId="0" fontId="0" fillId="0" borderId="0" xfId="0" applyAlignment="1">
      <alignment horizontal="center"/>
    </xf>
    <xf numFmtId="0" fontId="26" fillId="20" borderId="46" xfId="7" applyBorder="1">
      <alignment horizontal="center" vertical="center"/>
    </xf>
    <xf numFmtId="14" fontId="4" fillId="3" borderId="39" xfId="1" applyNumberFormat="1" applyBorder="1" applyAlignment="1">
      <alignment horizontal="center"/>
    </xf>
    <xf numFmtId="14" fontId="4" fillId="3" borderId="2" xfId="1" applyNumberFormat="1" applyAlignment="1">
      <alignment horizontal="center"/>
    </xf>
    <xf numFmtId="0" fontId="2" fillId="5" borderId="15" xfId="5" applyBorder="1" applyAlignment="1">
      <alignment horizontal="center"/>
    </xf>
    <xf numFmtId="0" fontId="2" fillId="5" borderId="0" xfId="5" applyBorder="1" applyAlignment="1">
      <alignment horizontal="center"/>
    </xf>
    <xf numFmtId="0" fontId="2" fillId="5" borderId="66" xfId="5" applyBorder="1" applyAlignment="1">
      <alignment horizontal="center"/>
    </xf>
    <xf numFmtId="0" fontId="28" fillId="17" borderId="91" xfId="8" applyFont="1" applyBorder="1" applyAlignment="1">
      <alignment horizontal="center" vertical="center"/>
    </xf>
    <xf numFmtId="0" fontId="28" fillId="17" borderId="92" xfId="8" applyFont="1" applyBorder="1" applyAlignment="1">
      <alignment horizontal="center" vertical="center"/>
    </xf>
    <xf numFmtId="0" fontId="28" fillId="17" borderId="94" xfId="8" applyFont="1" applyBorder="1" applyAlignment="1">
      <alignment horizontal="center" vertical="center"/>
    </xf>
    <xf numFmtId="0" fontId="26" fillId="20" borderId="49" xfId="7" applyBorder="1">
      <alignment horizontal="center" vertical="center"/>
    </xf>
    <xf numFmtId="0" fontId="26" fillId="20" borderId="90" xfId="7" applyBorder="1">
      <alignment horizontal="center" vertical="center"/>
    </xf>
    <xf numFmtId="0" fontId="4" fillId="3" borderId="96" xfId="1" applyBorder="1" applyAlignment="1">
      <alignment horizontal="center"/>
    </xf>
    <xf numFmtId="0" fontId="4" fillId="3" borderId="39" xfId="1" applyBorder="1" applyAlignment="1">
      <alignment horizontal="center"/>
    </xf>
    <xf numFmtId="0" fontId="23" fillId="18" borderId="98" xfId="6" applyBorder="1" applyAlignment="1">
      <alignment horizontal="center" vertical="center" wrapText="1"/>
    </xf>
    <xf numFmtId="0" fontId="23" fillId="18" borderId="79" xfId="6" applyBorder="1" applyAlignment="1">
      <alignment horizontal="center" vertical="center" wrapText="1"/>
    </xf>
    <xf numFmtId="0" fontId="0" fillId="5" borderId="99" xfId="5" applyFont="1" applyBorder="1" applyAlignment="1">
      <alignment horizontal="center"/>
    </xf>
    <xf numFmtId="0" fontId="0" fillId="5" borderId="100" xfId="5" applyFont="1" applyBorder="1" applyAlignment="1">
      <alignment horizontal="center"/>
    </xf>
    <xf numFmtId="0" fontId="26" fillId="20" borderId="8" xfId="7">
      <alignment horizontal="center" vertical="center"/>
    </xf>
    <xf numFmtId="49" fontId="20" fillId="2" borderId="0" xfId="17" applyNumberFormat="1" applyFont="1" applyBorder="1" applyAlignment="1">
      <alignment horizontal="left" vertical="center" wrapText="1" indent="3"/>
    </xf>
    <xf numFmtId="49" fontId="0" fillId="22" borderId="103" xfId="0" applyNumberFormat="1" applyFill="1" applyBorder="1" applyAlignment="1">
      <alignment horizontal="center" wrapText="1"/>
    </xf>
    <xf numFmtId="49" fontId="0" fillId="22" borderId="104" xfId="0" applyNumberFormat="1" applyFill="1" applyBorder="1" applyAlignment="1">
      <alignment horizontal="center" wrapText="1"/>
    </xf>
    <xf numFmtId="49" fontId="0" fillId="22" borderId="105" xfId="0" applyNumberFormat="1" applyFill="1" applyBorder="1" applyAlignment="1">
      <alignment horizontal="center" wrapText="1"/>
    </xf>
    <xf numFmtId="49" fontId="0" fillId="22" borderId="106" xfId="0" applyNumberFormat="1" applyFill="1" applyBorder="1" applyAlignment="1">
      <alignment horizontal="center" wrapText="1"/>
    </xf>
    <xf numFmtId="49" fontId="0" fillId="22" borderId="107" xfId="0" applyNumberFormat="1" applyFill="1" applyBorder="1" applyAlignment="1">
      <alignment horizontal="center" wrapText="1"/>
    </xf>
    <xf numFmtId="49" fontId="0" fillId="22" borderId="108" xfId="0" applyNumberFormat="1" applyFill="1" applyBorder="1" applyAlignment="1">
      <alignment horizontal="center" wrapText="1"/>
    </xf>
  </cellXfs>
  <cellStyles count="20">
    <cellStyle name="60% - Accent3" xfId="19" builtinId="40"/>
    <cellStyle name="Accent1" xfId="12" builtinId="29"/>
    <cellStyle name="Accent2" xfId="13" builtinId="33"/>
    <cellStyle name="Accent3" xfId="11" builtinId="37" customBuiltin="1"/>
    <cellStyle name="Accent5" xfId="14" builtinId="45"/>
    <cellStyle name="Accent6" xfId="15" builtinId="49"/>
    <cellStyle name="Calculation" xfId="2" builtinId="22"/>
    <cellStyle name="Check Cell" xfId="18" builtinId="23"/>
    <cellStyle name="Conditions" xfId="9"/>
    <cellStyle name="Header 3" xfId="8"/>
    <cellStyle name="MainHeader" xfId="7"/>
    <cellStyle name="Neutral" xfId="17" builtinId="28"/>
    <cellStyle name="Normal" xfId="0" builtinId="0"/>
    <cellStyle name="Null" xfId="3"/>
    <cellStyle name="NumberInput" xfId="10"/>
    <cellStyle name="OK?" xfId="4"/>
    <cellStyle name="Output" xfId="1" builtinId="21"/>
    <cellStyle name="Subheader" xfId="6"/>
    <cellStyle name="SubMenu" xfId="5"/>
    <cellStyle name="Warning Text" xfId="16" builtinId="11"/>
  </cellStyles>
  <dxfs count="24">
    <dxf>
      <font>
        <color theme="0" tint="-4.9989318521683403E-2"/>
      </font>
      <fill>
        <gradientFill degree="90">
          <stop position="0">
            <color rgb="FFFF0000"/>
          </stop>
          <stop position="1">
            <color rgb="FFA50F0F"/>
          </stop>
        </gradientFill>
      </fill>
      <border>
        <left style="thin">
          <color auto="1"/>
        </left>
        <top style="thin">
          <color auto="1"/>
        </top>
        <bottom style="thin">
          <color auto="1"/>
        </bottom>
      </border>
    </dxf>
    <dxf>
      <font>
        <color theme="2" tint="-0.499984740745262"/>
      </font>
      <fill>
        <gradientFill degree="90">
          <stop position="0">
            <color rgb="FFFFFF00"/>
          </stop>
          <stop position="1">
            <color rgb="FFFFC000"/>
          </stop>
        </gradientFill>
      </fill>
      <border>
        <left style="thin">
          <color auto="1"/>
        </left>
        <top style="thin">
          <color auto="1"/>
        </top>
        <bottom style="thin">
          <color auto="1"/>
        </bottom>
        <vertical/>
        <horizontal/>
      </border>
    </dxf>
    <dxf>
      <font>
        <color theme="0" tint="-4.9989318521683403E-2"/>
      </font>
      <fill>
        <gradientFill degree="90">
          <stop position="0">
            <color rgb="FFFF0000"/>
          </stop>
          <stop position="1">
            <color rgb="FFA50F0F"/>
          </stop>
        </gradientFill>
      </fill>
      <border>
        <left style="thin">
          <color auto="1"/>
        </left>
        <top style="thin">
          <color auto="1"/>
        </top>
        <bottom style="thin">
          <color auto="1"/>
        </bottom>
      </border>
    </dxf>
    <dxf>
      <font>
        <color theme="2" tint="-0.499984740745262"/>
      </font>
      <fill>
        <gradientFill degree="90">
          <stop position="0">
            <color rgb="FFFFFF00"/>
          </stop>
          <stop position="1">
            <color rgb="FFFFC000"/>
          </stop>
        </gradientFill>
      </fill>
      <border>
        <left style="thin">
          <color auto="1"/>
        </left>
        <top style="thin">
          <color auto="1"/>
        </top>
        <bottom style="thin">
          <color auto="1"/>
        </bottom>
        <vertical/>
        <horizontal/>
      </border>
    </dxf>
    <dxf>
      <font>
        <color theme="0" tint="-4.9989318521683403E-2"/>
      </font>
      <fill>
        <gradientFill degree="90">
          <stop position="0">
            <color rgb="FFFF0000"/>
          </stop>
          <stop position="1">
            <color rgb="FFA50F0F"/>
          </stop>
        </gradientFill>
      </fill>
      <border>
        <left style="thin">
          <color auto="1"/>
        </left>
        <top style="thin">
          <color auto="1"/>
        </top>
        <bottom style="thin">
          <color auto="1"/>
        </bottom>
      </border>
    </dxf>
    <dxf>
      <font>
        <color theme="2" tint="-0.499984740745262"/>
      </font>
      <fill>
        <gradientFill degree="90">
          <stop position="0">
            <color rgb="FFFFFF00"/>
          </stop>
          <stop position="1">
            <color rgb="FFFFC000"/>
          </stop>
        </gradientFill>
      </fill>
      <border>
        <left style="thin">
          <color auto="1"/>
        </left>
        <top style="thin">
          <color auto="1"/>
        </top>
        <bottom style="thin">
          <color auto="1"/>
        </bottom>
        <vertical/>
        <horizontal/>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color theme="0" tint="-4.9989318521683403E-2"/>
      </font>
      <fill>
        <gradientFill degree="90">
          <stop position="0">
            <color rgb="FFFF0000"/>
          </stop>
          <stop position="1">
            <color rgb="FFA50F0F"/>
          </stop>
        </gradientFill>
      </fill>
      <border>
        <left style="thin">
          <color auto="1"/>
        </left>
        <top style="thin">
          <color auto="1"/>
        </top>
        <bottom style="thin">
          <color auto="1"/>
        </bottom>
      </border>
    </dxf>
    <dxf>
      <font>
        <color theme="2" tint="-0.499984740745262"/>
      </font>
      <fill>
        <gradientFill degree="90">
          <stop position="0">
            <color rgb="FFFFFF00"/>
          </stop>
          <stop position="1">
            <color rgb="FFFFC000"/>
          </stop>
        </gradientFill>
      </fill>
      <border>
        <left style="thin">
          <color auto="1"/>
        </left>
        <top style="thin">
          <color auto="1"/>
        </top>
        <bottom style="thin">
          <color auto="1"/>
        </bottom>
        <vertical/>
        <horizontal/>
      </border>
    </dxf>
    <dxf>
      <font>
        <color theme="0" tint="-4.9989318521683403E-2"/>
      </font>
      <fill>
        <gradientFill degree="90">
          <stop position="0">
            <color rgb="FFFF0000"/>
          </stop>
          <stop position="1">
            <color rgb="FFA50F0F"/>
          </stop>
        </gradientFill>
      </fill>
      <border>
        <left style="thin">
          <color auto="1"/>
        </left>
        <top style="thin">
          <color auto="1"/>
        </top>
        <bottom style="thin">
          <color auto="1"/>
        </bottom>
      </border>
    </dxf>
    <dxf>
      <font>
        <color theme="2" tint="-0.499984740745262"/>
      </font>
      <fill>
        <gradientFill degree="90">
          <stop position="0">
            <color rgb="FFFFFF00"/>
          </stop>
          <stop position="1">
            <color rgb="FFFFC000"/>
          </stop>
        </gradientFill>
      </fill>
      <border>
        <left style="thin">
          <color auto="1"/>
        </left>
        <top style="thin">
          <color auto="1"/>
        </top>
        <bottom style="thin">
          <color auto="1"/>
        </bottom>
        <vertical/>
        <horizontal/>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
      <font>
        <b/>
        <i/>
        <color theme="0"/>
      </font>
      <fill>
        <gradientFill degree="90">
          <stop position="0">
            <color rgb="FFFF3B3B"/>
          </stop>
          <stop position="1">
            <color rgb="FFFF0000"/>
          </stop>
        </gradientFill>
      </fill>
      <border>
        <left style="thin">
          <color rgb="FFFF0000"/>
        </left>
        <right style="thin">
          <color rgb="FFFF0000"/>
        </right>
        <top style="thin">
          <color rgb="FFFF0000"/>
        </top>
        <bottom style="thin">
          <color rgb="FFFF0000"/>
        </bottom>
      </border>
    </dxf>
  </dxfs>
  <tableStyles count="0" defaultTableStyle="TableStyleMedium2" defaultPivotStyle="PivotStyleLight16"/>
  <colors>
    <mruColors>
      <color rgb="FFA50F0F"/>
      <color rgb="FFFFFF99"/>
      <color rgb="FFFF4B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127000</xdr:colOff>
      <xdr:row>0</xdr:row>
      <xdr:rowOff>167217</xdr:rowOff>
    </xdr:from>
    <xdr:to>
      <xdr:col>3</xdr:col>
      <xdr:colOff>482080</xdr:colOff>
      <xdr:row>6</xdr:row>
      <xdr:rowOff>28575</xdr:rowOff>
    </xdr:to>
    <xdr:pic macro="[0]!Measurements_Clear">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4083" y="167217"/>
          <a:ext cx="979497" cy="1067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30</xdr:row>
          <xdr:rowOff>200025</xdr:rowOff>
        </xdr:from>
        <xdr:to>
          <xdr:col>9</xdr:col>
          <xdr:colOff>971550</xdr:colOff>
          <xdr:row>34</xdr:row>
          <xdr:rowOff>171450</xdr:rowOff>
        </xdr:to>
        <xdr:sp macro="" textlink="">
          <xdr:nvSpPr>
            <xdr:cNvPr id="1025" name="Button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1100" b="0" i="0" u="none" strike="noStrike" baseline="0">
                  <a:solidFill>
                    <a:srgbClr val="000000"/>
                  </a:solidFill>
                  <a:latin typeface="Century Gothic"/>
                </a:rPr>
                <a:t>PUSH TO SELECTED ACCELERATOR (FROM MEASURE TAB)</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381000</xdr:colOff>
          <xdr:row>2</xdr:row>
          <xdr:rowOff>38100</xdr:rowOff>
        </xdr:from>
        <xdr:to>
          <xdr:col>4</xdr:col>
          <xdr:colOff>676275</xdr:colOff>
          <xdr:row>2</xdr:row>
          <xdr:rowOff>219075</xdr:rowOff>
        </xdr:to>
        <xdr:sp macro="" textlink="">
          <xdr:nvSpPr>
            <xdr:cNvPr id="1026" name="Button 2"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1100" b="0" i="0" u="none" strike="noStrike" baseline="0">
                  <a:solidFill>
                    <a:srgbClr val="000000"/>
                  </a:solidFill>
                  <a:latin typeface="Century Gothic"/>
                </a:rPr>
                <a:t>Clear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419100</xdr:colOff>
          <xdr:row>2</xdr:row>
          <xdr:rowOff>38100</xdr:rowOff>
        </xdr:from>
        <xdr:to>
          <xdr:col>9</xdr:col>
          <xdr:colOff>962025</xdr:colOff>
          <xdr:row>3</xdr:row>
          <xdr:rowOff>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1100" b="0" i="0" u="none" strike="noStrike" baseline="0">
                  <a:solidFill>
                    <a:srgbClr val="000000"/>
                  </a:solidFill>
                  <a:latin typeface="Century Gothic"/>
                </a:rPr>
                <a:t>Clear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Users\Rex\Dropbox\Cardan.Uab.Machines\QA%20Documents\Users\Rex\Desktop\Cardan_Annu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dge Factors"/>
      <sheetName val="Wedge PDDs"/>
      <sheetName val="Output Factors"/>
      <sheetName val="Flatness_Symmetry"/>
      <sheetName val="Accelerator Details"/>
    </sheetNames>
    <sheetDataSet>
      <sheetData sheetId="0" refreshError="1"/>
      <sheetData sheetId="1" refreshError="1"/>
      <sheetData sheetId="2" refreshError="1"/>
      <sheetData sheetId="3" refreshError="1"/>
      <sheetData sheetId="4">
        <row r="3">
          <cell r="A3">
            <v>6</v>
          </cell>
          <cell r="C3">
            <v>1.6</v>
          </cell>
          <cell r="E3">
            <v>0.94750000000000001</v>
          </cell>
          <cell r="G3">
            <v>1</v>
          </cell>
          <cell r="H3">
            <v>1.0329999999999999</v>
          </cell>
          <cell r="I3">
            <v>1.0529999999999999</v>
          </cell>
          <cell r="K3">
            <v>1.081</v>
          </cell>
          <cell r="L3">
            <v>1.1000000000000001</v>
          </cell>
          <cell r="M3">
            <v>0.70099999999999996</v>
          </cell>
          <cell r="N3">
            <v>0.53700000000000003</v>
          </cell>
          <cell r="O3">
            <v>0.47899999999999998</v>
          </cell>
          <cell r="P3">
            <v>0.39300000000000002</v>
          </cell>
          <cell r="Q3">
            <v>0.94899999999999995</v>
          </cell>
          <cell r="R3">
            <v>0.92400000000000004</v>
          </cell>
          <cell r="S3">
            <v>0.9</v>
          </cell>
          <cell r="T3">
            <v>0.876</v>
          </cell>
          <cell r="U3">
            <v>0.85</v>
          </cell>
          <cell r="V3">
            <v>0.76600000000000001</v>
          </cell>
          <cell r="W3">
            <v>0.65400000000000003</v>
          </cell>
        </row>
        <row r="4">
          <cell r="A4">
            <v>15</v>
          </cell>
          <cell r="C4">
            <v>2.7</v>
          </cell>
          <cell r="E4">
            <v>0.94399999999999995</v>
          </cell>
          <cell r="G4">
            <v>1</v>
          </cell>
          <cell r="H4">
            <v>1.0289999999999999</v>
          </cell>
          <cell r="I4">
            <v>1.0489999999999999</v>
          </cell>
          <cell r="K4">
            <v>1.0740000000000001</v>
          </cell>
          <cell r="L4">
            <v>1.0880000000000001</v>
          </cell>
          <cell r="M4">
            <v>0.75</v>
          </cell>
          <cell r="N4">
            <v>0.60699999999999998</v>
          </cell>
          <cell r="O4">
            <v>0.51700000000000002</v>
          </cell>
          <cell r="P4">
            <v>0.42799999999999999</v>
          </cell>
          <cell r="Q4">
            <v>0.96099999999999997</v>
          </cell>
          <cell r="R4">
            <v>0.94099999999999995</v>
          </cell>
          <cell r="S4">
            <v>0.92200000000000004</v>
          </cell>
          <cell r="T4">
            <v>0.90200000000000002</v>
          </cell>
          <cell r="U4">
            <v>0.88200000000000001</v>
          </cell>
          <cell r="V4">
            <v>0.81100000000000005</v>
          </cell>
          <cell r="W4">
            <v>0.71299999999999997</v>
          </cell>
        </row>
        <row r="8">
          <cell r="A8">
            <v>6</v>
          </cell>
          <cell r="C8">
            <v>1.3</v>
          </cell>
          <cell r="D8">
            <v>0.96699999999999997</v>
          </cell>
          <cell r="E8">
            <v>1</v>
          </cell>
          <cell r="F8">
            <v>1.002</v>
          </cell>
          <cell r="G8">
            <v>1.01</v>
          </cell>
          <cell r="H8">
            <v>1.0049999999999999</v>
          </cell>
        </row>
        <row r="9">
          <cell r="A9">
            <v>9</v>
          </cell>
          <cell r="C9">
            <v>2</v>
          </cell>
          <cell r="D9">
            <v>0.98199999999999998</v>
          </cell>
          <cell r="E9">
            <v>1</v>
          </cell>
          <cell r="F9">
            <v>1</v>
          </cell>
          <cell r="G9">
            <v>0.98699999999999999</v>
          </cell>
          <cell r="H9">
            <v>0.96499999999999997</v>
          </cell>
        </row>
        <row r="10">
          <cell r="A10">
            <v>12</v>
          </cell>
          <cell r="C10">
            <v>2.9</v>
          </cell>
          <cell r="D10">
            <v>0.98099999999999998</v>
          </cell>
          <cell r="E10">
            <v>1</v>
          </cell>
          <cell r="F10">
            <v>0.99199999999999999</v>
          </cell>
          <cell r="G10">
            <v>0.97799999999999998</v>
          </cell>
          <cell r="H10">
            <v>0.95099999999999996</v>
          </cell>
        </row>
        <row r="11">
          <cell r="A11">
            <v>15</v>
          </cell>
          <cell r="C11">
            <v>3.2</v>
          </cell>
          <cell r="D11">
            <v>0.98899999999999999</v>
          </cell>
          <cell r="E11">
            <v>1</v>
          </cell>
          <cell r="F11">
            <v>0.98499999999999999</v>
          </cell>
          <cell r="G11">
            <v>0.97399999999999998</v>
          </cell>
          <cell r="H11">
            <v>0.94399999999999995</v>
          </cell>
        </row>
        <row r="12">
          <cell r="A12">
            <v>18</v>
          </cell>
          <cell r="C12">
            <v>2.2000000000000002</v>
          </cell>
          <cell r="D12">
            <v>0.998</v>
          </cell>
          <cell r="E12">
            <v>1</v>
          </cell>
          <cell r="F12">
            <v>0.97799999999999998</v>
          </cell>
          <cell r="G12">
            <v>0.96299999999999997</v>
          </cell>
          <cell r="H12">
            <v>0.92900000000000005</v>
          </cell>
        </row>
      </sheetData>
    </sheetDataSet>
  </externalBook>
</externalLink>
</file>

<file path=xl/queryTables/queryTable1.xml><?xml version="1.0" encoding="utf-8"?>
<queryTable xmlns="http://schemas.openxmlformats.org/spreadsheetml/2006/main" name="KBHM_1" connectionId="1" autoFormatId="16" applyNumberFormats="0" applyBorderFormats="0" applyFontFormats="1" applyPatternFormats="1" applyAlignmentFormats="0" applyWidthHeightFormats="0"/>
</file>

<file path=xl/theme/theme1.xml><?xml version="1.0" encoding="utf-8"?>
<a:theme xmlns:a="http://schemas.openxmlformats.org/drawingml/2006/main" name="Theme1">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ustin">
      <a:maj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omments" Target="../comments4.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1" tint="4.9989318521683403E-2"/>
  </sheetPr>
  <dimension ref="B1:L46"/>
  <sheetViews>
    <sheetView showGridLines="0" zoomScale="90" zoomScaleNormal="90" workbookViewId="0">
      <selection activeCell="L17" sqref="L17"/>
    </sheetView>
  </sheetViews>
  <sheetFormatPr defaultRowHeight="16.5" x14ac:dyDescent="0.3"/>
  <cols>
    <col min="1" max="1" width="4.375" customWidth="1"/>
    <col min="2" max="2" width="11.5" customWidth="1"/>
    <col min="3" max="3" width="8.125" customWidth="1"/>
    <col min="4" max="4" width="8" customWidth="1"/>
    <col min="5" max="5" width="10.375" customWidth="1"/>
    <col min="6" max="6" width="25.375" customWidth="1"/>
    <col min="7" max="7" width="15.625" customWidth="1"/>
    <col min="8" max="9" width="18.375" customWidth="1"/>
    <col min="10" max="10" width="24" customWidth="1"/>
    <col min="11" max="11" width="12.875" customWidth="1"/>
    <col min="12" max="12" width="4.625" customWidth="1"/>
    <col min="15" max="15" width="37.375" customWidth="1"/>
  </cols>
  <sheetData>
    <row r="1" spans="2:12" x14ac:dyDescent="0.3">
      <c r="B1" s="145" t="s">
        <v>159</v>
      </c>
      <c r="C1" s="145"/>
      <c r="D1" s="145"/>
      <c r="E1" s="145"/>
      <c r="F1" s="145"/>
      <c r="G1" s="145"/>
      <c r="H1" s="146" t="s">
        <v>45</v>
      </c>
      <c r="I1" s="146"/>
      <c r="J1" s="146"/>
      <c r="K1" s="146"/>
      <c r="L1" s="45"/>
    </row>
    <row r="2" spans="2:12" ht="11.25" customHeight="1" x14ac:dyDescent="0.3">
      <c r="B2" s="145"/>
      <c r="C2" s="145"/>
      <c r="D2" s="145"/>
      <c r="E2" s="145"/>
      <c r="F2" s="145"/>
      <c r="G2" s="145"/>
      <c r="H2" s="146"/>
      <c r="I2" s="146"/>
      <c r="J2" s="146"/>
      <c r="K2" s="146"/>
      <c r="L2" s="45"/>
    </row>
    <row r="3" spans="2:12" x14ac:dyDescent="0.3">
      <c r="B3" s="42"/>
      <c r="C3" s="42"/>
      <c r="D3" s="42"/>
      <c r="E3" s="42"/>
      <c r="F3" s="43" t="s">
        <v>30</v>
      </c>
      <c r="G3" s="153" t="s">
        <v>69</v>
      </c>
      <c r="H3" s="154"/>
      <c r="I3" s="44" t="s">
        <v>74</v>
      </c>
      <c r="J3" s="3">
        <v>100</v>
      </c>
      <c r="L3" s="45"/>
    </row>
    <row r="4" spans="2:12" x14ac:dyDescent="0.3">
      <c r="B4" s="42"/>
      <c r="C4" s="42"/>
      <c r="D4" s="42"/>
      <c r="E4" s="42"/>
      <c r="F4" s="43" t="s">
        <v>31</v>
      </c>
      <c r="G4" s="151">
        <v>42810</v>
      </c>
      <c r="H4" s="152"/>
      <c r="I4" s="43" t="s">
        <v>28</v>
      </c>
      <c r="J4" s="3">
        <v>18.8</v>
      </c>
      <c r="K4" s="42" t="s">
        <v>32</v>
      </c>
      <c r="L4" s="45"/>
    </row>
    <row r="5" spans="2:12" x14ac:dyDescent="0.3">
      <c r="B5" s="42"/>
      <c r="C5" s="42"/>
      <c r="D5" s="42"/>
      <c r="E5" s="158" t="str">
        <f>"Ion Chamber (Cal: "&amp;TEXT(Current_Chamber_CalDate,"mm/dd/yyyy")&amp;")"</f>
        <v>Ion Chamber (Cal: 11/09/2016)</v>
      </c>
      <c r="F5" s="159"/>
      <c r="G5" s="153" t="s">
        <v>76</v>
      </c>
      <c r="H5" s="154"/>
      <c r="I5" s="43" t="s">
        <v>29</v>
      </c>
      <c r="J5" s="3">
        <v>754.29</v>
      </c>
      <c r="K5" s="42" t="s">
        <v>33</v>
      </c>
      <c r="L5" s="45"/>
    </row>
    <row r="6" spans="2:12" x14ac:dyDescent="0.3">
      <c r="B6" s="42"/>
      <c r="C6" s="42"/>
      <c r="D6" s="42"/>
      <c r="E6" s="158" t="str">
        <f>"Electrometer (Cal: "&amp;TEXT(Current_Electrometer_CalDate,"mm/dd/yyyy")&amp;")"</f>
        <v>Electrometer (Cal: 11/05/2015)</v>
      </c>
      <c r="F6" s="159"/>
      <c r="G6" s="153" t="s">
        <v>160</v>
      </c>
      <c r="H6" s="154"/>
      <c r="I6" s="44" t="s">
        <v>35</v>
      </c>
      <c r="J6" s="67">
        <f>IFERROR(((273.2+T)/295.2)*760/P,"")</f>
        <v>0.99664786436937547</v>
      </c>
      <c r="K6" s="42"/>
      <c r="L6" s="45"/>
    </row>
    <row r="7" spans="2:12" ht="7.5" customHeight="1" x14ac:dyDescent="0.3">
      <c r="B7" s="45"/>
      <c r="C7" s="45"/>
      <c r="D7" s="45"/>
      <c r="E7" s="45"/>
      <c r="F7" s="45"/>
      <c r="G7" s="45"/>
      <c r="H7" s="45"/>
      <c r="I7" s="45"/>
      <c r="J7" s="45"/>
      <c r="K7" s="45"/>
      <c r="L7" s="45"/>
    </row>
    <row r="8" spans="2:12" ht="6.75" customHeight="1" x14ac:dyDescent="0.3">
      <c r="B8" s="45"/>
      <c r="C8" s="45"/>
      <c r="D8" s="45"/>
      <c r="E8" s="45"/>
      <c r="F8" s="45"/>
      <c r="G8" s="45"/>
      <c r="H8" s="45"/>
      <c r="I8" s="45"/>
      <c r="J8" s="45"/>
      <c r="K8" s="45"/>
      <c r="L8" s="45"/>
    </row>
    <row r="9" spans="2:12" ht="21" customHeight="1" x14ac:dyDescent="0.3">
      <c r="B9" s="155" t="s">
        <v>3</v>
      </c>
      <c r="C9" s="156"/>
      <c r="D9" s="156"/>
      <c r="E9" s="156"/>
      <c r="F9" s="156"/>
      <c r="G9" s="156"/>
      <c r="H9" s="156"/>
      <c r="I9" s="156"/>
      <c r="J9" s="156"/>
      <c r="K9" s="157"/>
    </row>
    <row r="10" spans="2:12" ht="15.75" customHeight="1" thickBot="1" x14ac:dyDescent="0.35">
      <c r="B10" s="138" t="str">
        <f>INDEX(Machines!A5:AF20,MATCH(MEASURE!H1,Machines,0),2)&amp;"X"</f>
        <v>6X</v>
      </c>
      <c r="C10" s="139"/>
      <c r="D10" s="139"/>
      <c r="E10" s="139"/>
      <c r="F10" s="139"/>
      <c r="G10" s="139"/>
      <c r="H10" s="139"/>
      <c r="I10" s="139"/>
      <c r="J10" s="139"/>
      <c r="K10" s="144"/>
    </row>
    <row r="11" spans="2:12" x14ac:dyDescent="0.3">
      <c r="B11" s="27"/>
      <c r="C11" s="141" t="s">
        <v>71</v>
      </c>
      <c r="D11" s="141"/>
      <c r="E11" s="141"/>
      <c r="F11" s="28" t="s">
        <v>72</v>
      </c>
      <c r="G11" s="141" t="s">
        <v>27</v>
      </c>
      <c r="H11" s="141"/>
      <c r="I11" s="28" t="s">
        <v>34</v>
      </c>
      <c r="J11" s="73" t="s">
        <v>75</v>
      </c>
      <c r="K11" s="90" t="s">
        <v>0</v>
      </c>
    </row>
    <row r="12" spans="2:12" x14ac:dyDescent="0.3">
      <c r="B12" s="14" t="s">
        <v>2</v>
      </c>
      <c r="C12" s="5" t="s">
        <v>6</v>
      </c>
      <c r="D12" s="5" t="s">
        <v>7</v>
      </c>
      <c r="E12" s="5" t="s">
        <v>8</v>
      </c>
      <c r="F12" s="6" t="s">
        <v>84</v>
      </c>
      <c r="G12" s="6" t="s">
        <v>61</v>
      </c>
      <c r="H12" s="7" t="s">
        <v>62</v>
      </c>
      <c r="I12" s="5"/>
      <c r="J12" s="6" t="str">
        <f>IF(Current_IsSADType,"M(10) / (TMR(10)*#MU)","M(10)/PDD(10)/#MU")</f>
        <v>M(10) / (TMR(10)*#MU)</v>
      </c>
      <c r="K12" s="91"/>
    </row>
    <row r="13" spans="2:12" x14ac:dyDescent="0.3">
      <c r="B13" s="14">
        <f>Current_dmax_LowX</f>
        <v>1.6</v>
      </c>
      <c r="C13" s="16"/>
      <c r="D13" s="16"/>
      <c r="E13" s="58" t="str">
        <f>IFERROR(AVERAGE(C13:D13),"")</f>
        <v/>
      </c>
      <c r="F13" s="58" t="str">
        <f>IFERROR(E13*Current_Ppol_LowX*Current_Pion_LowX*Current_Pelec*CTP,"")</f>
        <v/>
      </c>
      <c r="G13" s="58" t="str">
        <f>IFERROR(F13/(10000000)*Current_NdwCo60,"")</f>
        <v/>
      </c>
      <c r="H13" s="58" t="str">
        <f ca="1">IFERROR(G13*Current_kQ_LowX,"")</f>
        <v/>
      </c>
      <c r="I13" s="116" t="str">
        <f>IFERROR(E14/E13,"")</f>
        <v/>
      </c>
      <c r="J13" s="117"/>
      <c r="K13" s="118" t="str">
        <f>IFERROR(IF(ABS(I13-Current_PDD10_LowX)&gt;0.02,"ENERGY FAIL","PASSED"),"")</f>
        <v/>
      </c>
    </row>
    <row r="14" spans="2:12" ht="17.25" thickBot="1" x14ac:dyDescent="0.35">
      <c r="B14" s="14">
        <v>10</v>
      </c>
      <c r="C14" s="24"/>
      <c r="D14" s="24"/>
      <c r="E14" s="58" t="str">
        <f>IFERROR(AVERAGE(C14:D14),"")</f>
        <v/>
      </c>
      <c r="F14" s="58" t="str">
        <f>IFERROR(E14*Current_Ppol_LowX*Current_Pelec*Current_Pion_LowX*CTP,"")</f>
        <v/>
      </c>
      <c r="G14" s="58" t="str">
        <f>IFERROR(F14/(10000000)*Current_NdwCo60,"")</f>
        <v/>
      </c>
      <c r="H14" s="58" t="str">
        <f ca="1">IFERROR(G14*Current_kQ_LowX,"")</f>
        <v/>
      </c>
      <c r="I14" s="105" t="str">
        <f ca="1">IFERROR((H14/Current_TMR_PDD10_LowX)*Current_InvSq/MU,"")</f>
        <v/>
      </c>
      <c r="J14" s="89" t="str">
        <f ca="1">IF(I14="","",TEXT(I14,"0.000") &amp;" cGy/MU @ dmax")</f>
        <v/>
      </c>
      <c r="K14" s="92" t="str">
        <f ca="1">IFERROR(IF(ABS(I14-1)&lt;0.02,"PASSED","OUTPUT FAIL"),"")</f>
        <v/>
      </c>
    </row>
    <row r="15" spans="2:12" ht="16.5" customHeight="1" thickBot="1" x14ac:dyDescent="0.35">
      <c r="B15" s="142" t="str">
        <f>INDEX(Machines!A5:AF20,MATCH(MEASURE!H1,Machines,0),3)&amp;"X"</f>
        <v>15X</v>
      </c>
      <c r="C15" s="143"/>
      <c r="D15" s="143"/>
      <c r="E15" s="143"/>
      <c r="F15" s="143"/>
      <c r="G15" s="143"/>
      <c r="H15" s="143"/>
      <c r="I15" s="143"/>
      <c r="J15" s="143"/>
      <c r="K15" s="140"/>
    </row>
    <row r="16" spans="2:12" x14ac:dyDescent="0.3">
      <c r="B16" s="27"/>
      <c r="C16" s="141" t="s">
        <v>71</v>
      </c>
      <c r="D16" s="141"/>
      <c r="E16" s="141"/>
      <c r="F16" s="28" t="s">
        <v>72</v>
      </c>
      <c r="G16" s="147" t="s">
        <v>27</v>
      </c>
      <c r="H16" s="147"/>
      <c r="I16" s="28" t="s">
        <v>34</v>
      </c>
      <c r="J16" s="28" t="s">
        <v>75</v>
      </c>
      <c r="K16" s="90" t="s">
        <v>0</v>
      </c>
    </row>
    <row r="17" spans="2:11" x14ac:dyDescent="0.3">
      <c r="B17" s="14" t="s">
        <v>2</v>
      </c>
      <c r="C17" s="5" t="s">
        <v>6</v>
      </c>
      <c r="D17" s="5" t="s">
        <v>7</v>
      </c>
      <c r="E17" s="5" t="s">
        <v>8</v>
      </c>
      <c r="F17" s="6" t="s">
        <v>84</v>
      </c>
      <c r="G17" s="6" t="s">
        <v>61</v>
      </c>
      <c r="H17" s="7" t="s">
        <v>62</v>
      </c>
      <c r="I17" s="5"/>
      <c r="J17" s="6" t="str">
        <f>IF(Current_IsSADType,"M(10) / (TMR(10)*#MU)","M(10)/PDD(10)/#MU")</f>
        <v>M(10) / (TMR(10)*#MU)</v>
      </c>
      <c r="K17" s="91"/>
    </row>
    <row r="18" spans="2:11" x14ac:dyDescent="0.3">
      <c r="B18" s="14">
        <f>Current_dmax_HighX</f>
        <v>2.7</v>
      </c>
      <c r="C18" s="16"/>
      <c r="D18" s="16"/>
      <c r="E18" s="58" t="str">
        <f>IFERROR(AVERAGE(C18:D18),"")</f>
        <v/>
      </c>
      <c r="F18" s="17" t="str">
        <f>IFERROR(E18*Current_Ppol_HighX*Current_Pion_HighX*Current_Pelec*CTP,"")</f>
        <v/>
      </c>
      <c r="G18" s="17" t="str">
        <f>IFERROR(F18/(10000000)*Current_NdwCo60,"")</f>
        <v/>
      </c>
      <c r="H18" s="17" t="str">
        <f ca="1">IFERROR(G18*Current_kQ_LowX,"")</f>
        <v/>
      </c>
      <c r="I18" s="116" t="str">
        <f>IFERROR(E19/E18,"")</f>
        <v/>
      </c>
      <c r="J18" s="117"/>
      <c r="K18" s="118" t="str">
        <f>IFERROR(IF(ABS(I18-Current_PDD10_HighX)&gt;0.02,"ENERGY FAIL","PASSED"),"")</f>
        <v/>
      </c>
    </row>
    <row r="19" spans="2:11" ht="17.25" thickBot="1" x14ac:dyDescent="0.35">
      <c r="B19" s="14">
        <v>10</v>
      </c>
      <c r="C19" s="24"/>
      <c r="D19" s="24"/>
      <c r="E19" s="58" t="str">
        <f>IFERROR(AVERAGE(C19:D19),"")</f>
        <v/>
      </c>
      <c r="F19" s="58" t="str">
        <f>IFERROR(E19*Current_Ppol_HighX*Current_Pion_HighX*Current_Pelec*CTP,"")</f>
        <v/>
      </c>
      <c r="G19" s="58" t="str">
        <f>IFERROR(F19/(10000000)*Current_NdwCo60,"")</f>
        <v/>
      </c>
      <c r="H19" s="58" t="str">
        <f ca="1">IFERROR(G19*Current_kQ_HighX,"")</f>
        <v/>
      </c>
      <c r="I19" s="105" t="str">
        <f ca="1">IFERROR((H19/Current_TMR_PDD10_HighX)*Current_InvSq/MU,"")</f>
        <v/>
      </c>
      <c r="J19" s="89" t="str">
        <f ca="1">IF(I19="","",TEXT(I19,"0.000") &amp;" cGy/MU @ dmax")</f>
        <v/>
      </c>
      <c r="K19" s="93" t="str">
        <f ca="1">IFERROR(IF(ABS(I19-1)&lt;0.02,"PASSED","OUTPUT FAIL"),"")</f>
        <v/>
      </c>
    </row>
    <row r="20" spans="2:11" ht="6" customHeight="1" x14ac:dyDescent="0.3"/>
    <row r="21" spans="2:11" ht="18.75" customHeight="1" x14ac:dyDescent="0.3">
      <c r="B21" s="148" t="s">
        <v>1</v>
      </c>
      <c r="C21" s="149"/>
      <c r="D21" s="149"/>
      <c r="E21" s="149"/>
      <c r="F21" s="149"/>
      <c r="G21" s="149"/>
      <c r="H21" s="149"/>
      <c r="I21" s="149"/>
      <c r="J21" s="149"/>
      <c r="K21" s="150"/>
    </row>
    <row r="22" spans="2:11" ht="15.75" customHeight="1" thickBot="1" x14ac:dyDescent="0.35">
      <c r="B22" s="138" t="str">
        <f>INDEX(Machines!A5:AF20,MATCH(MEASURE!H1,Machines,0),4)&amp;"E"</f>
        <v>6E</v>
      </c>
      <c r="C22" s="139"/>
      <c r="D22" s="139"/>
      <c r="E22" s="139"/>
      <c r="F22" s="139"/>
      <c r="G22" s="139"/>
      <c r="H22" s="139"/>
      <c r="I22" s="139"/>
      <c r="J22" s="139"/>
      <c r="K22" s="144"/>
    </row>
    <row r="23" spans="2:11" x14ac:dyDescent="0.3">
      <c r="B23" s="27"/>
      <c r="C23" s="141" t="s">
        <v>71</v>
      </c>
      <c r="D23" s="141"/>
      <c r="E23" s="141"/>
      <c r="F23" s="28" t="s">
        <v>72</v>
      </c>
      <c r="G23" s="141" t="s">
        <v>38</v>
      </c>
      <c r="H23" s="141"/>
      <c r="I23" s="28"/>
      <c r="J23" s="28" t="s">
        <v>75</v>
      </c>
      <c r="K23" s="90" t="s">
        <v>0</v>
      </c>
    </row>
    <row r="24" spans="2:11" x14ac:dyDescent="0.3">
      <c r="B24" s="14" t="s">
        <v>2</v>
      </c>
      <c r="C24" s="5" t="s">
        <v>6</v>
      </c>
      <c r="D24" s="5" t="s">
        <v>7</v>
      </c>
      <c r="E24" s="5" t="s">
        <v>8</v>
      </c>
      <c r="F24" s="6" t="s">
        <v>84</v>
      </c>
      <c r="G24" s="6" t="s">
        <v>61</v>
      </c>
      <c r="H24" s="7" t="s">
        <v>87</v>
      </c>
      <c r="I24" s="5"/>
      <c r="J24" s="6" t="s">
        <v>39</v>
      </c>
      <c r="K24" s="91"/>
    </row>
    <row r="25" spans="2:11" ht="17.25" thickBot="1" x14ac:dyDescent="0.35">
      <c r="B25" s="57" t="str">
        <f>TEXT(Current_dref_E1+0.5*Current_rcav,"0.00")</f>
        <v>1.44</v>
      </c>
      <c r="C25" s="16"/>
      <c r="D25" s="16"/>
      <c r="E25" s="58" t="str">
        <f>IFERROR(AVERAGE(C25:D25),"")</f>
        <v/>
      </c>
      <c r="F25" s="17" t="str">
        <f>IFERROR(E25*Current_Ppol_E1*Current_Pion_E1*Current_Pelec*CTP,"")</f>
        <v/>
      </c>
      <c r="G25" s="17" t="str">
        <f>IFERROR(F25/(10000000)*Current_NdwCo60,"")</f>
        <v/>
      </c>
      <c r="H25" s="17" t="str">
        <f>IFERROR(G25*Current_kecal*Current_E1kpR50/Current_ConeF_E1,"")</f>
        <v/>
      </c>
      <c r="I25" s="106" t="str">
        <f>IFERROR((H25/Current_elPDD_E1)/MU,"")</f>
        <v/>
      </c>
      <c r="J25" s="89" t="str">
        <f>IF(I25="","",TEXT(I25,"0.000") &amp;" cGy/MU @ dmax")</f>
        <v/>
      </c>
      <c r="K25" s="93" t="str">
        <f>IFERROR(IF(ABS(I25-1)&lt;0.02,"PASSED","OUTPUT FAIL"),"")</f>
        <v/>
      </c>
    </row>
    <row r="26" spans="2:11" x14ac:dyDescent="0.3">
      <c r="B26" s="57" t="str">
        <f>TEXT(Current_R80_E1+0.5*Current_rcav,"0.00")</f>
        <v>2.15</v>
      </c>
      <c r="C26" s="24"/>
      <c r="D26" s="24"/>
      <c r="E26" s="58" t="str">
        <f>IFERROR(AVERAGE(C26:D26),"")</f>
        <v/>
      </c>
      <c r="F26" s="17" t="str">
        <f>IFERROR(E26*Current_Ppol_E1*Current_Pion_E1*Current_Pelec*CTP,"")</f>
        <v/>
      </c>
      <c r="G26" s="17" t="str">
        <f>IFERROR(F26/(10000000)*Current_NdwCo60,"")</f>
        <v/>
      </c>
      <c r="H26" s="17" t="str">
        <f>IFERROR(G26*Current_kecal*Current_E1kpR50,"")</f>
        <v/>
      </c>
      <c r="I26" s="89" t="str">
        <f>IFERROR(E26/E25,"")</f>
        <v/>
      </c>
      <c r="J26" s="106" t="str">
        <f>IF(I26="","",TEXT(I26,"0.000") &amp;" cGy/MU @ dmax")</f>
        <v/>
      </c>
      <c r="K26" s="118" t="str">
        <f>IF(ISNUMBER(E26),IFERROR(IF(AND(I26&gt;Current_LowETol_E1,I26&lt;Current_HighETol_E1),"PASSED","ENERGY FAIL"),""),"")</f>
        <v/>
      </c>
    </row>
    <row r="27" spans="2:11" ht="15.75" customHeight="1" thickBot="1" x14ac:dyDescent="0.35">
      <c r="B27" s="138" t="str">
        <f>INDEX(Machines!A5:AF20,MATCH(MEASURE!H1,Machines,0),5)&amp;"E"</f>
        <v>9E</v>
      </c>
      <c r="C27" s="139"/>
      <c r="D27" s="139"/>
      <c r="E27" s="139"/>
      <c r="F27" s="139"/>
      <c r="G27" s="139"/>
      <c r="H27" s="139"/>
      <c r="I27" s="139"/>
      <c r="J27" s="139"/>
      <c r="K27" s="140"/>
    </row>
    <row r="28" spans="2:11" x14ac:dyDescent="0.3">
      <c r="B28" s="27"/>
      <c r="C28" s="141" t="s">
        <v>71</v>
      </c>
      <c r="D28" s="141"/>
      <c r="E28" s="141"/>
      <c r="F28" s="28" t="s">
        <v>72</v>
      </c>
      <c r="G28" s="141" t="s">
        <v>38</v>
      </c>
      <c r="H28" s="141"/>
      <c r="I28" s="28"/>
      <c r="J28" s="28" t="s">
        <v>75</v>
      </c>
      <c r="K28" s="94" t="s">
        <v>0</v>
      </c>
    </row>
    <row r="29" spans="2:11" x14ac:dyDescent="0.3">
      <c r="B29" s="14" t="s">
        <v>2</v>
      </c>
      <c r="C29" s="5" t="s">
        <v>6</v>
      </c>
      <c r="D29" s="5" t="s">
        <v>7</v>
      </c>
      <c r="E29" s="5" t="s">
        <v>8</v>
      </c>
      <c r="F29" s="6" t="s">
        <v>84</v>
      </c>
      <c r="G29" s="6" t="s">
        <v>61</v>
      </c>
      <c r="H29" s="7" t="s">
        <v>87</v>
      </c>
      <c r="I29" s="5"/>
      <c r="J29" s="6" t="s">
        <v>39</v>
      </c>
      <c r="K29" s="95"/>
    </row>
    <row r="30" spans="2:11" ht="17.25" thickBot="1" x14ac:dyDescent="0.35">
      <c r="B30" s="57" t="str">
        <f>TEXT(Current_dref_E2+0.5*Current_rcav,"0.00")</f>
        <v>2.17</v>
      </c>
      <c r="C30" s="16"/>
      <c r="D30" s="16"/>
      <c r="E30" s="58" t="str">
        <f>IFERROR(AVERAGE(C30:D30),"")</f>
        <v/>
      </c>
      <c r="F30" s="17" t="str">
        <f>IFERROR(E30*Current_Ppol_E2*Current_Pion_E2*Current_Pelec*CTP,"")</f>
        <v/>
      </c>
      <c r="G30" s="17" t="str">
        <f>IFERROR(F30/(10000000)*Current_NdwCo60,"")</f>
        <v/>
      </c>
      <c r="H30" s="17" t="str">
        <f>IFERROR(G30*Current_kecal*Current_E2kpR50/Current_ConeF_E2,"")</f>
        <v/>
      </c>
      <c r="I30" s="106" t="str">
        <f>IFERROR((H30/Current_elPDD_E2)/MU,"")</f>
        <v/>
      </c>
      <c r="J30" s="89" t="str">
        <f>IF(I30="","",TEXT(I30,"0.000") &amp;" cGy/MU @ dmax")</f>
        <v/>
      </c>
      <c r="K30" s="93" t="str">
        <f>IFERROR(IF(ABS(I30-1)&lt;0.02,"PASSED","OUTPUT FAIL"),"")</f>
        <v/>
      </c>
    </row>
    <row r="31" spans="2:11" x14ac:dyDescent="0.3">
      <c r="B31" s="57" t="str">
        <f>TEXT(Current_R80_E2+0.5*Current_rcav,"0.00")</f>
        <v>3.15</v>
      </c>
      <c r="C31" s="24"/>
      <c r="D31" s="24"/>
      <c r="E31" s="58" t="str">
        <f>IFERROR(AVERAGE(C31:D31),"")</f>
        <v/>
      </c>
      <c r="F31" s="17" t="str">
        <f>IFERROR(E31*Current_Ppol_E2*Current_Pion_E2*Current_Pelec*CTP,"")</f>
        <v/>
      </c>
      <c r="G31" s="17" t="str">
        <f>IFERROR(F31/(10000000)*Current_NdwCo60,"")</f>
        <v/>
      </c>
      <c r="H31" s="17" t="str">
        <f>IFERROR(G31*Current_kecal*Current_E2kpR50,"")</f>
        <v/>
      </c>
      <c r="I31" s="89" t="str">
        <f>IFERROR(E31/E30,"")</f>
        <v/>
      </c>
      <c r="J31" s="106" t="str">
        <f>IF(I31="","",TEXT(I31,"0.000") &amp;" cGy/MU @ dmax")</f>
        <v/>
      </c>
      <c r="K31" s="118" t="str">
        <f>IF(ISNUMBER(E31),IFERROR(IF(AND(I31&gt;Current_LowETol_E1,I31&lt;Current_HighETol_E1),"PASSED","ENERGY FAIL"),""),"")</f>
        <v/>
      </c>
    </row>
    <row r="32" spans="2:11" ht="15.75" customHeight="1" thickBot="1" x14ac:dyDescent="0.35">
      <c r="B32" s="138" t="str">
        <f>INDEX(Machines!A5:AF20,MATCH(MEASURE!H1,Machines,0),6)&amp;"E"</f>
        <v>12E</v>
      </c>
      <c r="C32" s="139"/>
      <c r="D32" s="139"/>
      <c r="E32" s="139"/>
      <c r="F32" s="139"/>
      <c r="G32" s="139"/>
      <c r="H32" s="139"/>
      <c r="I32" s="139"/>
      <c r="J32" s="139"/>
      <c r="K32" s="140"/>
    </row>
    <row r="33" spans="2:11" x14ac:dyDescent="0.3">
      <c r="B33" s="27"/>
      <c r="C33" s="141" t="s">
        <v>71</v>
      </c>
      <c r="D33" s="141"/>
      <c r="E33" s="141"/>
      <c r="F33" s="28" t="s">
        <v>72</v>
      </c>
      <c r="G33" s="141" t="s">
        <v>38</v>
      </c>
      <c r="H33" s="141"/>
      <c r="I33" s="28"/>
      <c r="J33" s="28" t="s">
        <v>75</v>
      </c>
      <c r="K33" s="90" t="s">
        <v>0</v>
      </c>
    </row>
    <row r="34" spans="2:11" x14ac:dyDescent="0.3">
      <c r="B34" s="14" t="s">
        <v>2</v>
      </c>
      <c r="C34" s="5" t="s">
        <v>6</v>
      </c>
      <c r="D34" s="5" t="s">
        <v>7</v>
      </c>
      <c r="E34" s="5" t="s">
        <v>8</v>
      </c>
      <c r="F34" s="6" t="s">
        <v>84</v>
      </c>
      <c r="G34" s="6" t="s">
        <v>61</v>
      </c>
      <c r="H34" s="7" t="s">
        <v>87</v>
      </c>
      <c r="I34" s="5"/>
      <c r="J34" s="6" t="s">
        <v>39</v>
      </c>
      <c r="K34" s="91"/>
    </row>
    <row r="35" spans="2:11" ht="17.25" thickBot="1" x14ac:dyDescent="0.35">
      <c r="B35" s="57" t="str">
        <f>TEXT(Current_dref_E3+0.5*Current_rcav,"0.00")</f>
        <v>3.07</v>
      </c>
      <c r="C35" s="16"/>
      <c r="D35" s="16"/>
      <c r="E35" s="58" t="str">
        <f>IFERROR(AVERAGE(C35:D35),"")</f>
        <v/>
      </c>
      <c r="F35" s="17" t="str">
        <f>IFERROR(E35*Current_Ppol_E3*Current_Pion_E3*Current_Pelec*CTP,"")</f>
        <v/>
      </c>
      <c r="G35" s="17" t="str">
        <f>IFERROR(F35/(10000000)*Current_NdwCo60,"")</f>
        <v/>
      </c>
      <c r="H35" s="17" t="str">
        <f>IFERROR(G35*Current_kecal*Current_E3kpR50/Current_ConeF_E3,"")</f>
        <v/>
      </c>
      <c r="I35" s="106" t="str">
        <f>IFERROR((H35/Current_elPDD_E3)/MU,"")</f>
        <v/>
      </c>
      <c r="J35" s="89" t="str">
        <f>IF(I35="","",TEXT(I35,"0.000") &amp;" cGy/MU @ dmax")</f>
        <v/>
      </c>
      <c r="K35" s="93" t="str">
        <f>IFERROR(IF(ABS(I35-1)&lt;0.02,"PASSED","OUTPUT FAIL"),"")</f>
        <v/>
      </c>
    </row>
    <row r="36" spans="2:11" x14ac:dyDescent="0.3">
      <c r="B36" s="57" t="str">
        <f>TEXT(Current_R80_E3+0.5*Current_rcav,"0.00")</f>
        <v>4.45</v>
      </c>
      <c r="C36" s="24"/>
      <c r="D36" s="24"/>
      <c r="E36" s="58" t="str">
        <f>IFERROR(AVERAGE(C36:D36),"")</f>
        <v/>
      </c>
      <c r="F36" s="17" t="str">
        <f>IFERROR(E36*Current_Ppol_E3*Current_Pion_E3*Current_Pelec*CTP,"")</f>
        <v/>
      </c>
      <c r="G36" s="17" t="str">
        <f>IFERROR(F36/(10000000)*Current_NdwCo60,"")</f>
        <v/>
      </c>
      <c r="H36" s="17" t="str">
        <f>IFERROR(G36*Current_kecal*Current_E3kpR50,"")</f>
        <v/>
      </c>
      <c r="I36" s="89" t="str">
        <f>IFERROR(E36/E35,"")</f>
        <v/>
      </c>
      <c r="J36" s="106" t="str">
        <f>IF(I36="","",TEXT(I36,"0.000") &amp;" cGy/MU @ dmax")</f>
        <v/>
      </c>
      <c r="K36" s="118" t="str">
        <f>IF(ISNUMBER(E36),IFERROR(IF(AND(I36&gt;Current_LowETol_E1,I36&lt;Current_HighETol_E1),"PASSED","ENERGY FAIL"),""),"")</f>
        <v/>
      </c>
    </row>
    <row r="37" spans="2:11" ht="15.75" customHeight="1" thickBot="1" x14ac:dyDescent="0.35">
      <c r="B37" s="138" t="str">
        <f>INDEX(Machines!A5:AF20,MATCH(MEASURE!H1,Machines,0),7)&amp;"E"</f>
        <v>15E</v>
      </c>
      <c r="C37" s="139"/>
      <c r="D37" s="139"/>
      <c r="E37" s="139"/>
      <c r="F37" s="139"/>
      <c r="G37" s="139"/>
      <c r="H37" s="139"/>
      <c r="I37" s="139"/>
      <c r="J37" s="139"/>
      <c r="K37" s="140"/>
    </row>
    <row r="38" spans="2:11" x14ac:dyDescent="0.3">
      <c r="B38" s="27"/>
      <c r="C38" s="141" t="s">
        <v>71</v>
      </c>
      <c r="D38" s="141"/>
      <c r="E38" s="141"/>
      <c r="F38" s="28" t="s">
        <v>72</v>
      </c>
      <c r="G38" s="141" t="s">
        <v>38</v>
      </c>
      <c r="H38" s="141"/>
      <c r="I38" s="28"/>
      <c r="J38" s="28" t="s">
        <v>75</v>
      </c>
      <c r="K38" s="90" t="s">
        <v>0</v>
      </c>
    </row>
    <row r="39" spans="2:11" x14ac:dyDescent="0.3">
      <c r="B39" s="14" t="s">
        <v>2</v>
      </c>
      <c r="C39" s="5" t="s">
        <v>6</v>
      </c>
      <c r="D39" s="5" t="s">
        <v>7</v>
      </c>
      <c r="E39" s="5" t="s">
        <v>8</v>
      </c>
      <c r="F39" s="6" t="s">
        <v>84</v>
      </c>
      <c r="G39" s="6" t="s">
        <v>61</v>
      </c>
      <c r="H39" s="7" t="s">
        <v>87</v>
      </c>
      <c r="I39" s="5"/>
      <c r="J39" s="6" t="s">
        <v>39</v>
      </c>
      <c r="K39" s="91"/>
    </row>
    <row r="40" spans="2:11" ht="17.25" thickBot="1" x14ac:dyDescent="0.35">
      <c r="B40" s="57" t="str">
        <f>TEXT(Current_dref_E4+0.5*Current_rcav,"0.00")</f>
        <v>3.83</v>
      </c>
      <c r="C40" s="16"/>
      <c r="D40" s="16"/>
      <c r="E40" s="58" t="str">
        <f>IFERROR(AVERAGE(C40:D40),"")</f>
        <v/>
      </c>
      <c r="F40" s="17" t="str">
        <f>IFERROR(E40*Current_Ppol_E4*Current_Pion_E4*Current_Pelec*CTP,"")</f>
        <v/>
      </c>
      <c r="G40" s="17" t="str">
        <f>IFERROR(F40/(10000000)*Current_NdwCo60,"")</f>
        <v/>
      </c>
      <c r="H40" s="17" t="str">
        <f>IFERROR(G40*Current_kecal*Current_E4kpR50/Current_ConeF_E4,"")</f>
        <v/>
      </c>
      <c r="I40" s="106" t="str">
        <f>IFERROR((H40/Current_elPDD_E4)/MU,"")</f>
        <v/>
      </c>
      <c r="J40" s="89" t="str">
        <f>IF(I40="","",TEXT(I40,"0.000") &amp;" cGy/MU @ dmax")</f>
        <v/>
      </c>
      <c r="K40" s="93" t="str">
        <f>IFERROR(IF(ABS(I40-1)&lt;0.02,"PASSED","OUTPUT FAIL"),"")</f>
        <v/>
      </c>
    </row>
    <row r="41" spans="2:11" x14ac:dyDescent="0.3">
      <c r="B41" s="57" t="str">
        <f>TEXT(Current_R80_E4+0.5*Current_rcav,"0.00")</f>
        <v>5.55</v>
      </c>
      <c r="C41" s="24"/>
      <c r="D41" s="24"/>
      <c r="E41" s="58" t="str">
        <f>IFERROR(AVERAGE(C41:D41),"")</f>
        <v/>
      </c>
      <c r="F41" s="17" t="str">
        <f>IFERROR(E41*Current_Ppol_E4*Current_Pion_E4*Current_Pelec*CTP,"")</f>
        <v/>
      </c>
      <c r="G41" s="17" t="str">
        <f>IFERROR(F41/(10000000)*Current_NdwCo60,"")</f>
        <v/>
      </c>
      <c r="H41" s="17" t="str">
        <f>IFERROR(G41*Current_kecal*Current_E4kpR50,"")</f>
        <v/>
      </c>
      <c r="I41" s="89" t="str">
        <f>IFERROR(E41/E40,"")</f>
        <v/>
      </c>
      <c r="J41" s="106" t="str">
        <f>IF(I41="","",TEXT(I41,"0.000") &amp;" cGy/MU @ dmax")</f>
        <v/>
      </c>
      <c r="K41" s="118" t="str">
        <f>IF(ISNUMBER(E41),IFERROR(IF(AND(I41&gt;Current_LowETol_E1,I41&lt;Current_HighETol_E1),"PASSED","ENERGY FAIL"),""),"")</f>
        <v/>
      </c>
    </row>
    <row r="42" spans="2:11" ht="15" customHeight="1" thickBot="1" x14ac:dyDescent="0.35">
      <c r="B42" s="138" t="str">
        <f>INDEX(Machines!A5:AF20,MATCH(MEASURE!H1,Machines,0),8)&amp;"E"</f>
        <v>18E</v>
      </c>
      <c r="C42" s="139"/>
      <c r="D42" s="139"/>
      <c r="E42" s="139"/>
      <c r="F42" s="139"/>
      <c r="G42" s="139"/>
      <c r="H42" s="139"/>
      <c r="I42" s="139"/>
      <c r="J42" s="139"/>
      <c r="K42" s="140"/>
    </row>
    <row r="43" spans="2:11" x14ac:dyDescent="0.3">
      <c r="B43" s="27"/>
      <c r="C43" s="141" t="s">
        <v>71</v>
      </c>
      <c r="D43" s="141"/>
      <c r="E43" s="141"/>
      <c r="F43" s="28" t="s">
        <v>72</v>
      </c>
      <c r="G43" s="141" t="s">
        <v>38</v>
      </c>
      <c r="H43" s="141"/>
      <c r="I43" s="28"/>
      <c r="J43" s="28" t="s">
        <v>75</v>
      </c>
      <c r="K43" s="90" t="s">
        <v>0</v>
      </c>
    </row>
    <row r="44" spans="2:11" x14ac:dyDescent="0.3">
      <c r="B44" s="14" t="s">
        <v>2</v>
      </c>
      <c r="C44" s="5" t="s">
        <v>6</v>
      </c>
      <c r="D44" s="5" t="s">
        <v>7</v>
      </c>
      <c r="E44" s="5" t="s">
        <v>8</v>
      </c>
      <c r="F44" s="6" t="s">
        <v>84</v>
      </c>
      <c r="G44" s="6" t="s">
        <v>61</v>
      </c>
      <c r="H44" s="7" t="s">
        <v>87</v>
      </c>
      <c r="I44" s="5"/>
      <c r="J44" s="6" t="s">
        <v>39</v>
      </c>
      <c r="K44" s="91"/>
    </row>
    <row r="45" spans="2:11" ht="17.25" thickBot="1" x14ac:dyDescent="0.35">
      <c r="B45" s="57" t="str">
        <f>TEXT(Current_dref_E5+0.5*Current_rcav,"0.00")</f>
        <v>4.58</v>
      </c>
      <c r="C45" s="16"/>
      <c r="D45" s="16"/>
      <c r="E45" s="58" t="str">
        <f>IFERROR(AVERAGE(C45:D45),"")</f>
        <v/>
      </c>
      <c r="F45" s="17" t="str">
        <f>IFERROR(E45*Current_Ppol_E5*Current_Pion_E5*Current_Pelec*CTP,"")</f>
        <v/>
      </c>
      <c r="G45" s="17" t="str">
        <f>IFERROR(F45/(10000000)*Current_NdwCo60,"")</f>
        <v/>
      </c>
      <c r="H45" s="17" t="str">
        <f>IFERROR(G45*Current_kecal*Current_E5kpR50/Current_ConeF_E5,"")</f>
        <v/>
      </c>
      <c r="I45" s="107" t="str">
        <f>IFERROR((H45/Current_elPDD_E5)/MU,"")</f>
        <v/>
      </c>
      <c r="J45" s="89" t="str">
        <f>IF(I45="","",TEXT(I45,"0.000") &amp;" cGy/MU @ dmax")</f>
        <v/>
      </c>
      <c r="K45" s="93" t="str">
        <f>IFERROR(IF(ABS(I45-1)&lt;0.02,"PASSED","OUTPUT FAIL"),"")</f>
        <v/>
      </c>
    </row>
    <row r="46" spans="2:11" x14ac:dyDescent="0.3">
      <c r="B46" s="57" t="str">
        <f>TEXT(Current_R80_E5+0.5*Current_rcav,"0.00")</f>
        <v>6.55</v>
      </c>
      <c r="C46" s="19"/>
      <c r="D46" s="19"/>
      <c r="E46" s="58" t="str">
        <f>IFERROR(AVERAGE(C46:D46),"")</f>
        <v/>
      </c>
      <c r="F46" s="17" t="str">
        <f>IFERROR(E46*Current_Ppol_E5*Current_Pion_E5*Current_Pelec*CTP,"")</f>
        <v/>
      </c>
      <c r="G46" s="17" t="str">
        <f>IFERROR(F46/(10000000)*Current_NdwCo60,"")</f>
        <v/>
      </c>
      <c r="H46" s="17" t="str">
        <f>IFERROR(G46*Current_kecal*Current_E5kpR50,"")</f>
        <v/>
      </c>
      <c r="I46" s="89" t="str">
        <f>IFERROR(E46/E45,"")</f>
        <v/>
      </c>
      <c r="J46" s="106" t="str">
        <f>IF(I46="","",TEXT(I46,"0.000") &amp;" cGy/MU @ dmax")</f>
        <v/>
      </c>
      <c r="K46" s="118" t="str">
        <f>IF(ISNUMBER(E46),IFERROR(IF(AND(I46&gt;Current_LowETol_E1,I46&lt;Current_HighETol_E1),"PASSED","ENERGY FAIL"),""),"")</f>
        <v/>
      </c>
    </row>
  </sheetData>
  <mergeCells count="31">
    <mergeCell ref="B1:G2"/>
    <mergeCell ref="H1:K2"/>
    <mergeCell ref="G16:H16"/>
    <mergeCell ref="C16:E16"/>
    <mergeCell ref="B21:K21"/>
    <mergeCell ref="B10:K10"/>
    <mergeCell ref="G11:H11"/>
    <mergeCell ref="C11:E11"/>
    <mergeCell ref="G4:H4"/>
    <mergeCell ref="G5:H5"/>
    <mergeCell ref="G3:H3"/>
    <mergeCell ref="G6:H6"/>
    <mergeCell ref="B9:K9"/>
    <mergeCell ref="E5:F5"/>
    <mergeCell ref="E6:F6"/>
    <mergeCell ref="B42:K42"/>
    <mergeCell ref="C43:E43"/>
    <mergeCell ref="G43:H43"/>
    <mergeCell ref="B27:K27"/>
    <mergeCell ref="B15:K15"/>
    <mergeCell ref="B22:K22"/>
    <mergeCell ref="C23:E23"/>
    <mergeCell ref="G23:H23"/>
    <mergeCell ref="B32:K32"/>
    <mergeCell ref="C33:E33"/>
    <mergeCell ref="G33:H33"/>
    <mergeCell ref="B37:K37"/>
    <mergeCell ref="C38:E38"/>
    <mergeCell ref="G38:H38"/>
    <mergeCell ref="C28:E28"/>
    <mergeCell ref="G28:H28"/>
  </mergeCells>
  <conditionalFormatting sqref="K14">
    <cfRule type="cellIs" dxfId="23" priority="61" operator="notEqual">
      <formula>"PASSED"</formula>
    </cfRule>
  </conditionalFormatting>
  <conditionalFormatting sqref="K19">
    <cfRule type="cellIs" dxfId="22" priority="30" operator="notEqual">
      <formula>"PASSED"</formula>
    </cfRule>
  </conditionalFormatting>
  <conditionalFormatting sqref="K25">
    <cfRule type="cellIs" dxfId="21" priority="29" operator="notEqual">
      <formula>"PASSED"</formula>
    </cfRule>
  </conditionalFormatting>
  <conditionalFormatting sqref="K30">
    <cfRule type="cellIs" dxfId="20" priority="28" operator="notEqual">
      <formula>"PASSED"</formula>
    </cfRule>
  </conditionalFormatting>
  <conditionalFormatting sqref="K35">
    <cfRule type="cellIs" dxfId="19" priority="27" operator="notEqual">
      <formula>"PASSED"</formula>
    </cfRule>
  </conditionalFormatting>
  <conditionalFormatting sqref="K40">
    <cfRule type="cellIs" dxfId="18" priority="26" operator="notEqual">
      <formula>"PASSED"</formula>
    </cfRule>
  </conditionalFormatting>
  <conditionalFormatting sqref="K45">
    <cfRule type="cellIs" dxfId="17" priority="25" operator="notEqual">
      <formula>"PASSED"</formula>
    </cfRule>
  </conditionalFormatting>
  <conditionalFormatting sqref="E5:F5">
    <cfRule type="expression" dxfId="16" priority="22">
      <formula>AND(ABS(Current_Chamber_CalDate-TODAY())&gt;665, ABS(Current_Chamber_CalDate-TODAY())&lt;695)</formula>
    </cfRule>
    <cfRule type="expression" dxfId="15" priority="23">
      <formula>ABS(Current_Chamber_CalDate-TODAY())&gt;695</formula>
    </cfRule>
  </conditionalFormatting>
  <conditionalFormatting sqref="E6:F6">
    <cfRule type="expression" dxfId="14" priority="17">
      <formula>AND(ABS(Current_Electrometer_CalDate-TODAY())&gt;665, ABS(Current_Electrometer_CalDate-TODAY())&lt;695)</formula>
    </cfRule>
    <cfRule type="expression" dxfId="13" priority="18">
      <formula>ABS(Current_Electrometer_CalDate-TODAY())&gt;695</formula>
    </cfRule>
  </conditionalFormatting>
  <conditionalFormatting sqref="K13">
    <cfRule type="cellIs" dxfId="12" priority="15" operator="notEqual">
      <formula>"PASSED"</formula>
    </cfRule>
  </conditionalFormatting>
  <conditionalFormatting sqref="K18">
    <cfRule type="cellIs" dxfId="11" priority="14" operator="notEqual">
      <formula>"PASSED"</formula>
    </cfRule>
  </conditionalFormatting>
  <conditionalFormatting sqref="K26">
    <cfRule type="cellIs" dxfId="10" priority="13" operator="notEqual">
      <formula>"PASSED"</formula>
    </cfRule>
  </conditionalFormatting>
  <conditionalFormatting sqref="K31">
    <cfRule type="cellIs" dxfId="9" priority="4" operator="notEqual">
      <formula>"PASSED"</formula>
    </cfRule>
  </conditionalFormatting>
  <conditionalFormatting sqref="K36">
    <cfRule type="cellIs" dxfId="8" priority="3" operator="notEqual">
      <formula>"PASSED"</formula>
    </cfRule>
  </conditionalFormatting>
  <conditionalFormatting sqref="K41">
    <cfRule type="cellIs" dxfId="7" priority="2" operator="notEqual">
      <formula>"PASSED"</formula>
    </cfRule>
  </conditionalFormatting>
  <conditionalFormatting sqref="K46">
    <cfRule type="cellIs" dxfId="6" priority="1" operator="notEqual">
      <formula>"PASSED"</formula>
    </cfRule>
  </conditionalFormatting>
  <dataValidations count="4">
    <dataValidation type="list" allowBlank="1" showInputMessage="1" showErrorMessage="1" sqref="G5:H5">
      <formula1>Chambers</formula1>
    </dataValidation>
    <dataValidation type="list" allowBlank="1" showInputMessage="1" showErrorMessage="1" sqref="H1:K2">
      <formula1>Machines</formula1>
    </dataValidation>
    <dataValidation type="list" allowBlank="1" showInputMessage="1" showErrorMessage="1" sqref="G3:H3">
      <formula1>Physicists</formula1>
    </dataValidation>
    <dataValidation type="list" allowBlank="1" showInputMessage="1" showErrorMessage="1" sqref="G6:H6">
      <formula1>Electrometers</formula1>
    </dataValidation>
  </dataValidations>
  <pageMargins left="0.25" right="0.25" top="0.75" bottom="0.75" header="0.3" footer="0.3"/>
  <pageSetup scale="75" fitToWidth="0" fitToHeight="0" orientation="landscape" verticalDpi="4"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21"/>
  <sheetViews>
    <sheetView tabSelected="1" zoomScale="98" zoomScaleNormal="98" workbookViewId="0">
      <selection activeCell="M27" sqref="M27"/>
    </sheetView>
  </sheetViews>
  <sheetFormatPr defaultRowHeight="16.5" x14ac:dyDescent="0.3"/>
  <cols>
    <col min="1" max="1" width="31.25" customWidth="1"/>
    <col min="2" max="2" width="10.625" customWidth="1"/>
    <col min="3" max="3" width="12.125" customWidth="1"/>
    <col min="13" max="13" width="10" customWidth="1"/>
    <col min="14" max="14" width="15.125" customWidth="1"/>
    <col min="20" max="20" width="29.375" customWidth="1"/>
    <col min="21" max="21" width="4.125" customWidth="1"/>
  </cols>
  <sheetData>
    <row r="1" spans="1:21" ht="22.5" x14ac:dyDescent="0.3">
      <c r="A1" s="165" t="s">
        <v>59</v>
      </c>
      <c r="B1" s="165"/>
      <c r="C1" s="165"/>
      <c r="D1" s="165"/>
      <c r="E1" s="165"/>
      <c r="F1" s="165"/>
      <c r="G1" s="165"/>
      <c r="H1" s="165"/>
      <c r="I1" s="165"/>
      <c r="J1" s="165"/>
      <c r="K1" s="165"/>
      <c r="L1" s="165"/>
      <c r="M1" s="165"/>
      <c r="N1" s="165"/>
      <c r="O1" s="165"/>
      <c r="P1" s="165"/>
      <c r="Q1" s="165"/>
      <c r="R1" s="165"/>
      <c r="S1" s="165"/>
      <c r="T1" s="165"/>
      <c r="U1" s="165"/>
    </row>
    <row r="2" spans="1:21" ht="18" x14ac:dyDescent="0.3">
      <c r="A2" s="2" t="s">
        <v>43</v>
      </c>
      <c r="B2" s="160" t="s">
        <v>41</v>
      </c>
      <c r="C2" s="161"/>
      <c r="D2" s="161"/>
      <c r="E2" s="161"/>
      <c r="F2" s="161"/>
      <c r="G2" s="162"/>
      <c r="H2" s="166" t="s">
        <v>40</v>
      </c>
      <c r="I2" s="167"/>
      <c r="J2" s="160" t="s">
        <v>26</v>
      </c>
      <c r="K2" s="162"/>
      <c r="L2" s="2"/>
      <c r="M2" s="2"/>
      <c r="N2" s="41"/>
      <c r="O2" s="163" t="s">
        <v>37</v>
      </c>
      <c r="P2" s="164"/>
      <c r="Q2" s="164"/>
      <c r="R2" s="164"/>
      <c r="S2" s="164"/>
      <c r="T2" s="66" t="s">
        <v>148</v>
      </c>
      <c r="U2" s="110"/>
    </row>
    <row r="3" spans="1:21" x14ac:dyDescent="0.3">
      <c r="A3" s="14"/>
      <c r="B3" s="9">
        <v>58</v>
      </c>
      <c r="C3" s="10">
        <v>63</v>
      </c>
      <c r="D3" s="10">
        <v>66</v>
      </c>
      <c r="E3" s="10">
        <v>71</v>
      </c>
      <c r="F3" s="10">
        <v>81</v>
      </c>
      <c r="G3" s="11">
        <v>93</v>
      </c>
      <c r="H3" s="12" t="s">
        <v>48</v>
      </c>
      <c r="I3" s="12" t="s">
        <v>47</v>
      </c>
      <c r="J3" s="12" t="s">
        <v>48</v>
      </c>
      <c r="K3" s="12" t="s">
        <v>47</v>
      </c>
      <c r="L3" s="12" t="s">
        <v>36</v>
      </c>
      <c r="M3" s="13" t="s">
        <v>42</v>
      </c>
      <c r="N3" s="38" t="s">
        <v>60</v>
      </c>
      <c r="O3" s="39" t="str">
        <f>INDEX(MachineData,MATCH(SelectedMachine,Machines,0),3)&amp;"E"</f>
        <v>6E</v>
      </c>
      <c r="P3" s="39" t="str">
        <f>INDEX(MachineData,MATCH(SelectedMachine,Machines,0),4)&amp;"E"</f>
        <v>9E</v>
      </c>
      <c r="Q3" s="39" t="str">
        <f>INDEX(MachineData,MATCH(SelectedMachine,Machines,0),5)&amp;"E"</f>
        <v>12E</v>
      </c>
      <c r="R3" s="39" t="str">
        <f>INDEX(MachineData,MATCH(SelectedMachine,Machines,0),6)&amp;"E"</f>
        <v>15E</v>
      </c>
      <c r="S3" s="39" t="str">
        <f>INDEX(MachineData,MATCH(SelectedMachine,Machines,0),7)&amp;"E"</f>
        <v>18E</v>
      </c>
      <c r="T3" s="111"/>
      <c r="U3" s="5"/>
    </row>
    <row r="4" spans="1:21" x14ac:dyDescent="0.3">
      <c r="A4" s="15" t="s">
        <v>76</v>
      </c>
      <c r="B4" s="3">
        <v>1</v>
      </c>
      <c r="C4" s="3">
        <v>0.999</v>
      </c>
      <c r="D4" s="3">
        <v>0.996</v>
      </c>
      <c r="E4" s="3">
        <v>0.99</v>
      </c>
      <c r="F4" s="3">
        <v>0.97199999999999998</v>
      </c>
      <c r="G4" s="3">
        <v>0.94799999999999995</v>
      </c>
      <c r="H4" s="29">
        <f t="shared" ref="H4:H21" si="0">INDEX(MachineData,MATCH(SelectedMachine,Machines,0),8)</f>
        <v>66.150000000000006</v>
      </c>
      <c r="I4" s="29">
        <f t="shared" ref="I4:I21" si="1">INDEX(MachineData,MATCH(SelectedMachine,Machines,0),9)</f>
        <v>77.599999999999994</v>
      </c>
      <c r="J4" s="4">
        <f ca="1">FORECAST(H4,OFFSET($B4:$G4,0,MATCH(H4,$B$3:$G$3,1)-1,1,2), OFFSET($B$3:$G$3,0,MATCH(H4,$B$3:$G$3,1)-1,1,2))</f>
        <v>0.99582000000000004</v>
      </c>
      <c r="K4" s="4">
        <f ca="1">FORECAST(I4,OFFSET($B4:$G4,0,MATCH(I4,$B$3:$G$3,1)-1,1,2), OFFSET($B$3:$G$3,0,MATCH(I4,$B$3:$G$3,1)-1,1,2))</f>
        <v>0.97811999999999999</v>
      </c>
      <c r="L4" s="3">
        <v>0.90600000000000003</v>
      </c>
      <c r="M4" s="3">
        <v>0.30499999999999999</v>
      </c>
      <c r="N4" s="53">
        <v>48270000</v>
      </c>
      <c r="O4" s="29">
        <f>0.9905+0.071*EXP(-Current_R50_E1/3.67)</f>
        <v>1.0284388965409827</v>
      </c>
      <c r="P4" s="29">
        <f t="shared" ref="P4:P21" si="2">0.9905+0.071*EXP(-Current_R50_E2/3.67)</f>
        <v>1.0171224127746152</v>
      </c>
      <c r="Q4" s="29">
        <f t="shared" ref="Q4:Q21" si="3">0.9905+0.071*EXP(-Current_R50_E3/3.67)</f>
        <v>1.008679272235143</v>
      </c>
      <c r="R4" s="29">
        <f t="shared" ref="R4:R21" si="4">0.9905+0.071*EXP(-Current_R50_E4/3.67)</f>
        <v>1.0032567255115941</v>
      </c>
      <c r="S4" s="29">
        <f t="shared" ref="S4:S21" si="5">0.9905+0.071*EXP(-Current_R50_E5/3.67)</f>
        <v>0.99945162598773163</v>
      </c>
      <c r="T4" s="112">
        <v>42683</v>
      </c>
      <c r="U4" s="114">
        <f ca="1">IF(ISBLANK(T4),"",ABS(T4-TODAY()))</f>
        <v>162</v>
      </c>
    </row>
    <row r="5" spans="1:21" x14ac:dyDescent="0.3">
      <c r="A5" s="15" t="s">
        <v>77</v>
      </c>
      <c r="B5" s="3">
        <v>1</v>
      </c>
      <c r="C5" s="3">
        <v>0.996</v>
      </c>
      <c r="D5" s="3">
        <v>0.99199999999999999</v>
      </c>
      <c r="E5" s="3">
        <v>0.98399999999999999</v>
      </c>
      <c r="F5" s="3">
        <v>0.96699999999999997</v>
      </c>
      <c r="G5" s="3">
        <v>0.94599999999999995</v>
      </c>
      <c r="H5" s="29">
        <f t="shared" si="0"/>
        <v>66.150000000000006</v>
      </c>
      <c r="I5" s="29">
        <f t="shared" si="1"/>
        <v>77.599999999999994</v>
      </c>
      <c r="J5" s="4">
        <f t="shared" ref="J5:J7" ca="1" si="6">FORECAST(H5,OFFSET($B5:$G5,0,MATCH(H5,$B$3:$G$3,1)-1,1,2), OFFSET($B$3:$G$3,0,MATCH(H5,$B$3:$G$3,1)-1,1,2))</f>
        <v>0.99175999999999997</v>
      </c>
      <c r="K5" s="4">
        <f t="shared" ref="K5:K7" ca="1" si="7">FORECAST(I5,OFFSET($B5:$G5,0,MATCH(I5,$B$3:$G$3,1)-1,1,2), OFFSET($B$3:$G$3,0,MATCH(I5,$B$3:$G$3,1)-1,1,2))</f>
        <v>0.9727800000000002</v>
      </c>
      <c r="L5" s="3">
        <v>0.89800000000000002</v>
      </c>
      <c r="M5" s="3">
        <v>0.27500000000000002</v>
      </c>
      <c r="N5" s="53">
        <v>54960000</v>
      </c>
      <c r="O5" s="29">
        <f t="shared" ref="O5:O21" si="8">0.9905+0.071*EXP(-Current_R50_E1/3.67)</f>
        <v>1.0284388965409827</v>
      </c>
      <c r="P5" s="29">
        <f t="shared" si="2"/>
        <v>1.0171224127746152</v>
      </c>
      <c r="Q5" s="29">
        <f t="shared" si="3"/>
        <v>1.008679272235143</v>
      </c>
      <c r="R5" s="29">
        <f t="shared" si="4"/>
        <v>1.0032567255115941</v>
      </c>
      <c r="S5" s="29">
        <f t="shared" si="5"/>
        <v>0.99945162598773163</v>
      </c>
      <c r="T5" s="112">
        <v>41017</v>
      </c>
      <c r="U5" s="114">
        <f t="shared" ref="U5:U21" ca="1" si="9">IF(ISBLANK(T5),"",ABS(T5-TODAY()))</f>
        <v>1828</v>
      </c>
    </row>
    <row r="6" spans="1:21" x14ac:dyDescent="0.3">
      <c r="A6" s="15" t="s">
        <v>158</v>
      </c>
      <c r="B6" s="3">
        <v>1</v>
      </c>
      <c r="C6" s="3">
        <v>0.999</v>
      </c>
      <c r="D6" s="3">
        <v>0.996</v>
      </c>
      <c r="E6" s="3">
        <v>0.99</v>
      </c>
      <c r="F6" s="3">
        <v>0.97199999999999998</v>
      </c>
      <c r="G6" s="3">
        <v>0.94799999999999995</v>
      </c>
      <c r="H6" s="29">
        <f t="shared" si="0"/>
        <v>66.150000000000006</v>
      </c>
      <c r="I6" s="29">
        <f t="shared" si="1"/>
        <v>77.599999999999994</v>
      </c>
      <c r="J6" s="4">
        <f t="shared" ca="1" si="6"/>
        <v>0.99582000000000004</v>
      </c>
      <c r="K6" s="4">
        <f t="shared" ca="1" si="7"/>
        <v>0.97811999999999999</v>
      </c>
      <c r="L6" s="3">
        <v>0.90600000000000003</v>
      </c>
      <c r="M6" s="3">
        <v>0.30499999999999999</v>
      </c>
      <c r="N6" s="53">
        <v>49150000</v>
      </c>
      <c r="O6" s="29">
        <f t="shared" si="8"/>
        <v>1.0284388965409827</v>
      </c>
      <c r="P6" s="29">
        <f t="shared" si="2"/>
        <v>1.0171224127746152</v>
      </c>
      <c r="Q6" s="29">
        <f t="shared" si="3"/>
        <v>1.008679272235143</v>
      </c>
      <c r="R6" s="29">
        <f t="shared" si="4"/>
        <v>1.0032567255115941</v>
      </c>
      <c r="S6" s="29">
        <f t="shared" si="5"/>
        <v>0.99945162598773163</v>
      </c>
      <c r="T6" s="112">
        <v>42282</v>
      </c>
      <c r="U6" s="114">
        <f t="shared" ca="1" si="9"/>
        <v>563</v>
      </c>
    </row>
    <row r="7" spans="1:21" x14ac:dyDescent="0.3">
      <c r="A7" s="15" t="s">
        <v>150</v>
      </c>
      <c r="B7" s="3">
        <v>1</v>
      </c>
      <c r="C7" s="3">
        <v>0.999</v>
      </c>
      <c r="D7" s="3">
        <v>0.996</v>
      </c>
      <c r="E7" s="3">
        <v>0.99</v>
      </c>
      <c r="F7" s="3">
        <v>0.97199999999999998</v>
      </c>
      <c r="G7" s="3">
        <v>0.94799999999999995</v>
      </c>
      <c r="H7" s="29">
        <f t="shared" si="0"/>
        <v>66.150000000000006</v>
      </c>
      <c r="I7" s="29">
        <f t="shared" si="1"/>
        <v>77.599999999999994</v>
      </c>
      <c r="J7" s="4">
        <f t="shared" ca="1" si="6"/>
        <v>0.99582000000000004</v>
      </c>
      <c r="K7" s="4">
        <f t="shared" ca="1" si="7"/>
        <v>0.97811999999999999</v>
      </c>
      <c r="L7" s="3">
        <v>0.90600000000000003</v>
      </c>
      <c r="M7" s="3">
        <v>0.30499999999999999</v>
      </c>
      <c r="N7" s="53">
        <v>48040000</v>
      </c>
      <c r="O7" s="29">
        <f t="shared" si="8"/>
        <v>1.0284388965409827</v>
      </c>
      <c r="P7" s="29">
        <f t="shared" si="2"/>
        <v>1.0171224127746152</v>
      </c>
      <c r="Q7" s="29">
        <f t="shared" si="3"/>
        <v>1.008679272235143</v>
      </c>
      <c r="R7" s="29">
        <f t="shared" si="4"/>
        <v>1.0032567255115941</v>
      </c>
      <c r="S7" s="29">
        <f t="shared" si="5"/>
        <v>0.99945162598773163</v>
      </c>
      <c r="T7" s="112">
        <v>42050</v>
      </c>
      <c r="U7" s="114">
        <f t="shared" ca="1" si="9"/>
        <v>795</v>
      </c>
    </row>
    <row r="8" spans="1:21" x14ac:dyDescent="0.3">
      <c r="A8" s="15"/>
      <c r="B8" s="3"/>
      <c r="C8" s="3"/>
      <c r="D8" s="3"/>
      <c r="E8" s="3"/>
      <c r="F8" s="3"/>
      <c r="G8" s="3"/>
      <c r="H8" s="29">
        <f t="shared" si="0"/>
        <v>66.150000000000006</v>
      </c>
      <c r="I8" s="29">
        <f t="shared" si="1"/>
        <v>77.599999999999994</v>
      </c>
      <c r="J8" s="4">
        <f t="shared" ref="J8:J21" si="10">INTERPOLATE($B$3:$G$3,$B8:$G8,INDEX(MachineData,MATCH(SelectedMachine,Machines,0),8))</f>
        <v>0</v>
      </c>
      <c r="K8" s="4">
        <f t="shared" ref="K8:K21" si="11">INTERPOLATE($B$3:$G$3,$B8:$G8,INDEX(MachineData,MATCH(SelectedMachine,Machines,0),9))</f>
        <v>0</v>
      </c>
      <c r="L8" s="3"/>
      <c r="M8" s="3"/>
      <c r="N8" s="53"/>
      <c r="O8" s="29">
        <f t="shared" si="8"/>
        <v>1.0284388965409827</v>
      </c>
      <c r="P8" s="29">
        <f t="shared" si="2"/>
        <v>1.0171224127746152</v>
      </c>
      <c r="Q8" s="29">
        <f t="shared" si="3"/>
        <v>1.008679272235143</v>
      </c>
      <c r="R8" s="29">
        <f t="shared" si="4"/>
        <v>1.0032567255115941</v>
      </c>
      <c r="S8" s="29">
        <f t="shared" si="5"/>
        <v>0.99945162598773163</v>
      </c>
      <c r="T8" s="112"/>
      <c r="U8" s="114" t="str">
        <f t="shared" ca="1" si="9"/>
        <v/>
      </c>
    </row>
    <row r="9" spans="1:21" x14ac:dyDescent="0.3">
      <c r="A9" s="15"/>
      <c r="B9" s="3"/>
      <c r="C9" s="3"/>
      <c r="D9" s="3"/>
      <c r="E9" s="3"/>
      <c r="F9" s="3"/>
      <c r="G9" s="3"/>
      <c r="H9" s="29">
        <f t="shared" si="0"/>
        <v>66.150000000000006</v>
      </c>
      <c r="I9" s="29">
        <f t="shared" si="1"/>
        <v>77.599999999999994</v>
      </c>
      <c r="J9" s="4">
        <f t="shared" si="10"/>
        <v>0</v>
      </c>
      <c r="K9" s="4">
        <f t="shared" si="11"/>
        <v>0</v>
      </c>
      <c r="L9" s="3"/>
      <c r="M9" s="3"/>
      <c r="N9" s="53"/>
      <c r="O9" s="29">
        <f t="shared" si="8"/>
        <v>1.0284388965409827</v>
      </c>
      <c r="P9" s="29">
        <f t="shared" si="2"/>
        <v>1.0171224127746152</v>
      </c>
      <c r="Q9" s="29">
        <f t="shared" si="3"/>
        <v>1.008679272235143</v>
      </c>
      <c r="R9" s="29">
        <f t="shared" si="4"/>
        <v>1.0032567255115941</v>
      </c>
      <c r="S9" s="29">
        <f t="shared" si="5"/>
        <v>0.99945162598773163</v>
      </c>
      <c r="T9" s="112"/>
      <c r="U9" s="114" t="str">
        <f t="shared" ca="1" si="9"/>
        <v/>
      </c>
    </row>
    <row r="10" spans="1:21" x14ac:dyDescent="0.3">
      <c r="A10" s="15"/>
      <c r="B10" s="3"/>
      <c r="C10" s="3"/>
      <c r="D10" s="3"/>
      <c r="E10" s="3"/>
      <c r="F10" s="3"/>
      <c r="G10" s="3"/>
      <c r="H10" s="29">
        <f t="shared" si="0"/>
        <v>66.150000000000006</v>
      </c>
      <c r="I10" s="29">
        <f t="shared" si="1"/>
        <v>77.599999999999994</v>
      </c>
      <c r="J10" s="4">
        <f t="shared" si="10"/>
        <v>0</v>
      </c>
      <c r="K10" s="4">
        <f t="shared" si="11"/>
        <v>0</v>
      </c>
      <c r="L10" s="3"/>
      <c r="M10" s="3"/>
      <c r="N10" s="53"/>
      <c r="O10" s="29">
        <f t="shared" si="8"/>
        <v>1.0284388965409827</v>
      </c>
      <c r="P10" s="29">
        <f t="shared" si="2"/>
        <v>1.0171224127746152</v>
      </c>
      <c r="Q10" s="29">
        <f t="shared" si="3"/>
        <v>1.008679272235143</v>
      </c>
      <c r="R10" s="29">
        <f t="shared" si="4"/>
        <v>1.0032567255115941</v>
      </c>
      <c r="S10" s="29">
        <f t="shared" si="5"/>
        <v>0.99945162598773163</v>
      </c>
      <c r="T10" s="112"/>
      <c r="U10" s="114" t="str">
        <f t="shared" ca="1" si="9"/>
        <v/>
      </c>
    </row>
    <row r="11" spans="1:21" x14ac:dyDescent="0.3">
      <c r="A11" s="15"/>
      <c r="B11" s="3"/>
      <c r="C11" s="3"/>
      <c r="D11" s="3"/>
      <c r="E11" s="3"/>
      <c r="F11" s="3"/>
      <c r="G11" s="3"/>
      <c r="H11" s="29">
        <f t="shared" si="0"/>
        <v>66.150000000000006</v>
      </c>
      <c r="I11" s="29">
        <f t="shared" si="1"/>
        <v>77.599999999999994</v>
      </c>
      <c r="J11" s="4">
        <f t="shared" si="10"/>
        <v>0</v>
      </c>
      <c r="K11" s="4">
        <f t="shared" si="11"/>
        <v>0</v>
      </c>
      <c r="L11" s="3"/>
      <c r="M11" s="3"/>
      <c r="N11" s="53"/>
      <c r="O11" s="29">
        <f t="shared" si="8"/>
        <v>1.0284388965409827</v>
      </c>
      <c r="P11" s="29">
        <f t="shared" si="2"/>
        <v>1.0171224127746152</v>
      </c>
      <c r="Q11" s="29">
        <f t="shared" si="3"/>
        <v>1.008679272235143</v>
      </c>
      <c r="R11" s="29">
        <f t="shared" si="4"/>
        <v>1.0032567255115941</v>
      </c>
      <c r="S11" s="29">
        <f t="shared" si="5"/>
        <v>0.99945162598773163</v>
      </c>
      <c r="T11" s="112"/>
      <c r="U11" s="114" t="str">
        <f t="shared" ca="1" si="9"/>
        <v/>
      </c>
    </row>
    <row r="12" spans="1:21" x14ac:dyDescent="0.3">
      <c r="A12" s="15"/>
      <c r="B12" s="3"/>
      <c r="C12" s="3"/>
      <c r="D12" s="3"/>
      <c r="E12" s="3"/>
      <c r="F12" s="3"/>
      <c r="G12" s="3"/>
      <c r="H12" s="29">
        <f t="shared" si="0"/>
        <v>66.150000000000006</v>
      </c>
      <c r="I12" s="29">
        <f t="shared" si="1"/>
        <v>77.599999999999994</v>
      </c>
      <c r="J12" s="4">
        <f t="shared" si="10"/>
        <v>0</v>
      </c>
      <c r="K12" s="4">
        <f t="shared" si="11"/>
        <v>0</v>
      </c>
      <c r="L12" s="3"/>
      <c r="M12" s="3"/>
      <c r="N12" s="53"/>
      <c r="O12" s="29">
        <f t="shared" si="8"/>
        <v>1.0284388965409827</v>
      </c>
      <c r="P12" s="29">
        <f t="shared" si="2"/>
        <v>1.0171224127746152</v>
      </c>
      <c r="Q12" s="29">
        <f t="shared" si="3"/>
        <v>1.008679272235143</v>
      </c>
      <c r="R12" s="29">
        <f t="shared" si="4"/>
        <v>1.0032567255115941</v>
      </c>
      <c r="S12" s="29">
        <f t="shared" si="5"/>
        <v>0.99945162598773163</v>
      </c>
      <c r="T12" s="112"/>
      <c r="U12" s="114" t="str">
        <f t="shared" ca="1" si="9"/>
        <v/>
      </c>
    </row>
    <row r="13" spans="1:21" x14ac:dyDescent="0.3">
      <c r="A13" s="15"/>
      <c r="B13" s="3"/>
      <c r="C13" s="3"/>
      <c r="D13" s="3"/>
      <c r="E13" s="3"/>
      <c r="F13" s="3"/>
      <c r="G13" s="3"/>
      <c r="H13" s="29">
        <f t="shared" si="0"/>
        <v>66.150000000000006</v>
      </c>
      <c r="I13" s="29">
        <f t="shared" si="1"/>
        <v>77.599999999999994</v>
      </c>
      <c r="J13" s="4">
        <f t="shared" si="10"/>
        <v>0</v>
      </c>
      <c r="K13" s="4">
        <f t="shared" si="11"/>
        <v>0</v>
      </c>
      <c r="L13" s="3"/>
      <c r="M13" s="3"/>
      <c r="N13" s="53"/>
      <c r="O13" s="29">
        <f t="shared" si="8"/>
        <v>1.0284388965409827</v>
      </c>
      <c r="P13" s="29">
        <f t="shared" si="2"/>
        <v>1.0171224127746152</v>
      </c>
      <c r="Q13" s="29">
        <f t="shared" si="3"/>
        <v>1.008679272235143</v>
      </c>
      <c r="R13" s="29">
        <f t="shared" si="4"/>
        <v>1.0032567255115941</v>
      </c>
      <c r="S13" s="29">
        <f t="shared" si="5"/>
        <v>0.99945162598773163</v>
      </c>
      <c r="T13" s="112"/>
      <c r="U13" s="114" t="str">
        <f t="shared" ca="1" si="9"/>
        <v/>
      </c>
    </row>
    <row r="14" spans="1:21" x14ac:dyDescent="0.3">
      <c r="A14" s="15"/>
      <c r="B14" s="3"/>
      <c r="C14" s="3"/>
      <c r="D14" s="3"/>
      <c r="E14" s="3"/>
      <c r="F14" s="3"/>
      <c r="G14" s="3"/>
      <c r="H14" s="29">
        <f t="shared" si="0"/>
        <v>66.150000000000006</v>
      </c>
      <c r="I14" s="29">
        <f t="shared" si="1"/>
        <v>77.599999999999994</v>
      </c>
      <c r="J14" s="4">
        <f t="shared" si="10"/>
        <v>0</v>
      </c>
      <c r="K14" s="4">
        <f t="shared" si="11"/>
        <v>0</v>
      </c>
      <c r="L14" s="3"/>
      <c r="M14" s="3"/>
      <c r="N14" s="53"/>
      <c r="O14" s="29">
        <f t="shared" si="8"/>
        <v>1.0284388965409827</v>
      </c>
      <c r="P14" s="29">
        <f t="shared" si="2"/>
        <v>1.0171224127746152</v>
      </c>
      <c r="Q14" s="29">
        <f t="shared" si="3"/>
        <v>1.008679272235143</v>
      </c>
      <c r="R14" s="29">
        <f t="shared" si="4"/>
        <v>1.0032567255115941</v>
      </c>
      <c r="S14" s="29">
        <f t="shared" si="5"/>
        <v>0.99945162598773163</v>
      </c>
      <c r="T14" s="112"/>
      <c r="U14" s="114" t="str">
        <f t="shared" ca="1" si="9"/>
        <v/>
      </c>
    </row>
    <row r="15" spans="1:21" x14ac:dyDescent="0.3">
      <c r="A15" s="15"/>
      <c r="B15" s="3"/>
      <c r="C15" s="3"/>
      <c r="D15" s="3"/>
      <c r="E15" s="3"/>
      <c r="F15" s="3"/>
      <c r="G15" s="3"/>
      <c r="H15" s="29">
        <f t="shared" si="0"/>
        <v>66.150000000000006</v>
      </c>
      <c r="I15" s="29">
        <f t="shared" si="1"/>
        <v>77.599999999999994</v>
      </c>
      <c r="J15" s="4">
        <f t="shared" si="10"/>
        <v>0</v>
      </c>
      <c r="K15" s="4">
        <f t="shared" si="11"/>
        <v>0</v>
      </c>
      <c r="L15" s="3"/>
      <c r="M15" s="3"/>
      <c r="N15" s="53"/>
      <c r="O15" s="29">
        <f t="shared" si="8"/>
        <v>1.0284388965409827</v>
      </c>
      <c r="P15" s="29">
        <f t="shared" si="2"/>
        <v>1.0171224127746152</v>
      </c>
      <c r="Q15" s="29">
        <f t="shared" si="3"/>
        <v>1.008679272235143</v>
      </c>
      <c r="R15" s="29">
        <f t="shared" si="4"/>
        <v>1.0032567255115941</v>
      </c>
      <c r="S15" s="29">
        <f t="shared" si="5"/>
        <v>0.99945162598773163</v>
      </c>
      <c r="T15" s="112"/>
      <c r="U15" s="114" t="str">
        <f t="shared" ca="1" si="9"/>
        <v/>
      </c>
    </row>
    <row r="16" spans="1:21" x14ac:dyDescent="0.3">
      <c r="A16" s="15"/>
      <c r="B16" s="3"/>
      <c r="C16" s="3"/>
      <c r="D16" s="3"/>
      <c r="E16" s="3"/>
      <c r="F16" s="3"/>
      <c r="G16" s="3"/>
      <c r="H16" s="29">
        <f t="shared" si="0"/>
        <v>66.150000000000006</v>
      </c>
      <c r="I16" s="29">
        <f t="shared" si="1"/>
        <v>77.599999999999994</v>
      </c>
      <c r="J16" s="4">
        <f t="shared" si="10"/>
        <v>0</v>
      </c>
      <c r="K16" s="4">
        <f t="shared" si="11"/>
        <v>0</v>
      </c>
      <c r="L16" s="3"/>
      <c r="M16" s="3"/>
      <c r="N16" s="53"/>
      <c r="O16" s="29">
        <f t="shared" si="8"/>
        <v>1.0284388965409827</v>
      </c>
      <c r="P16" s="29">
        <f t="shared" si="2"/>
        <v>1.0171224127746152</v>
      </c>
      <c r="Q16" s="29">
        <f t="shared" si="3"/>
        <v>1.008679272235143</v>
      </c>
      <c r="R16" s="29">
        <f t="shared" si="4"/>
        <v>1.0032567255115941</v>
      </c>
      <c r="S16" s="29">
        <f t="shared" si="5"/>
        <v>0.99945162598773163</v>
      </c>
      <c r="T16" s="112"/>
      <c r="U16" s="114" t="str">
        <f t="shared" ca="1" si="9"/>
        <v/>
      </c>
    </row>
    <row r="17" spans="1:21" x14ac:dyDescent="0.3">
      <c r="A17" s="15"/>
      <c r="B17" s="3"/>
      <c r="C17" s="3"/>
      <c r="D17" s="3"/>
      <c r="E17" s="3"/>
      <c r="F17" s="3"/>
      <c r="G17" s="3"/>
      <c r="H17" s="29">
        <f t="shared" si="0"/>
        <v>66.150000000000006</v>
      </c>
      <c r="I17" s="29">
        <f t="shared" si="1"/>
        <v>77.599999999999994</v>
      </c>
      <c r="J17" s="4">
        <f t="shared" si="10"/>
        <v>0</v>
      </c>
      <c r="K17" s="4">
        <f t="shared" si="11"/>
        <v>0</v>
      </c>
      <c r="L17" s="3"/>
      <c r="M17" s="3"/>
      <c r="N17" s="53"/>
      <c r="O17" s="29">
        <f t="shared" si="8"/>
        <v>1.0284388965409827</v>
      </c>
      <c r="P17" s="29">
        <f t="shared" si="2"/>
        <v>1.0171224127746152</v>
      </c>
      <c r="Q17" s="29">
        <f t="shared" si="3"/>
        <v>1.008679272235143</v>
      </c>
      <c r="R17" s="29">
        <f t="shared" si="4"/>
        <v>1.0032567255115941</v>
      </c>
      <c r="S17" s="29">
        <f t="shared" si="5"/>
        <v>0.99945162598773163</v>
      </c>
      <c r="T17" s="112"/>
      <c r="U17" s="114" t="str">
        <f t="shared" ca="1" si="9"/>
        <v/>
      </c>
    </row>
    <row r="18" spans="1:21" x14ac:dyDescent="0.3">
      <c r="A18" s="15"/>
      <c r="B18" s="3"/>
      <c r="C18" s="3"/>
      <c r="D18" s="3"/>
      <c r="E18" s="3"/>
      <c r="F18" s="3"/>
      <c r="G18" s="3"/>
      <c r="H18" s="29">
        <f t="shared" si="0"/>
        <v>66.150000000000006</v>
      </c>
      <c r="I18" s="29">
        <f t="shared" si="1"/>
        <v>77.599999999999994</v>
      </c>
      <c r="J18" s="4">
        <f t="shared" si="10"/>
        <v>0</v>
      </c>
      <c r="K18" s="4">
        <f t="shared" si="11"/>
        <v>0</v>
      </c>
      <c r="L18" s="3"/>
      <c r="M18" s="3"/>
      <c r="N18" s="53"/>
      <c r="O18" s="29">
        <f t="shared" si="8"/>
        <v>1.0284388965409827</v>
      </c>
      <c r="P18" s="29">
        <f t="shared" si="2"/>
        <v>1.0171224127746152</v>
      </c>
      <c r="Q18" s="29">
        <f t="shared" si="3"/>
        <v>1.008679272235143</v>
      </c>
      <c r="R18" s="29">
        <f t="shared" si="4"/>
        <v>1.0032567255115941</v>
      </c>
      <c r="S18" s="29">
        <f t="shared" si="5"/>
        <v>0.99945162598773163</v>
      </c>
      <c r="T18" s="112"/>
      <c r="U18" s="114" t="str">
        <f t="shared" ca="1" si="9"/>
        <v/>
      </c>
    </row>
    <row r="19" spans="1:21" x14ac:dyDescent="0.3">
      <c r="A19" s="15"/>
      <c r="B19" s="3"/>
      <c r="C19" s="3"/>
      <c r="D19" s="3"/>
      <c r="E19" s="3"/>
      <c r="F19" s="3"/>
      <c r="G19" s="3"/>
      <c r="H19" s="29">
        <f t="shared" si="0"/>
        <v>66.150000000000006</v>
      </c>
      <c r="I19" s="29">
        <f t="shared" si="1"/>
        <v>77.599999999999994</v>
      </c>
      <c r="J19" s="4">
        <f t="shared" si="10"/>
        <v>0</v>
      </c>
      <c r="K19" s="4">
        <f t="shared" si="11"/>
        <v>0</v>
      </c>
      <c r="L19" s="3"/>
      <c r="M19" s="3"/>
      <c r="N19" s="53"/>
      <c r="O19" s="29">
        <f t="shared" si="8"/>
        <v>1.0284388965409827</v>
      </c>
      <c r="P19" s="29">
        <f t="shared" si="2"/>
        <v>1.0171224127746152</v>
      </c>
      <c r="Q19" s="29">
        <f t="shared" si="3"/>
        <v>1.008679272235143</v>
      </c>
      <c r="R19" s="29">
        <f t="shared" si="4"/>
        <v>1.0032567255115941</v>
      </c>
      <c r="S19" s="29">
        <f t="shared" si="5"/>
        <v>0.99945162598773163</v>
      </c>
      <c r="T19" s="112"/>
      <c r="U19" s="114" t="str">
        <f t="shared" ca="1" si="9"/>
        <v/>
      </c>
    </row>
    <row r="20" spans="1:21" x14ac:dyDescent="0.3">
      <c r="A20" s="15"/>
      <c r="B20" s="3"/>
      <c r="C20" s="3"/>
      <c r="D20" s="3"/>
      <c r="E20" s="3"/>
      <c r="F20" s="3"/>
      <c r="G20" s="3"/>
      <c r="H20" s="29">
        <f t="shared" si="0"/>
        <v>66.150000000000006</v>
      </c>
      <c r="I20" s="29">
        <f t="shared" si="1"/>
        <v>77.599999999999994</v>
      </c>
      <c r="J20" s="4">
        <f t="shared" si="10"/>
        <v>0</v>
      </c>
      <c r="K20" s="4">
        <f t="shared" si="11"/>
        <v>0</v>
      </c>
      <c r="L20" s="3"/>
      <c r="M20" s="3"/>
      <c r="N20" s="53"/>
      <c r="O20" s="29">
        <f t="shared" si="8"/>
        <v>1.0284388965409827</v>
      </c>
      <c r="P20" s="29">
        <f t="shared" si="2"/>
        <v>1.0171224127746152</v>
      </c>
      <c r="Q20" s="29">
        <f t="shared" si="3"/>
        <v>1.008679272235143</v>
      </c>
      <c r="R20" s="29">
        <f t="shared" si="4"/>
        <v>1.0032567255115941</v>
      </c>
      <c r="S20" s="29">
        <f t="shared" si="5"/>
        <v>0.99945162598773163</v>
      </c>
      <c r="T20" s="112"/>
      <c r="U20" s="114" t="str">
        <f t="shared" ca="1" si="9"/>
        <v/>
      </c>
    </row>
    <row r="21" spans="1:21" x14ac:dyDescent="0.3">
      <c r="A21" s="15"/>
      <c r="B21" s="3"/>
      <c r="C21" s="3"/>
      <c r="D21" s="3"/>
      <c r="E21" s="3"/>
      <c r="F21" s="3"/>
      <c r="G21" s="3"/>
      <c r="H21" s="29">
        <f t="shared" si="0"/>
        <v>66.150000000000006</v>
      </c>
      <c r="I21" s="29">
        <f t="shared" si="1"/>
        <v>77.599999999999994</v>
      </c>
      <c r="J21" s="4">
        <f t="shared" si="10"/>
        <v>0</v>
      </c>
      <c r="K21" s="4">
        <f t="shared" si="11"/>
        <v>0</v>
      </c>
      <c r="L21" s="3"/>
      <c r="M21" s="3"/>
      <c r="N21" s="53"/>
      <c r="O21" s="29">
        <f t="shared" si="8"/>
        <v>1.0284388965409827</v>
      </c>
      <c r="P21" s="29">
        <f t="shared" si="2"/>
        <v>1.0171224127746152</v>
      </c>
      <c r="Q21" s="29">
        <f t="shared" si="3"/>
        <v>1.008679272235143</v>
      </c>
      <c r="R21" s="29">
        <f t="shared" si="4"/>
        <v>1.0032567255115941</v>
      </c>
      <c r="S21" s="29">
        <f t="shared" si="5"/>
        <v>0.99945162598773163</v>
      </c>
      <c r="T21" s="112"/>
      <c r="U21" s="114" t="str">
        <f t="shared" ca="1" si="9"/>
        <v/>
      </c>
    </row>
  </sheetData>
  <mergeCells count="5">
    <mergeCell ref="B2:G2"/>
    <mergeCell ref="J2:K2"/>
    <mergeCell ref="O2:S2"/>
    <mergeCell ref="A1:U1"/>
    <mergeCell ref="H2:I2"/>
  </mergeCells>
  <conditionalFormatting sqref="T4">
    <cfRule type="expression" dxfId="5" priority="12">
      <formula>AND(NOT(ISBLANK(T4)),AND(ABS(T4-TODAY())&gt;665,ABS(T4-TODAY())&lt;695))</formula>
    </cfRule>
    <cfRule type="expression" dxfId="4" priority="13">
      <formula>AND(NOT(ISBLANK(T4)),ABS(T4-TODAY())&gt;695)</formula>
    </cfRule>
  </conditionalFormatting>
  <conditionalFormatting sqref="U4:U21">
    <cfRule type="iconSet" priority="3">
      <iconSet iconSet="3Symbols" showValue="0" reverse="1">
        <cfvo type="percent" val="0"/>
        <cfvo type="num" val="665"/>
        <cfvo type="num" val="695" gte="0"/>
      </iconSet>
    </cfRule>
  </conditionalFormatting>
  <conditionalFormatting sqref="T5:T21">
    <cfRule type="expression" dxfId="3" priority="1">
      <formula>AND(NOT(ISBLANK(T5)),AND(ABS(T5-TODAY())&gt;665,ABS(T5-TODAY())&lt;695))</formula>
    </cfRule>
    <cfRule type="expression" dxfId="2" priority="2">
      <formula>AND(NOT(ISBLANK(T5)),ABS(T5-TODAY())&gt;695)</formula>
    </cfRule>
  </conditionalFormatting>
  <pageMargins left="0.7" right="0.7" top="0.75" bottom="0.75" header="0.3" footer="0.3"/>
  <pageSetup orientation="portrait" verticalDpi="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24"/>
  <sheetViews>
    <sheetView workbookViewId="0">
      <selection activeCell="B30" sqref="B30"/>
    </sheetView>
  </sheetViews>
  <sheetFormatPr defaultRowHeight="16.5" x14ac:dyDescent="0.3"/>
  <cols>
    <col min="1" max="1" width="35.25" customWidth="1"/>
    <col min="2" max="2" width="26.75" customWidth="1"/>
    <col min="3" max="3" width="26.125" customWidth="1"/>
    <col min="4" max="4" width="5" customWidth="1"/>
  </cols>
  <sheetData>
    <row r="1" spans="1:4" ht="51.75" customHeight="1" thickBot="1" x14ac:dyDescent="0.35">
      <c r="A1" s="169" t="s">
        <v>164</v>
      </c>
      <c r="B1" s="170"/>
      <c r="C1" s="170"/>
      <c r="D1" s="171"/>
    </row>
    <row r="2" spans="1:4" x14ac:dyDescent="0.3">
      <c r="A2" s="168" t="s">
        <v>79</v>
      </c>
      <c r="B2" s="168"/>
      <c r="C2" s="168"/>
      <c r="D2" s="168"/>
    </row>
    <row r="3" spans="1:4" ht="18" x14ac:dyDescent="0.3">
      <c r="A3" s="2" t="s">
        <v>80</v>
      </c>
      <c r="B3" s="66" t="s">
        <v>81</v>
      </c>
      <c r="C3" s="66" t="s">
        <v>148</v>
      </c>
      <c r="D3" s="110"/>
    </row>
    <row r="4" spans="1:4" x14ac:dyDescent="0.3">
      <c r="A4" s="15" t="s">
        <v>85</v>
      </c>
      <c r="B4" s="3">
        <v>1.0029999999999999</v>
      </c>
      <c r="C4" s="112">
        <v>42137</v>
      </c>
      <c r="D4" s="114">
        <f ca="1">IF(ISBLANK(C4),"",ABS(C4-TODAY()))</f>
        <v>708</v>
      </c>
    </row>
    <row r="5" spans="1:4" x14ac:dyDescent="0.3">
      <c r="A5" s="15" t="s">
        <v>86</v>
      </c>
      <c r="B5" s="3">
        <v>0.999</v>
      </c>
      <c r="C5" s="112">
        <v>41409</v>
      </c>
      <c r="D5" s="114">
        <f t="shared" ref="D5:D24" ca="1" si="0">IF(ISBLANK(C5),"",ABS(C5-TODAY()))</f>
        <v>1436</v>
      </c>
    </row>
    <row r="6" spans="1:4" x14ac:dyDescent="0.3">
      <c r="A6" s="15" t="s">
        <v>160</v>
      </c>
      <c r="B6" s="3">
        <v>0.999</v>
      </c>
      <c r="C6" s="112">
        <v>42313</v>
      </c>
      <c r="D6" s="114">
        <f t="shared" ca="1" si="0"/>
        <v>532</v>
      </c>
    </row>
    <row r="7" spans="1:4" x14ac:dyDescent="0.3">
      <c r="A7" s="15"/>
      <c r="B7" s="3"/>
      <c r="C7" s="112"/>
      <c r="D7" s="114" t="str">
        <f t="shared" ca="1" si="0"/>
        <v/>
      </c>
    </row>
    <row r="8" spans="1:4" x14ac:dyDescent="0.3">
      <c r="A8" s="15"/>
      <c r="B8" s="3"/>
      <c r="C8" s="112"/>
      <c r="D8" s="114" t="str">
        <f t="shared" ca="1" si="0"/>
        <v/>
      </c>
    </row>
    <row r="9" spans="1:4" x14ac:dyDescent="0.3">
      <c r="A9" s="15"/>
      <c r="B9" s="3"/>
      <c r="C9" s="112"/>
      <c r="D9" s="114" t="str">
        <f t="shared" ca="1" si="0"/>
        <v/>
      </c>
    </row>
    <row r="10" spans="1:4" x14ac:dyDescent="0.3">
      <c r="A10" s="15"/>
      <c r="B10" s="3"/>
      <c r="C10" s="112"/>
      <c r="D10" s="114" t="str">
        <f t="shared" ca="1" si="0"/>
        <v/>
      </c>
    </row>
    <row r="11" spans="1:4" x14ac:dyDescent="0.3">
      <c r="A11" s="15"/>
      <c r="B11" s="3"/>
      <c r="C11" s="112"/>
      <c r="D11" s="114" t="str">
        <f t="shared" ca="1" si="0"/>
        <v/>
      </c>
    </row>
    <row r="12" spans="1:4" x14ac:dyDescent="0.3">
      <c r="A12" s="15"/>
      <c r="B12" s="3"/>
      <c r="C12" s="112"/>
      <c r="D12" s="114" t="str">
        <f t="shared" ca="1" si="0"/>
        <v/>
      </c>
    </row>
    <row r="13" spans="1:4" x14ac:dyDescent="0.3">
      <c r="A13" s="15"/>
      <c r="B13" s="3"/>
      <c r="C13" s="112"/>
      <c r="D13" s="114" t="str">
        <f t="shared" ca="1" si="0"/>
        <v/>
      </c>
    </row>
    <row r="14" spans="1:4" x14ac:dyDescent="0.3">
      <c r="A14" s="15"/>
      <c r="B14" s="3"/>
      <c r="C14" s="112"/>
      <c r="D14" s="114" t="str">
        <f t="shared" ca="1" si="0"/>
        <v/>
      </c>
    </row>
    <row r="15" spans="1:4" x14ac:dyDescent="0.3">
      <c r="A15" s="15"/>
      <c r="B15" s="3"/>
      <c r="C15" s="112"/>
      <c r="D15" s="114" t="str">
        <f t="shared" ca="1" si="0"/>
        <v/>
      </c>
    </row>
    <row r="16" spans="1:4" x14ac:dyDescent="0.3">
      <c r="A16" s="15"/>
      <c r="B16" s="3"/>
      <c r="C16" s="112"/>
      <c r="D16" s="114" t="str">
        <f t="shared" ca="1" si="0"/>
        <v/>
      </c>
    </row>
    <row r="17" spans="1:4" x14ac:dyDescent="0.3">
      <c r="A17" s="15"/>
      <c r="B17" s="3"/>
      <c r="C17" s="112"/>
      <c r="D17" s="114" t="str">
        <f t="shared" ca="1" si="0"/>
        <v/>
      </c>
    </row>
    <row r="18" spans="1:4" x14ac:dyDescent="0.3">
      <c r="A18" s="15"/>
      <c r="B18" s="3"/>
      <c r="C18" s="112"/>
      <c r="D18" s="114" t="str">
        <f t="shared" ca="1" si="0"/>
        <v/>
      </c>
    </row>
    <row r="19" spans="1:4" x14ac:dyDescent="0.3">
      <c r="A19" s="15"/>
      <c r="B19" s="3"/>
      <c r="C19" s="112"/>
      <c r="D19" s="114" t="str">
        <f t="shared" ca="1" si="0"/>
        <v/>
      </c>
    </row>
    <row r="20" spans="1:4" x14ac:dyDescent="0.3">
      <c r="A20" s="15"/>
      <c r="B20" s="3"/>
      <c r="C20" s="112"/>
      <c r="D20" s="114" t="str">
        <f t="shared" ca="1" si="0"/>
        <v/>
      </c>
    </row>
    <row r="21" spans="1:4" x14ac:dyDescent="0.3">
      <c r="A21" s="15"/>
      <c r="B21" s="3"/>
      <c r="C21" s="112"/>
      <c r="D21" s="114" t="str">
        <f t="shared" ca="1" si="0"/>
        <v/>
      </c>
    </row>
    <row r="22" spans="1:4" x14ac:dyDescent="0.3">
      <c r="A22" s="15"/>
      <c r="B22" s="3"/>
      <c r="C22" s="112"/>
      <c r="D22" s="114" t="str">
        <f t="shared" ca="1" si="0"/>
        <v/>
      </c>
    </row>
    <row r="23" spans="1:4" x14ac:dyDescent="0.3">
      <c r="A23" s="15"/>
      <c r="B23" s="3"/>
      <c r="C23" s="112"/>
      <c r="D23" s="114" t="str">
        <f t="shared" ca="1" si="0"/>
        <v/>
      </c>
    </row>
    <row r="24" spans="1:4" x14ac:dyDescent="0.3">
      <c r="A24" s="15"/>
      <c r="B24" s="3"/>
      <c r="C24" s="112"/>
      <c r="D24" s="114" t="str">
        <f t="shared" ca="1" si="0"/>
        <v/>
      </c>
    </row>
  </sheetData>
  <mergeCells count="2">
    <mergeCell ref="A2:D2"/>
    <mergeCell ref="A1:D1"/>
  </mergeCells>
  <conditionalFormatting sqref="D4:D24">
    <cfRule type="iconSet" priority="5">
      <iconSet iconSet="3Symbols" showValue="0" reverse="1">
        <cfvo type="percent" val="0"/>
        <cfvo type="num" val="665"/>
        <cfvo type="num" val="695" gte="0"/>
      </iconSet>
    </cfRule>
  </conditionalFormatting>
  <conditionalFormatting sqref="C4:C24">
    <cfRule type="expression" dxfId="1" priority="1">
      <formula>AND(NOT(ISBLANK(C4)),AND(ABS(C4-TODAY())&gt;665,ABS(C4-TODAY())&lt;695))</formula>
    </cfRule>
    <cfRule type="expression" dxfId="0" priority="2">
      <formula>AND(NOT(ISBLANK(C4)),ABS(C4-TODAY())&gt;695)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Y20"/>
  <sheetViews>
    <sheetView workbookViewId="0">
      <selection activeCell="I3" sqref="I3:J4"/>
    </sheetView>
  </sheetViews>
  <sheetFormatPr defaultRowHeight="16.5" x14ac:dyDescent="0.3"/>
  <cols>
    <col min="1" max="1" width="27.75" customWidth="1"/>
    <col min="11" max="11" width="11.625" customWidth="1"/>
    <col min="12" max="12" width="10.375" customWidth="1"/>
    <col min="13" max="13" width="15.375" customWidth="1"/>
    <col min="14" max="14" width="14" customWidth="1"/>
    <col min="15" max="15" width="9.25" customWidth="1"/>
    <col min="16" max="16" width="16" customWidth="1"/>
    <col min="17" max="17" width="14.125" customWidth="1"/>
    <col min="43" max="43" width="8.875" customWidth="1"/>
    <col min="44" max="44" width="11.125" customWidth="1"/>
    <col min="45" max="45" width="10.375" customWidth="1"/>
    <col min="46" max="46" width="9.75" customWidth="1"/>
    <col min="47" max="47" width="10.25" customWidth="1"/>
    <col min="49" max="49" width="9" customWidth="1"/>
    <col min="50" max="50" width="9.125" customWidth="1"/>
    <col min="77" max="77" width="16.625" customWidth="1"/>
  </cols>
  <sheetData>
    <row r="1" spans="1:77" ht="22.5" x14ac:dyDescent="0.3">
      <c r="A1" s="172" t="s">
        <v>93</v>
      </c>
      <c r="B1" s="172"/>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B1" s="172"/>
      <c r="AC1" s="172"/>
      <c r="AD1" s="172"/>
      <c r="AE1" s="172"/>
      <c r="AF1" s="172"/>
      <c r="AG1" s="172"/>
      <c r="AH1" s="172"/>
      <c r="AI1" s="172"/>
      <c r="AJ1" s="172"/>
      <c r="AK1" s="172"/>
      <c r="AL1" s="172"/>
      <c r="AM1" s="172"/>
      <c r="AN1" s="172"/>
      <c r="AO1" s="172"/>
      <c r="AP1" s="172"/>
      <c r="AQ1" s="172"/>
      <c r="AR1" s="172"/>
      <c r="AS1" s="172"/>
      <c r="AT1" s="172"/>
      <c r="AU1" s="172"/>
      <c r="AV1" s="172"/>
      <c r="AW1" s="172"/>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row>
    <row r="2" spans="1:77" x14ac:dyDescent="0.3">
      <c r="A2" s="188" t="s">
        <v>95</v>
      </c>
      <c r="B2" s="188"/>
      <c r="C2" s="188"/>
      <c r="D2" s="188"/>
      <c r="E2" s="188"/>
      <c r="F2" s="188"/>
      <c r="G2" s="188"/>
      <c r="H2" s="189"/>
      <c r="I2" s="184" t="s">
        <v>94</v>
      </c>
      <c r="J2" s="185"/>
      <c r="K2" s="185"/>
      <c r="L2" s="185"/>
      <c r="M2" s="185"/>
      <c r="N2" s="185"/>
      <c r="O2" s="185"/>
      <c r="P2" s="185"/>
      <c r="Q2" s="186"/>
      <c r="R2" s="190" t="s">
        <v>96</v>
      </c>
      <c r="S2" s="190"/>
      <c r="T2" s="190"/>
      <c r="U2" s="190"/>
      <c r="V2" s="190"/>
      <c r="W2" s="190"/>
      <c r="X2" s="190"/>
      <c r="Y2" s="190"/>
      <c r="Z2" s="190"/>
      <c r="AA2" s="190"/>
      <c r="AB2" s="190"/>
      <c r="AC2" s="190"/>
      <c r="AD2" s="190"/>
      <c r="AE2" s="190"/>
      <c r="AF2" s="190"/>
      <c r="AG2" s="190"/>
      <c r="AH2" s="190"/>
      <c r="AI2" s="190"/>
      <c r="AJ2" s="190"/>
      <c r="AK2" s="190"/>
      <c r="AL2" s="190"/>
      <c r="AM2" s="190"/>
      <c r="AN2" s="190"/>
      <c r="AO2" s="190"/>
      <c r="AP2" s="190"/>
      <c r="AQ2" s="190"/>
      <c r="AR2" s="190"/>
      <c r="AS2" s="190"/>
      <c r="AT2" s="190"/>
      <c r="AU2" s="190"/>
      <c r="AV2" s="190"/>
      <c r="AW2" s="190"/>
      <c r="AX2" s="190"/>
      <c r="AY2" s="190"/>
      <c r="AZ2" s="190"/>
      <c r="BA2" s="190"/>
      <c r="BB2" s="190"/>
      <c r="BC2" s="190"/>
      <c r="BD2" s="190"/>
      <c r="BE2" s="191"/>
      <c r="BF2" s="192" t="s">
        <v>97</v>
      </c>
      <c r="BG2" s="193"/>
      <c r="BH2" s="193"/>
      <c r="BI2" s="193"/>
      <c r="BJ2" s="193"/>
      <c r="BK2" s="193"/>
      <c r="BL2" s="193"/>
      <c r="BM2" s="193"/>
      <c r="BN2" s="193"/>
      <c r="BO2" s="193"/>
      <c r="BP2" s="193"/>
      <c r="BQ2" s="193"/>
      <c r="BR2" s="193"/>
      <c r="BS2" s="193"/>
      <c r="BT2" s="193"/>
      <c r="BU2" s="193"/>
      <c r="BV2" s="193"/>
      <c r="BW2" s="193"/>
      <c r="BX2" s="193"/>
      <c r="BY2" s="173" t="s">
        <v>157</v>
      </c>
    </row>
    <row r="3" spans="1:77" ht="18" x14ac:dyDescent="0.3">
      <c r="A3" s="69"/>
      <c r="B3" s="176" t="s">
        <v>54</v>
      </c>
      <c r="C3" s="176"/>
      <c r="D3" s="176"/>
      <c r="E3" s="176"/>
      <c r="F3" s="176"/>
      <c r="G3" s="176"/>
      <c r="H3" s="179"/>
      <c r="I3" s="166" t="s">
        <v>40</v>
      </c>
      <c r="J3" s="167"/>
      <c r="K3" s="178" t="s">
        <v>89</v>
      </c>
      <c r="L3" s="167"/>
      <c r="M3" s="178" t="s">
        <v>90</v>
      </c>
      <c r="N3" s="177"/>
      <c r="O3" s="59" t="s">
        <v>55</v>
      </c>
      <c r="P3" s="178" t="s">
        <v>67</v>
      </c>
      <c r="Q3" s="179"/>
      <c r="R3" s="181" t="s">
        <v>58</v>
      </c>
      <c r="S3" s="139"/>
      <c r="T3" s="139"/>
      <c r="U3" s="139"/>
      <c r="V3" s="180"/>
      <c r="W3" s="138" t="s">
        <v>18</v>
      </c>
      <c r="X3" s="139"/>
      <c r="Y3" s="139"/>
      <c r="Z3" s="139"/>
      <c r="AA3" s="182"/>
      <c r="AB3" s="183" t="s">
        <v>57</v>
      </c>
      <c r="AC3" s="139"/>
      <c r="AD3" s="139"/>
      <c r="AE3" s="139"/>
      <c r="AF3" s="180"/>
      <c r="AG3" s="138" t="s">
        <v>155</v>
      </c>
      <c r="AH3" s="139"/>
      <c r="AI3" s="139"/>
      <c r="AJ3" s="139"/>
      <c r="AK3" s="180"/>
      <c r="AL3" s="138" t="s">
        <v>156</v>
      </c>
      <c r="AM3" s="139"/>
      <c r="AN3" s="139"/>
      <c r="AO3" s="139"/>
      <c r="AP3" s="180"/>
      <c r="AQ3" s="138" t="s">
        <v>92</v>
      </c>
      <c r="AR3" s="139"/>
      <c r="AS3" s="139"/>
      <c r="AT3" s="139"/>
      <c r="AU3" s="180"/>
      <c r="AV3" s="138" t="s">
        <v>98</v>
      </c>
      <c r="AW3" s="139"/>
      <c r="AX3" s="139"/>
      <c r="AY3" s="139"/>
      <c r="AZ3" s="180"/>
      <c r="BA3" s="138" t="s">
        <v>99</v>
      </c>
      <c r="BB3" s="139"/>
      <c r="BC3" s="139"/>
      <c r="BD3" s="139"/>
      <c r="BE3" s="180"/>
      <c r="BF3" s="138" t="s">
        <v>88</v>
      </c>
      <c r="BG3" s="139"/>
      <c r="BH3" s="139"/>
      <c r="BI3" s="139"/>
      <c r="BJ3" s="187"/>
      <c r="BK3" s="166" t="s">
        <v>4</v>
      </c>
      <c r="BL3" s="176"/>
      <c r="BM3" s="176"/>
      <c r="BN3" s="176"/>
      <c r="BO3" s="176"/>
      <c r="BP3" s="176"/>
      <c r="BQ3" s="177"/>
      <c r="BR3" s="178" t="s">
        <v>14</v>
      </c>
      <c r="BS3" s="176"/>
      <c r="BT3" s="176"/>
      <c r="BU3" s="176"/>
      <c r="BV3" s="176"/>
      <c r="BW3" s="176"/>
      <c r="BX3" s="177"/>
      <c r="BY3" s="174"/>
    </row>
    <row r="4" spans="1:77" x14ac:dyDescent="0.3">
      <c r="A4" s="70" t="s">
        <v>44</v>
      </c>
      <c r="B4" s="70" t="s">
        <v>48</v>
      </c>
      <c r="C4" s="70" t="s">
        <v>47</v>
      </c>
      <c r="D4" s="70" t="s">
        <v>49</v>
      </c>
      <c r="E4" s="70" t="s">
        <v>50</v>
      </c>
      <c r="F4" s="70" t="s">
        <v>51</v>
      </c>
      <c r="G4" s="70" t="s">
        <v>52</v>
      </c>
      <c r="H4" s="82" t="s">
        <v>53</v>
      </c>
      <c r="I4" s="70" t="s">
        <v>48</v>
      </c>
      <c r="J4" s="28" t="s">
        <v>47</v>
      </c>
      <c r="K4" s="68" t="s">
        <v>48</v>
      </c>
      <c r="L4" s="37" t="s">
        <v>47</v>
      </c>
      <c r="M4" s="27" t="s">
        <v>48</v>
      </c>
      <c r="N4" s="37" t="s">
        <v>47</v>
      </c>
      <c r="O4" s="32" t="s">
        <v>56</v>
      </c>
      <c r="P4" s="27" t="s">
        <v>48</v>
      </c>
      <c r="Q4" s="82" t="s">
        <v>47</v>
      </c>
      <c r="R4" s="70" t="s">
        <v>49</v>
      </c>
      <c r="S4" s="28" t="s">
        <v>50</v>
      </c>
      <c r="T4" s="28" t="s">
        <v>51</v>
      </c>
      <c r="U4" s="28" t="s">
        <v>52</v>
      </c>
      <c r="V4" s="32" t="s">
        <v>53</v>
      </c>
      <c r="W4" s="1" t="s">
        <v>49</v>
      </c>
      <c r="X4" s="1" t="s">
        <v>50</v>
      </c>
      <c r="Y4" s="1" t="s">
        <v>51</v>
      </c>
      <c r="Z4" s="1" t="s">
        <v>52</v>
      </c>
      <c r="AA4" s="1" t="s">
        <v>53</v>
      </c>
      <c r="AB4" s="27" t="s">
        <v>49</v>
      </c>
      <c r="AC4" s="28" t="s">
        <v>50</v>
      </c>
      <c r="AD4" s="28" t="s">
        <v>51</v>
      </c>
      <c r="AE4" s="28" t="s">
        <v>52</v>
      </c>
      <c r="AF4" s="28" t="s">
        <v>53</v>
      </c>
      <c r="AG4" s="70" t="s">
        <v>49</v>
      </c>
      <c r="AH4" s="70" t="s">
        <v>50</v>
      </c>
      <c r="AI4" s="70" t="s">
        <v>51</v>
      </c>
      <c r="AJ4" s="70" t="s">
        <v>52</v>
      </c>
      <c r="AK4" s="71" t="s">
        <v>53</v>
      </c>
      <c r="AL4" s="28" t="s">
        <v>49</v>
      </c>
      <c r="AM4" s="28" t="s">
        <v>50</v>
      </c>
      <c r="AN4" s="28" t="s">
        <v>51</v>
      </c>
      <c r="AO4" s="28" t="s">
        <v>52</v>
      </c>
      <c r="AP4" s="32" t="s">
        <v>53</v>
      </c>
      <c r="AQ4" s="64" t="s">
        <v>49</v>
      </c>
      <c r="AR4" s="64" t="s">
        <v>50</v>
      </c>
      <c r="AS4" s="64" t="s">
        <v>51</v>
      </c>
      <c r="AT4" s="64" t="s">
        <v>52</v>
      </c>
      <c r="AU4" s="65" t="s">
        <v>53</v>
      </c>
      <c r="AV4" s="70" t="s">
        <v>49</v>
      </c>
      <c r="AW4" s="70" t="s">
        <v>50</v>
      </c>
      <c r="AX4" s="70" t="s">
        <v>51</v>
      </c>
      <c r="AY4" s="70" t="s">
        <v>52</v>
      </c>
      <c r="AZ4" s="71" t="s">
        <v>53</v>
      </c>
      <c r="BA4" s="74" t="s">
        <v>49</v>
      </c>
      <c r="BB4" s="74" t="s">
        <v>50</v>
      </c>
      <c r="BC4" s="74" t="s">
        <v>51</v>
      </c>
      <c r="BD4" s="74" t="s">
        <v>52</v>
      </c>
      <c r="BE4" s="75" t="s">
        <v>53</v>
      </c>
      <c r="BF4" s="70" t="s">
        <v>49</v>
      </c>
      <c r="BG4" s="70" t="s">
        <v>50</v>
      </c>
      <c r="BH4" s="70" t="s">
        <v>51</v>
      </c>
      <c r="BI4" s="70" t="s">
        <v>52</v>
      </c>
      <c r="BJ4" s="82" t="s">
        <v>53</v>
      </c>
      <c r="BK4" s="70" t="s">
        <v>48</v>
      </c>
      <c r="BL4" s="28" t="s">
        <v>47</v>
      </c>
      <c r="BM4" s="28" t="s">
        <v>49</v>
      </c>
      <c r="BN4" s="28" t="s">
        <v>50</v>
      </c>
      <c r="BO4" s="28" t="s">
        <v>51</v>
      </c>
      <c r="BP4" s="28" t="s">
        <v>52</v>
      </c>
      <c r="BQ4" s="32" t="s">
        <v>53</v>
      </c>
      <c r="BR4" s="27" t="s">
        <v>48</v>
      </c>
      <c r="BS4" s="28" t="s">
        <v>47</v>
      </c>
      <c r="BT4" s="28" t="s">
        <v>49</v>
      </c>
      <c r="BU4" s="28" t="s">
        <v>50</v>
      </c>
      <c r="BV4" s="28" t="s">
        <v>51</v>
      </c>
      <c r="BW4" s="28" t="s">
        <v>52</v>
      </c>
      <c r="BX4" s="32" t="s">
        <v>53</v>
      </c>
      <c r="BY4" s="175"/>
    </row>
    <row r="5" spans="1:77" x14ac:dyDescent="0.3">
      <c r="A5" s="79" t="s">
        <v>46</v>
      </c>
      <c r="B5" s="80">
        <v>6</v>
      </c>
      <c r="C5" s="80">
        <v>15</v>
      </c>
      <c r="D5" s="80">
        <v>6</v>
      </c>
      <c r="E5" s="80">
        <v>9</v>
      </c>
      <c r="F5" s="80">
        <v>12</v>
      </c>
      <c r="G5" s="80">
        <v>15</v>
      </c>
      <c r="H5" s="83">
        <v>18</v>
      </c>
      <c r="I5" s="77">
        <v>66.599999999999994</v>
      </c>
      <c r="J5" s="30">
        <v>76.400000000000006</v>
      </c>
      <c r="K5" s="30">
        <v>0.66800000000000004</v>
      </c>
      <c r="L5" s="3">
        <v>0.76600000000000001</v>
      </c>
      <c r="M5" s="33">
        <v>0.77700000000000002</v>
      </c>
      <c r="N5" s="34">
        <v>0.87</v>
      </c>
      <c r="O5" s="60">
        <v>1.21</v>
      </c>
      <c r="P5" s="62">
        <v>1.6</v>
      </c>
      <c r="Q5" s="81">
        <v>2.7</v>
      </c>
      <c r="R5" s="77">
        <v>2.3639999999999999</v>
      </c>
      <c r="S5" s="16">
        <v>3.5470000000000002</v>
      </c>
      <c r="T5" s="16">
        <v>4.9550000000000001</v>
      </c>
      <c r="U5" s="16">
        <v>6.2460000000000004</v>
      </c>
      <c r="V5" s="34">
        <v>7.5620000000000003</v>
      </c>
      <c r="W5" s="31">
        <f>IF(ISBLANK(R5),"",DREF_FROMI50(R5))</f>
        <v>1.3235336</v>
      </c>
      <c r="X5" s="31">
        <f t="shared" ref="X5:AA5" si="0">IF(ISBLANK(S5),"",DREF_FROMI50(S5))</f>
        <v>2.0539177999999998</v>
      </c>
      <c r="Y5" s="31">
        <f t="shared" si="0"/>
        <v>2.9232169999999997</v>
      </c>
      <c r="Z5" s="31">
        <f t="shared" si="0"/>
        <v>3.7202804</v>
      </c>
      <c r="AA5" s="31">
        <f t="shared" si="0"/>
        <v>4.5327788</v>
      </c>
      <c r="AB5" s="33">
        <v>0.99919999999999998</v>
      </c>
      <c r="AC5" s="16">
        <v>0.99939999999999996</v>
      </c>
      <c r="AD5" s="16">
        <v>0.99870000000000003</v>
      </c>
      <c r="AE5" s="16">
        <v>0.99399999999999999</v>
      </c>
      <c r="AF5" s="30">
        <v>0.96950000000000003</v>
      </c>
      <c r="AG5" s="49">
        <v>2.2999999999999998</v>
      </c>
      <c r="AH5" s="49">
        <v>3.6</v>
      </c>
      <c r="AI5" s="49">
        <v>5</v>
      </c>
      <c r="AJ5" s="49">
        <v>6.3</v>
      </c>
      <c r="AK5" s="49">
        <v>7.6</v>
      </c>
      <c r="AL5" s="48">
        <v>2</v>
      </c>
      <c r="AM5" s="48">
        <v>3</v>
      </c>
      <c r="AN5" s="48">
        <v>4.3</v>
      </c>
      <c r="AO5" s="48">
        <v>5.4</v>
      </c>
      <c r="AP5" s="49">
        <v>6.4</v>
      </c>
      <c r="AQ5" s="49">
        <v>1.8</v>
      </c>
      <c r="AR5" s="49">
        <v>2.8</v>
      </c>
      <c r="AS5" s="49">
        <v>3.9</v>
      </c>
      <c r="AT5" s="49">
        <v>4.9000000000000004</v>
      </c>
      <c r="AU5" s="49">
        <v>5.7</v>
      </c>
      <c r="AV5" s="76">
        <f>IFERROR((AL5-0.2 - AQ5) * (0.8 - 0.9) / (AL5 - AQ5) + 0.9,"")</f>
        <v>0.9</v>
      </c>
      <c r="AW5" s="76">
        <f>IFERROR((AM5-0.2 - AR5) * (0.8 - 0.9) / (AM5 - AR5) + 0.9,"")</f>
        <v>0.9</v>
      </c>
      <c r="AX5" s="76">
        <f>IFERROR((AN5-0.2 - AS5) * (0.8 - 0.9) / (AN5 - AS5) + 0.9,"")</f>
        <v>0.85000000000000009</v>
      </c>
      <c r="AY5" s="76">
        <f>IFERROR((AO5-0.2 - AT5) * (0.8 - 0.9) / (AO5 - AT5) + 0.9,"")</f>
        <v>0.84000000000000008</v>
      </c>
      <c r="AZ5" s="76">
        <f>IFERROR((AP5-0.2 - AU5) * (0.8 - 0.9) / (AP5 - AU5) + 0.9,"")</f>
        <v>0.82857142857142863</v>
      </c>
      <c r="BA5" s="76">
        <f>IFERROR((AL5+0.2 - AL5) * (0.5 - 0.8) / (AG5 -AL5) + 0.8,"")</f>
        <v>0.59999999999999976</v>
      </c>
      <c r="BB5" s="76">
        <f>IFERROR((AM5+0.2 - AM5) * (0.5 - 0.8) / (AH5 -AM5) + 0.8,"")</f>
        <v>0.7</v>
      </c>
      <c r="BC5" s="76">
        <f>IFERROR((AN5+0.2 - AN5) * (0.5 - 0.8) / (AI5 -AN5) + 0.8,"")</f>
        <v>0.7142857142857143</v>
      </c>
      <c r="BD5" s="76">
        <f>IFERROR((AO5+0.2 - AO5) * (0.5 - 0.8) / (AJ5 -AO5) + 0.8,"")</f>
        <v>0.73333333333333328</v>
      </c>
      <c r="BE5" s="76">
        <f>IFERROR((AP5+0.2 - AP5) * (0.5 - 0.8) / (AK5 -AP5) + 0.8,"")</f>
        <v>0.75</v>
      </c>
      <c r="BF5" s="49">
        <v>1</v>
      </c>
      <c r="BG5" s="49">
        <v>1</v>
      </c>
      <c r="BH5" s="49">
        <v>1</v>
      </c>
      <c r="BI5" s="49">
        <v>1</v>
      </c>
      <c r="BJ5" s="87">
        <v>1</v>
      </c>
      <c r="BK5" s="85">
        <v>1.0038684719535782</v>
      </c>
      <c r="BL5" s="48">
        <v>1.0058199246833277</v>
      </c>
      <c r="BM5" s="48">
        <v>1.0149903288201161</v>
      </c>
      <c r="BN5" s="48">
        <v>1.0137799952482776</v>
      </c>
      <c r="BO5" s="48">
        <v>1.011832946635731</v>
      </c>
      <c r="BP5" s="48">
        <v>1.0128956623681125</v>
      </c>
      <c r="BQ5" s="49">
        <v>1.0151151631477926</v>
      </c>
      <c r="BR5" s="47">
        <v>0.99980806142034551</v>
      </c>
      <c r="BS5" s="48">
        <v>0.99966159052453474</v>
      </c>
      <c r="BT5" s="48">
        <v>1.0009389671361502</v>
      </c>
      <c r="BU5" s="48">
        <v>1.0002312138728324</v>
      </c>
      <c r="BV5" s="48">
        <v>1</v>
      </c>
      <c r="BW5" s="48">
        <v>1.0003428571428572</v>
      </c>
      <c r="BX5" s="49">
        <v>1.0006986492780625</v>
      </c>
      <c r="BY5" s="49" t="b">
        <v>1</v>
      </c>
    </row>
    <row r="6" spans="1:77" x14ac:dyDescent="0.3">
      <c r="A6" s="79" t="s">
        <v>45</v>
      </c>
      <c r="B6" s="80">
        <v>6</v>
      </c>
      <c r="C6" s="80">
        <v>15</v>
      </c>
      <c r="D6" s="80">
        <v>6</v>
      </c>
      <c r="E6" s="80">
        <v>9</v>
      </c>
      <c r="F6" s="80">
        <v>12</v>
      </c>
      <c r="G6" s="80">
        <v>15</v>
      </c>
      <c r="H6" s="83">
        <v>18</v>
      </c>
      <c r="I6" s="77">
        <v>66.150000000000006</v>
      </c>
      <c r="J6" s="30">
        <v>77.599999999999994</v>
      </c>
      <c r="K6" s="30">
        <v>0.66800000000000004</v>
      </c>
      <c r="L6" s="3">
        <v>0.76600000000000001</v>
      </c>
      <c r="M6" s="33">
        <v>0.77700000000000002</v>
      </c>
      <c r="N6" s="34">
        <v>0.87</v>
      </c>
      <c r="O6" s="60">
        <v>1.21</v>
      </c>
      <c r="P6" s="62">
        <v>1.6</v>
      </c>
      <c r="Q6" s="81">
        <v>2.7</v>
      </c>
      <c r="R6" s="77">
        <v>2.3119999999999998</v>
      </c>
      <c r="S6" s="3">
        <v>3.492</v>
      </c>
      <c r="T6" s="3">
        <v>4.9400000000000004</v>
      </c>
      <c r="U6" s="3">
        <v>6.1749999999999998</v>
      </c>
      <c r="V6" s="3">
        <v>7.39</v>
      </c>
      <c r="W6" s="31">
        <f t="shared" ref="W6:W20" si="1">IF(ISBLANK(R6),"",DREF_FROMI50(R6))</f>
        <v>1.2914287999999996</v>
      </c>
      <c r="X6" s="31">
        <f t="shared" ref="X6:AA19" si="2">IF(ISBLANK(S6),"",DREF_FROMI50(S6))</f>
        <v>2.0199607999999998</v>
      </c>
      <c r="Y6" s="31">
        <f t="shared" si="2"/>
        <v>2.9139559999999998</v>
      </c>
      <c r="Z6" s="31">
        <f t="shared" si="2"/>
        <v>3.6764449999999993</v>
      </c>
      <c r="AA6" s="31">
        <f t="shared" si="2"/>
        <v>4.4265859999999995</v>
      </c>
      <c r="AB6" s="33">
        <v>0.99909999999999999</v>
      </c>
      <c r="AC6" s="16">
        <v>0.999</v>
      </c>
      <c r="AD6" s="16">
        <v>0.99839999999999995</v>
      </c>
      <c r="AE6" s="16">
        <v>0.99439999999999995</v>
      </c>
      <c r="AF6" s="30">
        <v>0.97499999999999998</v>
      </c>
      <c r="AG6" s="49">
        <v>2.2999999999999998</v>
      </c>
      <c r="AH6" s="49">
        <v>3.6</v>
      </c>
      <c r="AI6" s="49">
        <v>5</v>
      </c>
      <c r="AJ6" s="49">
        <v>6.3</v>
      </c>
      <c r="AK6" s="49">
        <v>7.6</v>
      </c>
      <c r="AL6" s="48">
        <v>2</v>
      </c>
      <c r="AM6" s="48">
        <v>3</v>
      </c>
      <c r="AN6" s="48">
        <v>4.3</v>
      </c>
      <c r="AO6" s="48">
        <v>5.4</v>
      </c>
      <c r="AP6" s="49">
        <v>6.4</v>
      </c>
      <c r="AQ6" s="49">
        <v>1.8</v>
      </c>
      <c r="AR6" s="49">
        <v>2.8</v>
      </c>
      <c r="AS6" s="49">
        <v>3.9</v>
      </c>
      <c r="AT6" s="49">
        <v>4.9000000000000004</v>
      </c>
      <c r="AU6" s="49">
        <v>5.7</v>
      </c>
      <c r="AV6" s="76">
        <f t="shared" ref="AV6:AV20" si="3">IFERROR((AL6-0.2 - AQ6) * (0.8 - 0.9) / (AL6 - AQ6) + 0.9,"")</f>
        <v>0.9</v>
      </c>
      <c r="AW6" s="76">
        <f t="shared" ref="AW6:AW20" si="4">IFERROR((AM6-0.2 - AR6) * (0.8 - 0.9) / (AM6 - AR6) + 0.9,"")</f>
        <v>0.9</v>
      </c>
      <c r="AX6" s="76">
        <f t="shared" ref="AX6:AX20" si="5">IFERROR((AN6-0.2 - AS6) * (0.8 - 0.9) / (AN6 - AS6) + 0.9,"")</f>
        <v>0.85000000000000009</v>
      </c>
      <c r="AY6" s="76">
        <f t="shared" ref="AY6:AY20" si="6">IFERROR((AO6-0.2 - AT6) * (0.8 - 0.9) / (AO6 - AT6) + 0.9,"")</f>
        <v>0.84000000000000008</v>
      </c>
      <c r="AZ6" s="76">
        <f t="shared" ref="AZ6:AZ20" si="7">IFERROR((AP6-0.2 - AU6) * (0.8 - 0.9) / (AP6 - AU6) + 0.9,"")</f>
        <v>0.82857142857142863</v>
      </c>
      <c r="BA6" s="76">
        <f t="shared" ref="BA6:BA20" si="8">IFERROR((AL6+0.2 - AL6) * (0.5 - 0.8) / (AG6 -AL6) + 0.8,"")</f>
        <v>0.59999999999999976</v>
      </c>
      <c r="BB6" s="76">
        <f t="shared" ref="BB6:BB20" si="9">IFERROR((AM6+0.2 - AM6) * (0.5 - 0.8) / (AH6 -AM6) + 0.8,"")</f>
        <v>0.7</v>
      </c>
      <c r="BC6" s="76">
        <f>IFERROR((AN6+0.2 - AN6) * (0.5 - 0.8) / (AI6 -AN6) + 0.8,"")</f>
        <v>0.7142857142857143</v>
      </c>
      <c r="BD6" s="76">
        <f t="shared" ref="BD6:BD20" si="10">IFERROR((AO6+0.2 - AO6) * (0.5 - 0.8) / (AJ6 -AO6) + 0.8,"")</f>
        <v>0.73333333333333328</v>
      </c>
      <c r="BE6" s="76">
        <f t="shared" ref="BE6:BE20" si="11">IFERROR((AP6+0.2 - AP6) * (0.5 - 0.8) / (AK6 -AP6) + 0.8,"")</f>
        <v>0.75</v>
      </c>
      <c r="BF6" s="49">
        <v>1</v>
      </c>
      <c r="BG6" s="49">
        <v>1</v>
      </c>
      <c r="BH6" s="49">
        <v>1</v>
      </c>
      <c r="BI6" s="49">
        <v>1</v>
      </c>
      <c r="BJ6" s="87">
        <v>1</v>
      </c>
      <c r="BK6" s="85">
        <v>1.0035872546950833</v>
      </c>
      <c r="BL6" s="48">
        <v>1.006504406210659</v>
      </c>
      <c r="BM6" s="48">
        <v>1.0138403333173698</v>
      </c>
      <c r="BN6" s="48">
        <v>1.015130023640662</v>
      </c>
      <c r="BO6" s="48">
        <v>1.0134149211579193</v>
      </c>
      <c r="BP6" s="48">
        <v>1.0149494020239191</v>
      </c>
      <c r="BQ6" s="49">
        <v>1.0144637294170005</v>
      </c>
      <c r="BR6" s="47">
        <v>1.0003767897513187</v>
      </c>
      <c r="BS6" s="48">
        <v>1.0004970178926442</v>
      </c>
      <c r="BT6" s="48">
        <v>0.99941900999302802</v>
      </c>
      <c r="BU6" s="48">
        <v>1.0001147842056932</v>
      </c>
      <c r="BV6" s="48">
        <v>1.0003368515607456</v>
      </c>
      <c r="BW6" s="48">
        <v>0.99988786723480594</v>
      </c>
      <c r="BX6" s="49">
        <v>1.000225937641211</v>
      </c>
      <c r="BY6" s="49" t="b">
        <v>1</v>
      </c>
    </row>
    <row r="7" spans="1:77" x14ac:dyDescent="0.3">
      <c r="A7" s="79" t="s">
        <v>154</v>
      </c>
      <c r="B7" s="80">
        <v>6</v>
      </c>
      <c r="C7" s="80">
        <v>15</v>
      </c>
      <c r="D7" s="80">
        <v>6</v>
      </c>
      <c r="E7" s="80">
        <v>9</v>
      </c>
      <c r="F7" s="80">
        <v>12</v>
      </c>
      <c r="G7" s="80">
        <v>15</v>
      </c>
      <c r="H7" s="83">
        <v>18</v>
      </c>
      <c r="I7" s="77">
        <v>66.099999999999994</v>
      </c>
      <c r="J7" s="30">
        <v>77.91</v>
      </c>
      <c r="K7" s="30">
        <v>0.66100000000000003</v>
      </c>
      <c r="L7" s="3">
        <v>0.76600000000000001</v>
      </c>
      <c r="M7" s="33">
        <v>0.76900000000000002</v>
      </c>
      <c r="N7" s="34">
        <v>0.877</v>
      </c>
      <c r="O7" s="60">
        <v>1.21</v>
      </c>
      <c r="P7" s="62">
        <v>1.5</v>
      </c>
      <c r="Q7" s="81">
        <v>2.7</v>
      </c>
      <c r="R7" s="77">
        <v>2.3959999999999999</v>
      </c>
      <c r="S7" s="16">
        <v>3.63</v>
      </c>
      <c r="T7" s="16">
        <v>5.0759999999999996</v>
      </c>
      <c r="U7" s="16">
        <v>6.4379999999999997</v>
      </c>
      <c r="V7" s="34">
        <v>7.8449999999999998</v>
      </c>
      <c r="W7" s="31">
        <f t="shared" si="1"/>
        <v>1.3432903999999997</v>
      </c>
      <c r="X7" s="31">
        <f t="shared" si="2"/>
        <v>2.1051619999999995</v>
      </c>
      <c r="Y7" s="31">
        <f t="shared" si="2"/>
        <v>2.9979223999999998</v>
      </c>
      <c r="Z7" s="31">
        <f t="shared" si="2"/>
        <v>3.8388211999999995</v>
      </c>
      <c r="AA7" s="31">
        <f t="shared" si="2"/>
        <v>4.7075029999999991</v>
      </c>
      <c r="AB7" s="33">
        <v>0.999</v>
      </c>
      <c r="AC7" s="16">
        <v>0.999</v>
      </c>
      <c r="AD7" s="16">
        <v>1</v>
      </c>
      <c r="AE7" s="16">
        <v>0.99399999999999999</v>
      </c>
      <c r="AF7" s="30">
        <v>0.97399999999999998</v>
      </c>
      <c r="AG7" s="49">
        <v>2.37</v>
      </c>
      <c r="AH7" s="49">
        <v>3.65</v>
      </c>
      <c r="AI7" s="49">
        <v>5.18</v>
      </c>
      <c r="AJ7" s="49">
        <v>6.54</v>
      </c>
      <c r="AK7" s="49">
        <v>7.798</v>
      </c>
      <c r="AL7" s="48">
        <v>1.9570000000000001</v>
      </c>
      <c r="AM7" s="48">
        <v>3</v>
      </c>
      <c r="AN7" s="48">
        <v>4.3499999999999996</v>
      </c>
      <c r="AO7" s="48">
        <v>5.4249999999999998</v>
      </c>
      <c r="AP7" s="49">
        <v>6.27</v>
      </c>
      <c r="AQ7" s="49">
        <v>1.7669999999999999</v>
      </c>
      <c r="AR7" s="49">
        <v>2.7170000000000001</v>
      </c>
      <c r="AS7" s="49">
        <v>3.968</v>
      </c>
      <c r="AT7" s="49">
        <v>4.8929999999999998</v>
      </c>
      <c r="AU7" s="49">
        <v>5.3920000000000003</v>
      </c>
      <c r="AV7" s="76">
        <f t="shared" si="3"/>
        <v>0.90526315789473677</v>
      </c>
      <c r="AW7" s="76">
        <f t="shared" si="4"/>
        <v>0.87067137809187289</v>
      </c>
      <c r="AX7" s="76">
        <f t="shared" si="5"/>
        <v>0.85235602094240848</v>
      </c>
      <c r="AY7" s="76">
        <f t="shared" si="6"/>
        <v>0.83759398496240611</v>
      </c>
      <c r="AZ7" s="76">
        <f t="shared" si="7"/>
        <v>0.82277904328018225</v>
      </c>
      <c r="BA7" s="76">
        <f t="shared" si="8"/>
        <v>0.65472154963680396</v>
      </c>
      <c r="BB7" s="76">
        <f t="shared" si="9"/>
        <v>0.70769230769230762</v>
      </c>
      <c r="BC7" s="76">
        <f t="shared" ref="BC7:BC20" si="12">IFERROR((AN7+0.2 - AN7) * (0.5 - 0.8) / (AI7 -AN7) + 0.8,"")</f>
        <v>0.72771084337349401</v>
      </c>
      <c r="BD7" s="76">
        <f t="shared" si="10"/>
        <v>0.74618834080717489</v>
      </c>
      <c r="BE7" s="76">
        <f t="shared" si="11"/>
        <v>0.76073298429319369</v>
      </c>
      <c r="BF7" s="49">
        <v>1</v>
      </c>
      <c r="BG7" s="49">
        <v>1</v>
      </c>
      <c r="BH7" s="49">
        <v>1</v>
      </c>
      <c r="BI7" s="49">
        <v>1</v>
      </c>
      <c r="BJ7" s="87">
        <v>1</v>
      </c>
      <c r="BK7" s="85">
        <v>1.0037664783427496</v>
      </c>
      <c r="BL7" s="48">
        <v>1.0063312229256915</v>
      </c>
      <c r="BM7" s="48">
        <v>1.0141503777431347</v>
      </c>
      <c r="BN7" s="48">
        <v>1.0147759771210676</v>
      </c>
      <c r="BO7" s="48">
        <v>1.0140810276679844</v>
      </c>
      <c r="BP7" s="48">
        <v>1.0135443037974685</v>
      </c>
      <c r="BQ7" s="49">
        <v>1.0132141469102212</v>
      </c>
      <c r="BR7" s="47">
        <v>1.0011214953271028</v>
      </c>
      <c r="BS7" s="48">
        <v>1.0009871668311945</v>
      </c>
      <c r="BT7" s="48">
        <v>1.0002915451895045</v>
      </c>
      <c r="BU7" s="48">
        <v>1.0005208333333333</v>
      </c>
      <c r="BV7" s="48">
        <v>1.000600672753484</v>
      </c>
      <c r="BW7" s="48">
        <v>1.0012324377618931</v>
      </c>
      <c r="BX7" s="49">
        <v>1.0003786444528588</v>
      </c>
      <c r="BY7" s="49" t="b">
        <v>1</v>
      </c>
    </row>
    <row r="8" spans="1:77" x14ac:dyDescent="0.3">
      <c r="A8" s="79"/>
      <c r="B8" s="80"/>
      <c r="C8" s="80"/>
      <c r="D8" s="80"/>
      <c r="E8" s="80"/>
      <c r="F8" s="80"/>
      <c r="G8" s="80"/>
      <c r="H8" s="83"/>
      <c r="I8" s="77"/>
      <c r="J8" s="30"/>
      <c r="K8" s="30"/>
      <c r="L8" s="3"/>
      <c r="M8" s="33"/>
      <c r="N8" s="34"/>
      <c r="O8" s="60"/>
      <c r="P8" s="62"/>
      <c r="Q8" s="81"/>
      <c r="R8" s="77"/>
      <c r="S8" s="16"/>
      <c r="T8" s="16"/>
      <c r="U8" s="16"/>
      <c r="V8" s="34"/>
      <c r="W8" s="31" t="str">
        <f t="shared" si="1"/>
        <v/>
      </c>
      <c r="X8" s="31" t="str">
        <f t="shared" si="2"/>
        <v/>
      </c>
      <c r="Y8" s="31" t="str">
        <f t="shared" si="2"/>
        <v/>
      </c>
      <c r="Z8" s="31" t="str">
        <f t="shared" si="2"/>
        <v/>
      </c>
      <c r="AA8" s="31" t="str">
        <f t="shared" si="2"/>
        <v/>
      </c>
      <c r="AB8" s="33"/>
      <c r="AC8" s="16"/>
      <c r="AD8" s="16"/>
      <c r="AE8" s="16"/>
      <c r="AF8" s="30"/>
      <c r="AG8" s="49"/>
      <c r="AH8" s="49"/>
      <c r="AI8" s="49"/>
      <c r="AJ8" s="49"/>
      <c r="AK8" s="49"/>
      <c r="AL8" s="48"/>
      <c r="AM8" s="48"/>
      <c r="AN8" s="48"/>
      <c r="AO8" s="48"/>
      <c r="AP8" s="49"/>
      <c r="AQ8" s="49"/>
      <c r="AR8" s="49"/>
      <c r="AS8" s="49"/>
      <c r="AT8" s="49"/>
      <c r="AU8" s="49"/>
      <c r="AV8" s="76" t="str">
        <f t="shared" si="3"/>
        <v/>
      </c>
      <c r="AW8" s="76" t="str">
        <f t="shared" si="4"/>
        <v/>
      </c>
      <c r="AX8" s="76" t="str">
        <f t="shared" si="5"/>
        <v/>
      </c>
      <c r="AY8" s="76" t="str">
        <f t="shared" si="6"/>
        <v/>
      </c>
      <c r="AZ8" s="76" t="str">
        <f t="shared" si="7"/>
        <v/>
      </c>
      <c r="BA8" s="76" t="str">
        <f t="shared" si="8"/>
        <v/>
      </c>
      <c r="BB8" s="76" t="str">
        <f t="shared" si="9"/>
        <v/>
      </c>
      <c r="BC8" s="76" t="str">
        <f t="shared" si="12"/>
        <v/>
      </c>
      <c r="BD8" s="76" t="str">
        <f t="shared" si="10"/>
        <v/>
      </c>
      <c r="BE8" s="76" t="str">
        <f t="shared" si="11"/>
        <v/>
      </c>
      <c r="BF8" s="49"/>
      <c r="BG8" s="49"/>
      <c r="BH8" s="49"/>
      <c r="BI8" s="49"/>
      <c r="BJ8" s="87"/>
      <c r="BK8" s="85"/>
      <c r="BL8" s="48"/>
      <c r="BM8" s="48"/>
      <c r="BN8" s="48"/>
      <c r="BO8" s="48"/>
      <c r="BP8" s="48"/>
      <c r="BQ8" s="49"/>
      <c r="BR8" s="47"/>
      <c r="BS8" s="48"/>
      <c r="BT8" s="48"/>
      <c r="BU8" s="48"/>
      <c r="BV8" s="48"/>
      <c r="BW8" s="48"/>
      <c r="BX8" s="49"/>
      <c r="BY8" s="49"/>
    </row>
    <row r="9" spans="1:77" x14ac:dyDescent="0.3">
      <c r="A9" s="79"/>
      <c r="B9" s="80"/>
      <c r="C9" s="80"/>
      <c r="D9" s="80"/>
      <c r="E9" s="80"/>
      <c r="F9" s="80"/>
      <c r="G9" s="80"/>
      <c r="H9" s="83"/>
      <c r="I9" s="77"/>
      <c r="J9" s="30"/>
      <c r="K9" s="30"/>
      <c r="L9" s="3"/>
      <c r="M9" s="33"/>
      <c r="N9" s="34"/>
      <c r="O9" s="60"/>
      <c r="P9" s="62"/>
      <c r="Q9" s="81"/>
      <c r="R9" s="77"/>
      <c r="S9" s="16"/>
      <c r="T9" s="16"/>
      <c r="U9" s="16"/>
      <c r="V9" s="34"/>
      <c r="W9" s="31" t="str">
        <f t="shared" si="1"/>
        <v/>
      </c>
      <c r="X9" s="31" t="str">
        <f t="shared" si="2"/>
        <v/>
      </c>
      <c r="Y9" s="31" t="str">
        <f t="shared" si="2"/>
        <v/>
      </c>
      <c r="Z9" s="31" t="str">
        <f t="shared" si="2"/>
        <v/>
      </c>
      <c r="AA9" s="31" t="str">
        <f t="shared" si="2"/>
        <v/>
      </c>
      <c r="AB9" s="33"/>
      <c r="AC9" s="16"/>
      <c r="AD9" s="16"/>
      <c r="AE9" s="16"/>
      <c r="AF9" s="30"/>
      <c r="AG9" s="49"/>
      <c r="AH9" s="49"/>
      <c r="AI9" s="49"/>
      <c r="AJ9" s="49"/>
      <c r="AK9" s="49"/>
      <c r="AL9" s="48"/>
      <c r="AM9" s="48"/>
      <c r="AN9" s="48"/>
      <c r="AO9" s="48"/>
      <c r="AP9" s="49"/>
      <c r="AQ9" s="49"/>
      <c r="AR9" s="49"/>
      <c r="AS9" s="49"/>
      <c r="AT9" s="49"/>
      <c r="AU9" s="49"/>
      <c r="AV9" s="76" t="str">
        <f t="shared" si="3"/>
        <v/>
      </c>
      <c r="AW9" s="76" t="str">
        <f t="shared" si="4"/>
        <v/>
      </c>
      <c r="AX9" s="76" t="str">
        <f t="shared" si="5"/>
        <v/>
      </c>
      <c r="AY9" s="76" t="str">
        <f t="shared" si="6"/>
        <v/>
      </c>
      <c r="AZ9" s="76" t="str">
        <f t="shared" si="7"/>
        <v/>
      </c>
      <c r="BA9" s="76" t="str">
        <f t="shared" si="8"/>
        <v/>
      </c>
      <c r="BB9" s="76" t="str">
        <f t="shared" si="9"/>
        <v/>
      </c>
      <c r="BC9" s="76" t="str">
        <f t="shared" si="12"/>
        <v/>
      </c>
      <c r="BD9" s="76" t="str">
        <f t="shared" si="10"/>
        <v/>
      </c>
      <c r="BE9" s="76" t="str">
        <f t="shared" si="11"/>
        <v/>
      </c>
      <c r="BF9" s="49"/>
      <c r="BG9" s="49"/>
      <c r="BH9" s="49"/>
      <c r="BI9" s="49"/>
      <c r="BJ9" s="87"/>
      <c r="BK9" s="85"/>
      <c r="BL9" s="48"/>
      <c r="BM9" s="48"/>
      <c r="BN9" s="48"/>
      <c r="BO9" s="48"/>
      <c r="BP9" s="48"/>
      <c r="BQ9" s="49"/>
      <c r="BR9" s="47"/>
      <c r="BS9" s="48"/>
      <c r="BT9" s="48"/>
      <c r="BU9" s="48"/>
      <c r="BV9" s="48"/>
      <c r="BW9" s="48"/>
      <c r="BX9" s="49"/>
      <c r="BY9" s="49"/>
    </row>
    <row r="10" spans="1:77" x14ac:dyDescent="0.3">
      <c r="A10" s="79"/>
      <c r="B10" s="80"/>
      <c r="C10" s="80"/>
      <c r="D10" s="80"/>
      <c r="E10" s="80"/>
      <c r="F10" s="80"/>
      <c r="G10" s="80"/>
      <c r="H10" s="83"/>
      <c r="I10" s="77"/>
      <c r="J10" s="30"/>
      <c r="K10" s="30"/>
      <c r="L10" s="3"/>
      <c r="M10" s="33"/>
      <c r="N10" s="34"/>
      <c r="O10" s="60"/>
      <c r="P10" s="62"/>
      <c r="Q10" s="81"/>
      <c r="R10" s="77"/>
      <c r="S10" s="16"/>
      <c r="T10" s="16"/>
      <c r="U10" s="16"/>
      <c r="V10" s="34"/>
      <c r="W10" s="31" t="str">
        <f t="shared" si="1"/>
        <v/>
      </c>
      <c r="X10" s="31" t="str">
        <f t="shared" si="2"/>
        <v/>
      </c>
      <c r="Y10" s="31" t="str">
        <f t="shared" si="2"/>
        <v/>
      </c>
      <c r="Z10" s="31" t="str">
        <f t="shared" si="2"/>
        <v/>
      </c>
      <c r="AA10" s="31" t="str">
        <f t="shared" si="2"/>
        <v/>
      </c>
      <c r="AB10" s="33"/>
      <c r="AC10" s="16"/>
      <c r="AD10" s="16"/>
      <c r="AE10" s="16"/>
      <c r="AF10" s="30"/>
      <c r="AG10" s="49"/>
      <c r="AH10" s="49"/>
      <c r="AI10" s="49"/>
      <c r="AJ10" s="49"/>
      <c r="AK10" s="49"/>
      <c r="AL10" s="48"/>
      <c r="AM10" s="48"/>
      <c r="AN10" s="48"/>
      <c r="AO10" s="48"/>
      <c r="AP10" s="49"/>
      <c r="AQ10" s="49"/>
      <c r="AR10" s="49"/>
      <c r="AS10" s="49"/>
      <c r="AT10" s="49"/>
      <c r="AU10" s="49"/>
      <c r="AV10" s="76" t="str">
        <f t="shared" si="3"/>
        <v/>
      </c>
      <c r="AW10" s="76" t="str">
        <f t="shared" si="4"/>
        <v/>
      </c>
      <c r="AX10" s="76" t="str">
        <f t="shared" si="5"/>
        <v/>
      </c>
      <c r="AY10" s="76" t="str">
        <f t="shared" si="6"/>
        <v/>
      </c>
      <c r="AZ10" s="76" t="str">
        <f t="shared" si="7"/>
        <v/>
      </c>
      <c r="BA10" s="76" t="str">
        <f t="shared" si="8"/>
        <v/>
      </c>
      <c r="BB10" s="76" t="str">
        <f t="shared" si="9"/>
        <v/>
      </c>
      <c r="BC10" s="76" t="str">
        <f t="shared" si="12"/>
        <v/>
      </c>
      <c r="BD10" s="76" t="str">
        <f t="shared" si="10"/>
        <v/>
      </c>
      <c r="BE10" s="76" t="str">
        <f t="shared" si="11"/>
        <v/>
      </c>
      <c r="BF10" s="49"/>
      <c r="BG10" s="49"/>
      <c r="BH10" s="49"/>
      <c r="BI10" s="49"/>
      <c r="BJ10" s="87"/>
      <c r="BK10" s="85"/>
      <c r="BL10" s="48"/>
      <c r="BM10" s="48"/>
      <c r="BN10" s="48"/>
      <c r="BO10" s="48"/>
      <c r="BP10" s="48"/>
      <c r="BQ10" s="49"/>
      <c r="BR10" s="47"/>
      <c r="BS10" s="48"/>
      <c r="BT10" s="48"/>
      <c r="BU10" s="48"/>
      <c r="BV10" s="48"/>
      <c r="BW10" s="48"/>
      <c r="BX10" s="49"/>
      <c r="BY10" s="49"/>
    </row>
    <row r="11" spans="1:77" x14ac:dyDescent="0.3">
      <c r="A11" s="79"/>
      <c r="B11" s="80"/>
      <c r="C11" s="80"/>
      <c r="D11" s="80"/>
      <c r="E11" s="80"/>
      <c r="F11" s="80"/>
      <c r="G11" s="80"/>
      <c r="H11" s="83"/>
      <c r="I11" s="77"/>
      <c r="J11" s="30"/>
      <c r="K11" s="30"/>
      <c r="L11" s="3"/>
      <c r="M11" s="33"/>
      <c r="N11" s="34"/>
      <c r="O11" s="60"/>
      <c r="P11" s="62"/>
      <c r="Q11" s="81"/>
      <c r="R11" s="77"/>
      <c r="S11" s="16"/>
      <c r="T11" s="16"/>
      <c r="U11" s="16"/>
      <c r="V11" s="34"/>
      <c r="W11" s="31" t="str">
        <f t="shared" si="1"/>
        <v/>
      </c>
      <c r="X11" s="31" t="str">
        <f t="shared" si="2"/>
        <v/>
      </c>
      <c r="Y11" s="31" t="str">
        <f t="shared" si="2"/>
        <v/>
      </c>
      <c r="Z11" s="31" t="str">
        <f t="shared" si="2"/>
        <v/>
      </c>
      <c r="AA11" s="31" t="str">
        <f t="shared" si="2"/>
        <v/>
      </c>
      <c r="AB11" s="33"/>
      <c r="AC11" s="16"/>
      <c r="AD11" s="16"/>
      <c r="AE11" s="16"/>
      <c r="AF11" s="30"/>
      <c r="AG11" s="49"/>
      <c r="AH11" s="49"/>
      <c r="AI11" s="49"/>
      <c r="AJ11" s="49"/>
      <c r="AK11" s="49"/>
      <c r="AL11" s="48"/>
      <c r="AM11" s="48"/>
      <c r="AN11" s="48"/>
      <c r="AO11" s="48"/>
      <c r="AP11" s="49"/>
      <c r="AQ11" s="49"/>
      <c r="AR11" s="49"/>
      <c r="AS11" s="49"/>
      <c r="AT11" s="49"/>
      <c r="AU11" s="49"/>
      <c r="AV11" s="76" t="str">
        <f t="shared" si="3"/>
        <v/>
      </c>
      <c r="AW11" s="76" t="str">
        <f t="shared" si="4"/>
        <v/>
      </c>
      <c r="AX11" s="76" t="str">
        <f t="shared" si="5"/>
        <v/>
      </c>
      <c r="AY11" s="76" t="str">
        <f t="shared" si="6"/>
        <v/>
      </c>
      <c r="AZ11" s="76" t="str">
        <f t="shared" si="7"/>
        <v/>
      </c>
      <c r="BA11" s="76" t="str">
        <f t="shared" si="8"/>
        <v/>
      </c>
      <c r="BB11" s="76" t="str">
        <f t="shared" si="9"/>
        <v/>
      </c>
      <c r="BC11" s="76" t="str">
        <f t="shared" si="12"/>
        <v/>
      </c>
      <c r="BD11" s="76" t="str">
        <f t="shared" si="10"/>
        <v/>
      </c>
      <c r="BE11" s="76" t="str">
        <f t="shared" si="11"/>
        <v/>
      </c>
      <c r="BF11" s="49"/>
      <c r="BG11" s="49"/>
      <c r="BH11" s="49"/>
      <c r="BI11" s="49"/>
      <c r="BJ11" s="87"/>
      <c r="BK11" s="85"/>
      <c r="BL11" s="48"/>
      <c r="BM11" s="48"/>
      <c r="BN11" s="48"/>
      <c r="BO11" s="48"/>
      <c r="BP11" s="48"/>
      <c r="BQ11" s="49"/>
      <c r="BR11" s="47"/>
      <c r="BS11" s="48"/>
      <c r="BT11" s="48"/>
      <c r="BU11" s="48"/>
      <c r="BV11" s="48"/>
      <c r="BW11" s="48"/>
      <c r="BX11" s="49"/>
      <c r="BY11" s="49"/>
    </row>
    <row r="12" spans="1:77" x14ac:dyDescent="0.3">
      <c r="A12" s="79"/>
      <c r="B12" s="80"/>
      <c r="C12" s="80"/>
      <c r="D12" s="80"/>
      <c r="E12" s="80"/>
      <c r="F12" s="80"/>
      <c r="G12" s="80"/>
      <c r="H12" s="83"/>
      <c r="I12" s="77"/>
      <c r="J12" s="30"/>
      <c r="K12" s="30"/>
      <c r="L12" s="3"/>
      <c r="M12" s="33"/>
      <c r="N12" s="34"/>
      <c r="O12" s="60"/>
      <c r="P12" s="62"/>
      <c r="Q12" s="81"/>
      <c r="R12" s="77"/>
      <c r="S12" s="16"/>
      <c r="T12" s="16"/>
      <c r="U12" s="16"/>
      <c r="V12" s="34"/>
      <c r="W12" s="31" t="str">
        <f t="shared" si="1"/>
        <v/>
      </c>
      <c r="X12" s="31" t="str">
        <f t="shared" si="2"/>
        <v/>
      </c>
      <c r="Y12" s="31" t="str">
        <f t="shared" si="2"/>
        <v/>
      </c>
      <c r="Z12" s="31" t="str">
        <f t="shared" si="2"/>
        <v/>
      </c>
      <c r="AA12" s="31" t="str">
        <f t="shared" si="2"/>
        <v/>
      </c>
      <c r="AB12" s="33"/>
      <c r="AC12" s="16"/>
      <c r="AD12" s="16"/>
      <c r="AE12" s="16"/>
      <c r="AF12" s="30"/>
      <c r="AG12" s="49"/>
      <c r="AH12" s="49"/>
      <c r="AI12" s="49"/>
      <c r="AJ12" s="49"/>
      <c r="AK12" s="49"/>
      <c r="AL12" s="48"/>
      <c r="AM12" s="48"/>
      <c r="AN12" s="48"/>
      <c r="AO12" s="48"/>
      <c r="AP12" s="49"/>
      <c r="AQ12" s="49"/>
      <c r="AR12" s="49"/>
      <c r="AS12" s="49"/>
      <c r="AT12" s="49"/>
      <c r="AU12" s="49"/>
      <c r="AV12" s="76" t="str">
        <f t="shared" si="3"/>
        <v/>
      </c>
      <c r="AW12" s="76" t="str">
        <f t="shared" si="4"/>
        <v/>
      </c>
      <c r="AX12" s="76" t="str">
        <f t="shared" si="5"/>
        <v/>
      </c>
      <c r="AY12" s="76" t="str">
        <f t="shared" si="6"/>
        <v/>
      </c>
      <c r="AZ12" s="76" t="str">
        <f t="shared" si="7"/>
        <v/>
      </c>
      <c r="BA12" s="76" t="str">
        <f t="shared" si="8"/>
        <v/>
      </c>
      <c r="BB12" s="76" t="str">
        <f t="shared" si="9"/>
        <v/>
      </c>
      <c r="BC12" s="76" t="str">
        <f t="shared" si="12"/>
        <v/>
      </c>
      <c r="BD12" s="76" t="str">
        <f t="shared" si="10"/>
        <v/>
      </c>
      <c r="BE12" s="76" t="str">
        <f t="shared" si="11"/>
        <v/>
      </c>
      <c r="BF12" s="49"/>
      <c r="BG12" s="49"/>
      <c r="BH12" s="49"/>
      <c r="BI12" s="49"/>
      <c r="BJ12" s="87"/>
      <c r="BK12" s="85"/>
      <c r="BL12" s="48"/>
      <c r="BM12" s="48"/>
      <c r="BN12" s="48"/>
      <c r="BO12" s="48"/>
      <c r="BP12" s="48"/>
      <c r="BQ12" s="49"/>
      <c r="BR12" s="47"/>
      <c r="BS12" s="48"/>
      <c r="BT12" s="48"/>
      <c r="BU12" s="48"/>
      <c r="BV12" s="48"/>
      <c r="BW12" s="48"/>
      <c r="BX12" s="49"/>
      <c r="BY12" s="49"/>
    </row>
    <row r="13" spans="1:77" x14ac:dyDescent="0.3">
      <c r="A13" s="79"/>
      <c r="B13" s="80"/>
      <c r="C13" s="80"/>
      <c r="D13" s="80"/>
      <c r="E13" s="80"/>
      <c r="F13" s="80"/>
      <c r="G13" s="80"/>
      <c r="H13" s="83"/>
      <c r="I13" s="77"/>
      <c r="J13" s="30"/>
      <c r="K13" s="30"/>
      <c r="L13" s="3"/>
      <c r="M13" s="33"/>
      <c r="N13" s="34"/>
      <c r="O13" s="60"/>
      <c r="P13" s="62"/>
      <c r="Q13" s="81"/>
      <c r="R13" s="77"/>
      <c r="S13" s="16"/>
      <c r="T13" s="16"/>
      <c r="U13" s="16"/>
      <c r="V13" s="34"/>
      <c r="W13" s="31" t="str">
        <f t="shared" si="1"/>
        <v/>
      </c>
      <c r="X13" s="31" t="str">
        <f t="shared" si="2"/>
        <v/>
      </c>
      <c r="Y13" s="31" t="str">
        <f t="shared" si="2"/>
        <v/>
      </c>
      <c r="Z13" s="31" t="str">
        <f t="shared" si="2"/>
        <v/>
      </c>
      <c r="AA13" s="31" t="str">
        <f t="shared" si="2"/>
        <v/>
      </c>
      <c r="AB13" s="33"/>
      <c r="AC13" s="16"/>
      <c r="AD13" s="16"/>
      <c r="AE13" s="16"/>
      <c r="AF13" s="30"/>
      <c r="AG13" s="49"/>
      <c r="AH13" s="49"/>
      <c r="AI13" s="49"/>
      <c r="AJ13" s="49"/>
      <c r="AK13" s="49"/>
      <c r="AL13" s="48"/>
      <c r="AM13" s="48"/>
      <c r="AN13" s="48"/>
      <c r="AO13" s="48"/>
      <c r="AP13" s="49"/>
      <c r="AQ13" s="49"/>
      <c r="AR13" s="49"/>
      <c r="AS13" s="49"/>
      <c r="AT13" s="49"/>
      <c r="AU13" s="49"/>
      <c r="AV13" s="76" t="str">
        <f t="shared" si="3"/>
        <v/>
      </c>
      <c r="AW13" s="76" t="str">
        <f t="shared" si="4"/>
        <v/>
      </c>
      <c r="AX13" s="76" t="str">
        <f t="shared" si="5"/>
        <v/>
      </c>
      <c r="AY13" s="76" t="str">
        <f t="shared" si="6"/>
        <v/>
      </c>
      <c r="AZ13" s="76" t="str">
        <f t="shared" si="7"/>
        <v/>
      </c>
      <c r="BA13" s="76" t="str">
        <f t="shared" si="8"/>
        <v/>
      </c>
      <c r="BB13" s="76" t="str">
        <f t="shared" si="9"/>
        <v/>
      </c>
      <c r="BC13" s="76" t="str">
        <f t="shared" si="12"/>
        <v/>
      </c>
      <c r="BD13" s="76" t="str">
        <f t="shared" si="10"/>
        <v/>
      </c>
      <c r="BE13" s="76" t="str">
        <f t="shared" si="11"/>
        <v/>
      </c>
      <c r="BF13" s="49"/>
      <c r="BG13" s="49"/>
      <c r="BH13" s="49"/>
      <c r="BI13" s="49"/>
      <c r="BJ13" s="87"/>
      <c r="BK13" s="85"/>
      <c r="BL13" s="48"/>
      <c r="BM13" s="48"/>
      <c r="BN13" s="48"/>
      <c r="BO13" s="48"/>
      <c r="BP13" s="48"/>
      <c r="BQ13" s="49"/>
      <c r="BR13" s="47"/>
      <c r="BS13" s="48"/>
      <c r="BT13" s="48"/>
      <c r="BU13" s="48"/>
      <c r="BV13" s="48"/>
      <c r="BW13" s="48"/>
      <c r="BX13" s="49"/>
      <c r="BY13" s="49"/>
    </row>
    <row r="14" spans="1:77" x14ac:dyDescent="0.3">
      <c r="A14" s="79"/>
      <c r="B14" s="80"/>
      <c r="C14" s="80"/>
      <c r="D14" s="80"/>
      <c r="E14" s="80"/>
      <c r="F14" s="80"/>
      <c r="G14" s="80"/>
      <c r="H14" s="83"/>
      <c r="I14" s="77"/>
      <c r="J14" s="30"/>
      <c r="K14" s="30"/>
      <c r="L14" s="3"/>
      <c r="M14" s="33"/>
      <c r="N14" s="34"/>
      <c r="O14" s="60"/>
      <c r="P14" s="62"/>
      <c r="Q14" s="81"/>
      <c r="R14" s="77"/>
      <c r="S14" s="16"/>
      <c r="T14" s="16"/>
      <c r="U14" s="16"/>
      <c r="V14" s="34"/>
      <c r="W14" s="31" t="str">
        <f t="shared" si="1"/>
        <v/>
      </c>
      <c r="X14" s="31" t="str">
        <f t="shared" si="2"/>
        <v/>
      </c>
      <c r="Y14" s="31" t="str">
        <f t="shared" si="2"/>
        <v/>
      </c>
      <c r="Z14" s="31" t="str">
        <f t="shared" si="2"/>
        <v/>
      </c>
      <c r="AA14" s="31" t="str">
        <f t="shared" si="2"/>
        <v/>
      </c>
      <c r="AB14" s="33"/>
      <c r="AC14" s="16"/>
      <c r="AD14" s="16"/>
      <c r="AE14" s="16"/>
      <c r="AF14" s="30"/>
      <c r="AG14" s="49"/>
      <c r="AH14" s="49"/>
      <c r="AI14" s="49"/>
      <c r="AJ14" s="49"/>
      <c r="AK14" s="49"/>
      <c r="AL14" s="48"/>
      <c r="AM14" s="48"/>
      <c r="AN14" s="48"/>
      <c r="AO14" s="48"/>
      <c r="AP14" s="49"/>
      <c r="AQ14" s="49"/>
      <c r="AR14" s="49"/>
      <c r="AS14" s="49"/>
      <c r="AT14" s="49"/>
      <c r="AU14" s="49"/>
      <c r="AV14" s="76" t="str">
        <f t="shared" si="3"/>
        <v/>
      </c>
      <c r="AW14" s="76" t="str">
        <f t="shared" si="4"/>
        <v/>
      </c>
      <c r="AX14" s="76" t="str">
        <f t="shared" si="5"/>
        <v/>
      </c>
      <c r="AY14" s="76" t="str">
        <f t="shared" si="6"/>
        <v/>
      </c>
      <c r="AZ14" s="76" t="str">
        <f t="shared" si="7"/>
        <v/>
      </c>
      <c r="BA14" s="76" t="str">
        <f t="shared" si="8"/>
        <v/>
      </c>
      <c r="BB14" s="76" t="str">
        <f t="shared" si="9"/>
        <v/>
      </c>
      <c r="BC14" s="76" t="str">
        <f t="shared" si="12"/>
        <v/>
      </c>
      <c r="BD14" s="76" t="str">
        <f t="shared" si="10"/>
        <v/>
      </c>
      <c r="BE14" s="76" t="str">
        <f t="shared" si="11"/>
        <v/>
      </c>
      <c r="BF14" s="49"/>
      <c r="BG14" s="49"/>
      <c r="BH14" s="49"/>
      <c r="BI14" s="49"/>
      <c r="BJ14" s="87"/>
      <c r="BK14" s="85"/>
      <c r="BL14" s="48"/>
      <c r="BM14" s="48"/>
      <c r="BN14" s="48"/>
      <c r="BO14" s="48"/>
      <c r="BP14" s="48"/>
      <c r="BQ14" s="49"/>
      <c r="BR14" s="47"/>
      <c r="BS14" s="48"/>
      <c r="BT14" s="48"/>
      <c r="BU14" s="48"/>
      <c r="BV14" s="48"/>
      <c r="BW14" s="48"/>
      <c r="BX14" s="49"/>
      <c r="BY14" s="49"/>
    </row>
    <row r="15" spans="1:77" x14ac:dyDescent="0.3">
      <c r="A15" s="79"/>
      <c r="B15" s="80"/>
      <c r="C15" s="80"/>
      <c r="D15" s="80"/>
      <c r="E15" s="80"/>
      <c r="F15" s="80"/>
      <c r="G15" s="80"/>
      <c r="H15" s="83"/>
      <c r="I15" s="77"/>
      <c r="J15" s="30"/>
      <c r="K15" s="30"/>
      <c r="L15" s="3"/>
      <c r="M15" s="33"/>
      <c r="N15" s="34"/>
      <c r="O15" s="60"/>
      <c r="P15" s="62"/>
      <c r="Q15" s="81"/>
      <c r="R15" s="77"/>
      <c r="S15" s="16"/>
      <c r="T15" s="16"/>
      <c r="U15" s="16"/>
      <c r="V15" s="34"/>
      <c r="W15" s="31" t="str">
        <f t="shared" si="1"/>
        <v/>
      </c>
      <c r="X15" s="31" t="str">
        <f t="shared" si="2"/>
        <v/>
      </c>
      <c r="Y15" s="31" t="str">
        <f t="shared" si="2"/>
        <v/>
      </c>
      <c r="Z15" s="31" t="str">
        <f t="shared" si="2"/>
        <v/>
      </c>
      <c r="AA15" s="31" t="str">
        <f t="shared" si="2"/>
        <v/>
      </c>
      <c r="AB15" s="33"/>
      <c r="AC15" s="16"/>
      <c r="AD15" s="16"/>
      <c r="AE15" s="16"/>
      <c r="AF15" s="30"/>
      <c r="AG15" s="49"/>
      <c r="AH15" s="49"/>
      <c r="AI15" s="49"/>
      <c r="AJ15" s="49"/>
      <c r="AK15" s="49"/>
      <c r="AL15" s="48"/>
      <c r="AM15" s="48"/>
      <c r="AN15" s="48"/>
      <c r="AO15" s="48"/>
      <c r="AP15" s="49"/>
      <c r="AQ15" s="49"/>
      <c r="AR15" s="49"/>
      <c r="AS15" s="49"/>
      <c r="AT15" s="49"/>
      <c r="AU15" s="49"/>
      <c r="AV15" s="76" t="str">
        <f t="shared" si="3"/>
        <v/>
      </c>
      <c r="AW15" s="76" t="str">
        <f t="shared" si="4"/>
        <v/>
      </c>
      <c r="AX15" s="76" t="str">
        <f t="shared" si="5"/>
        <v/>
      </c>
      <c r="AY15" s="76" t="str">
        <f t="shared" si="6"/>
        <v/>
      </c>
      <c r="AZ15" s="76" t="str">
        <f t="shared" si="7"/>
        <v/>
      </c>
      <c r="BA15" s="76" t="str">
        <f t="shared" si="8"/>
        <v/>
      </c>
      <c r="BB15" s="76" t="str">
        <f t="shared" si="9"/>
        <v/>
      </c>
      <c r="BC15" s="76" t="str">
        <f t="shared" si="12"/>
        <v/>
      </c>
      <c r="BD15" s="76" t="str">
        <f t="shared" si="10"/>
        <v/>
      </c>
      <c r="BE15" s="76" t="str">
        <f t="shared" si="11"/>
        <v/>
      </c>
      <c r="BF15" s="49"/>
      <c r="BG15" s="49"/>
      <c r="BH15" s="49"/>
      <c r="BI15" s="49"/>
      <c r="BJ15" s="87"/>
      <c r="BK15" s="85"/>
      <c r="BL15" s="48"/>
      <c r="BM15" s="48"/>
      <c r="BN15" s="48"/>
      <c r="BO15" s="48"/>
      <c r="BP15" s="48"/>
      <c r="BQ15" s="49"/>
      <c r="BR15" s="47"/>
      <c r="BS15" s="48"/>
      <c r="BT15" s="48"/>
      <c r="BU15" s="48"/>
      <c r="BV15" s="48"/>
      <c r="BW15" s="48"/>
      <c r="BX15" s="49"/>
      <c r="BY15" s="49"/>
    </row>
    <row r="16" spans="1:77" x14ac:dyDescent="0.3">
      <c r="A16" s="79"/>
      <c r="B16" s="80"/>
      <c r="C16" s="80"/>
      <c r="D16" s="80"/>
      <c r="E16" s="80"/>
      <c r="F16" s="80"/>
      <c r="G16" s="80"/>
      <c r="H16" s="83"/>
      <c r="I16" s="77"/>
      <c r="J16" s="30"/>
      <c r="K16" s="30"/>
      <c r="L16" s="3"/>
      <c r="M16" s="33"/>
      <c r="N16" s="34"/>
      <c r="O16" s="60"/>
      <c r="P16" s="62"/>
      <c r="Q16" s="81"/>
      <c r="R16" s="77"/>
      <c r="S16" s="16"/>
      <c r="T16" s="16"/>
      <c r="U16" s="16"/>
      <c r="V16" s="34"/>
      <c r="W16" s="31" t="str">
        <f t="shared" si="1"/>
        <v/>
      </c>
      <c r="X16" s="31" t="str">
        <f t="shared" si="2"/>
        <v/>
      </c>
      <c r="Y16" s="31" t="str">
        <f t="shared" si="2"/>
        <v/>
      </c>
      <c r="Z16" s="31" t="str">
        <f t="shared" si="2"/>
        <v/>
      </c>
      <c r="AA16" s="31" t="str">
        <f t="shared" si="2"/>
        <v/>
      </c>
      <c r="AB16" s="33"/>
      <c r="AC16" s="16"/>
      <c r="AD16" s="16"/>
      <c r="AE16" s="16"/>
      <c r="AF16" s="30"/>
      <c r="AG16" s="49"/>
      <c r="AH16" s="49"/>
      <c r="AI16" s="49"/>
      <c r="AJ16" s="49"/>
      <c r="AK16" s="49"/>
      <c r="AL16" s="48"/>
      <c r="AM16" s="48"/>
      <c r="AN16" s="48"/>
      <c r="AO16" s="48"/>
      <c r="AP16" s="49"/>
      <c r="AQ16" s="49"/>
      <c r="AR16" s="49"/>
      <c r="AS16" s="49"/>
      <c r="AT16" s="49"/>
      <c r="AU16" s="49"/>
      <c r="AV16" s="76" t="str">
        <f t="shared" si="3"/>
        <v/>
      </c>
      <c r="AW16" s="76" t="str">
        <f t="shared" si="4"/>
        <v/>
      </c>
      <c r="AX16" s="76" t="str">
        <f t="shared" si="5"/>
        <v/>
      </c>
      <c r="AY16" s="76" t="str">
        <f t="shared" si="6"/>
        <v/>
      </c>
      <c r="AZ16" s="76" t="str">
        <f t="shared" si="7"/>
        <v/>
      </c>
      <c r="BA16" s="76" t="str">
        <f t="shared" si="8"/>
        <v/>
      </c>
      <c r="BB16" s="76" t="str">
        <f t="shared" si="9"/>
        <v/>
      </c>
      <c r="BC16" s="76" t="str">
        <f t="shared" si="12"/>
        <v/>
      </c>
      <c r="BD16" s="76" t="str">
        <f t="shared" si="10"/>
        <v/>
      </c>
      <c r="BE16" s="76" t="str">
        <f t="shared" si="11"/>
        <v/>
      </c>
      <c r="BF16" s="49"/>
      <c r="BG16" s="49"/>
      <c r="BH16" s="49"/>
      <c r="BI16" s="49"/>
      <c r="BJ16" s="87"/>
      <c r="BK16" s="85"/>
      <c r="BL16" s="48"/>
      <c r="BM16" s="48"/>
      <c r="BN16" s="48"/>
      <c r="BO16" s="48"/>
      <c r="BP16" s="48"/>
      <c r="BQ16" s="49"/>
      <c r="BR16" s="47"/>
      <c r="BS16" s="48"/>
      <c r="BT16" s="48"/>
      <c r="BU16" s="48"/>
      <c r="BV16" s="48"/>
      <c r="BW16" s="48"/>
      <c r="BX16" s="49"/>
      <c r="BY16" s="49"/>
    </row>
    <row r="17" spans="1:77" x14ac:dyDescent="0.3">
      <c r="A17" s="79"/>
      <c r="B17" s="80"/>
      <c r="C17" s="80"/>
      <c r="D17" s="80"/>
      <c r="E17" s="80"/>
      <c r="F17" s="80"/>
      <c r="G17" s="80"/>
      <c r="H17" s="83"/>
      <c r="I17" s="77"/>
      <c r="J17" s="30"/>
      <c r="K17" s="30"/>
      <c r="L17" s="3"/>
      <c r="M17" s="33"/>
      <c r="N17" s="34"/>
      <c r="O17" s="60"/>
      <c r="P17" s="62"/>
      <c r="Q17" s="81"/>
      <c r="R17" s="77"/>
      <c r="S17" s="16"/>
      <c r="T17" s="16"/>
      <c r="U17" s="16"/>
      <c r="V17" s="34"/>
      <c r="W17" s="31" t="str">
        <f t="shared" si="1"/>
        <v/>
      </c>
      <c r="X17" s="31" t="str">
        <f t="shared" si="2"/>
        <v/>
      </c>
      <c r="Y17" s="31" t="str">
        <f t="shared" si="2"/>
        <v/>
      </c>
      <c r="Z17" s="31" t="str">
        <f t="shared" si="2"/>
        <v/>
      </c>
      <c r="AA17" s="31" t="str">
        <f t="shared" si="2"/>
        <v/>
      </c>
      <c r="AB17" s="33"/>
      <c r="AC17" s="16"/>
      <c r="AD17" s="16"/>
      <c r="AE17" s="16"/>
      <c r="AF17" s="30"/>
      <c r="AG17" s="49"/>
      <c r="AH17" s="49"/>
      <c r="AI17" s="49"/>
      <c r="AJ17" s="49"/>
      <c r="AK17" s="49"/>
      <c r="AL17" s="48"/>
      <c r="AM17" s="48"/>
      <c r="AN17" s="48"/>
      <c r="AO17" s="48"/>
      <c r="AP17" s="49"/>
      <c r="AQ17" s="49"/>
      <c r="AR17" s="49"/>
      <c r="AS17" s="49"/>
      <c r="AT17" s="49"/>
      <c r="AU17" s="49"/>
      <c r="AV17" s="76" t="str">
        <f t="shared" si="3"/>
        <v/>
      </c>
      <c r="AW17" s="76" t="str">
        <f t="shared" si="4"/>
        <v/>
      </c>
      <c r="AX17" s="76" t="str">
        <f t="shared" si="5"/>
        <v/>
      </c>
      <c r="AY17" s="76" t="str">
        <f t="shared" si="6"/>
        <v/>
      </c>
      <c r="AZ17" s="76" t="str">
        <f t="shared" si="7"/>
        <v/>
      </c>
      <c r="BA17" s="76" t="str">
        <f t="shared" si="8"/>
        <v/>
      </c>
      <c r="BB17" s="76" t="str">
        <f t="shared" si="9"/>
        <v/>
      </c>
      <c r="BC17" s="76" t="str">
        <f t="shared" si="12"/>
        <v/>
      </c>
      <c r="BD17" s="76" t="str">
        <f t="shared" si="10"/>
        <v/>
      </c>
      <c r="BE17" s="76" t="str">
        <f t="shared" si="11"/>
        <v/>
      </c>
      <c r="BF17" s="49"/>
      <c r="BG17" s="49"/>
      <c r="BH17" s="49"/>
      <c r="BI17" s="49"/>
      <c r="BJ17" s="87"/>
      <c r="BK17" s="85"/>
      <c r="BL17" s="48"/>
      <c r="BM17" s="48"/>
      <c r="BN17" s="48"/>
      <c r="BO17" s="48"/>
      <c r="BP17" s="48"/>
      <c r="BQ17" s="49"/>
      <c r="BR17" s="47"/>
      <c r="BS17" s="48"/>
      <c r="BT17" s="48"/>
      <c r="BU17" s="48"/>
      <c r="BV17" s="48"/>
      <c r="BW17" s="48"/>
      <c r="BX17" s="49"/>
      <c r="BY17" s="49"/>
    </row>
    <row r="18" spans="1:77" x14ac:dyDescent="0.3">
      <c r="A18" s="79"/>
      <c r="B18" s="80"/>
      <c r="C18" s="80"/>
      <c r="D18" s="80"/>
      <c r="E18" s="80"/>
      <c r="F18" s="80"/>
      <c r="G18" s="80"/>
      <c r="H18" s="83"/>
      <c r="I18" s="77"/>
      <c r="J18" s="30"/>
      <c r="K18" s="30"/>
      <c r="L18" s="3"/>
      <c r="M18" s="33"/>
      <c r="N18" s="34"/>
      <c r="O18" s="60"/>
      <c r="P18" s="62"/>
      <c r="Q18" s="81"/>
      <c r="R18" s="77"/>
      <c r="S18" s="16"/>
      <c r="T18" s="16"/>
      <c r="U18" s="16"/>
      <c r="V18" s="34"/>
      <c r="W18" s="31" t="str">
        <f t="shared" si="1"/>
        <v/>
      </c>
      <c r="X18" s="31" t="str">
        <f t="shared" si="2"/>
        <v/>
      </c>
      <c r="Y18" s="31" t="str">
        <f t="shared" si="2"/>
        <v/>
      </c>
      <c r="Z18" s="31" t="str">
        <f t="shared" si="2"/>
        <v/>
      </c>
      <c r="AA18" s="31" t="str">
        <f t="shared" si="2"/>
        <v/>
      </c>
      <c r="AB18" s="33"/>
      <c r="AC18" s="16"/>
      <c r="AD18" s="16"/>
      <c r="AE18" s="16"/>
      <c r="AF18" s="30"/>
      <c r="AG18" s="49"/>
      <c r="AH18" s="49"/>
      <c r="AI18" s="49"/>
      <c r="AJ18" s="49"/>
      <c r="AK18" s="49"/>
      <c r="AL18" s="48"/>
      <c r="AM18" s="48"/>
      <c r="AN18" s="48"/>
      <c r="AO18" s="48"/>
      <c r="AP18" s="49"/>
      <c r="AQ18" s="49"/>
      <c r="AR18" s="49"/>
      <c r="AS18" s="49"/>
      <c r="AT18" s="49"/>
      <c r="AU18" s="49"/>
      <c r="AV18" s="76" t="str">
        <f t="shared" si="3"/>
        <v/>
      </c>
      <c r="AW18" s="76" t="str">
        <f t="shared" si="4"/>
        <v/>
      </c>
      <c r="AX18" s="76" t="str">
        <f t="shared" si="5"/>
        <v/>
      </c>
      <c r="AY18" s="76" t="str">
        <f t="shared" si="6"/>
        <v/>
      </c>
      <c r="AZ18" s="76" t="str">
        <f t="shared" si="7"/>
        <v/>
      </c>
      <c r="BA18" s="76" t="str">
        <f t="shared" si="8"/>
        <v/>
      </c>
      <c r="BB18" s="76" t="str">
        <f t="shared" si="9"/>
        <v/>
      </c>
      <c r="BC18" s="76" t="str">
        <f t="shared" si="12"/>
        <v/>
      </c>
      <c r="BD18" s="76" t="str">
        <f t="shared" si="10"/>
        <v/>
      </c>
      <c r="BE18" s="76" t="str">
        <f t="shared" si="11"/>
        <v/>
      </c>
      <c r="BF18" s="49"/>
      <c r="BG18" s="49"/>
      <c r="BH18" s="49"/>
      <c r="BI18" s="49"/>
      <c r="BJ18" s="87"/>
      <c r="BK18" s="85"/>
      <c r="BL18" s="48"/>
      <c r="BM18" s="48"/>
      <c r="BN18" s="48"/>
      <c r="BO18" s="48"/>
      <c r="BP18" s="48"/>
      <c r="BQ18" s="49"/>
      <c r="BR18" s="47"/>
      <c r="BS18" s="48"/>
      <c r="BT18" s="48"/>
      <c r="BU18" s="48"/>
      <c r="BV18" s="48"/>
      <c r="BW18" s="48"/>
      <c r="BX18" s="49"/>
      <c r="BY18" s="49"/>
    </row>
    <row r="19" spans="1:77" x14ac:dyDescent="0.3">
      <c r="A19" s="79"/>
      <c r="B19" s="80"/>
      <c r="C19" s="80"/>
      <c r="D19" s="80"/>
      <c r="E19" s="80"/>
      <c r="F19" s="80"/>
      <c r="G19" s="80"/>
      <c r="H19" s="83"/>
      <c r="I19" s="77"/>
      <c r="J19" s="30"/>
      <c r="K19" s="30"/>
      <c r="L19" s="3"/>
      <c r="M19" s="33"/>
      <c r="N19" s="34"/>
      <c r="O19" s="60"/>
      <c r="P19" s="62"/>
      <c r="Q19" s="81"/>
      <c r="R19" s="77"/>
      <c r="S19" s="16"/>
      <c r="T19" s="16"/>
      <c r="U19" s="16"/>
      <c r="V19" s="34"/>
      <c r="W19" s="31" t="str">
        <f t="shared" si="1"/>
        <v/>
      </c>
      <c r="X19" s="31" t="str">
        <f t="shared" si="2"/>
        <v/>
      </c>
      <c r="Y19" s="31" t="str">
        <f t="shared" si="2"/>
        <v/>
      </c>
      <c r="Z19" s="31" t="str">
        <f t="shared" si="2"/>
        <v/>
      </c>
      <c r="AA19" s="31" t="str">
        <f t="shared" si="2"/>
        <v/>
      </c>
      <c r="AB19" s="33"/>
      <c r="AC19" s="16"/>
      <c r="AD19" s="16"/>
      <c r="AE19" s="16"/>
      <c r="AF19" s="30"/>
      <c r="AG19" s="49"/>
      <c r="AH19" s="49"/>
      <c r="AI19" s="49"/>
      <c r="AJ19" s="49"/>
      <c r="AK19" s="49"/>
      <c r="AL19" s="48"/>
      <c r="AM19" s="48"/>
      <c r="AN19" s="48"/>
      <c r="AO19" s="48"/>
      <c r="AP19" s="49"/>
      <c r="AQ19" s="49"/>
      <c r="AR19" s="49"/>
      <c r="AS19" s="49"/>
      <c r="AT19" s="49"/>
      <c r="AU19" s="49"/>
      <c r="AV19" s="76" t="str">
        <f t="shared" si="3"/>
        <v/>
      </c>
      <c r="AW19" s="76" t="str">
        <f t="shared" si="4"/>
        <v/>
      </c>
      <c r="AX19" s="76" t="str">
        <f t="shared" si="5"/>
        <v/>
      </c>
      <c r="AY19" s="76" t="str">
        <f t="shared" si="6"/>
        <v/>
      </c>
      <c r="AZ19" s="76" t="str">
        <f t="shared" si="7"/>
        <v/>
      </c>
      <c r="BA19" s="76" t="str">
        <f t="shared" si="8"/>
        <v/>
      </c>
      <c r="BB19" s="76" t="str">
        <f t="shared" si="9"/>
        <v/>
      </c>
      <c r="BC19" s="76" t="str">
        <f t="shared" si="12"/>
        <v/>
      </c>
      <c r="BD19" s="76" t="str">
        <f t="shared" si="10"/>
        <v/>
      </c>
      <c r="BE19" s="76" t="str">
        <f t="shared" si="11"/>
        <v/>
      </c>
      <c r="BF19" s="49"/>
      <c r="BG19" s="49"/>
      <c r="BH19" s="49"/>
      <c r="BI19" s="49"/>
      <c r="BJ19" s="87"/>
      <c r="BK19" s="85"/>
      <c r="BL19" s="48"/>
      <c r="BM19" s="48"/>
      <c r="BN19" s="48"/>
      <c r="BO19" s="48"/>
      <c r="BP19" s="48"/>
      <c r="BQ19" s="49"/>
      <c r="BR19" s="47"/>
      <c r="BS19" s="48"/>
      <c r="BT19" s="48"/>
      <c r="BU19" s="48"/>
      <c r="BV19" s="48"/>
      <c r="BW19" s="48"/>
      <c r="BX19" s="49"/>
      <c r="BY19" s="49"/>
    </row>
    <row r="20" spans="1:77" x14ac:dyDescent="0.3">
      <c r="A20" s="79"/>
      <c r="B20" s="80"/>
      <c r="C20" s="80"/>
      <c r="D20" s="80"/>
      <c r="E20" s="80"/>
      <c r="F20" s="80"/>
      <c r="G20" s="80"/>
      <c r="H20" s="83"/>
      <c r="I20" s="78"/>
      <c r="J20" s="46"/>
      <c r="K20" s="72"/>
      <c r="L20" s="3"/>
      <c r="M20" s="35"/>
      <c r="N20" s="36"/>
      <c r="O20" s="61"/>
      <c r="P20" s="63"/>
      <c r="Q20" s="84"/>
      <c r="R20" s="78"/>
      <c r="S20" s="19"/>
      <c r="T20" s="19"/>
      <c r="U20" s="19"/>
      <c r="V20" s="36"/>
      <c r="W20" s="31" t="str">
        <f t="shared" si="1"/>
        <v/>
      </c>
      <c r="X20" s="31" t="str">
        <f>IF(ISBLANK(S20),"",DREF_FROMI50(S20))</f>
        <v/>
      </c>
      <c r="Y20" s="31" t="str">
        <f>IF(ISBLANK(T20),"",DREF_FROMI50(T20))</f>
        <v/>
      </c>
      <c r="Z20" s="31" t="str">
        <f>IF(ISBLANK(U20),"",DREF_FROMI50(U20))</f>
        <v/>
      </c>
      <c r="AA20" s="31" t="str">
        <f>IF(ISBLANK(V20),"",DREF_FROMI50(V20))</f>
        <v/>
      </c>
      <c r="AB20" s="35"/>
      <c r="AC20" s="19"/>
      <c r="AD20" s="19"/>
      <c r="AE20" s="19"/>
      <c r="AF20" s="46"/>
      <c r="AG20" s="52"/>
      <c r="AH20" s="52"/>
      <c r="AI20" s="52"/>
      <c r="AJ20" s="52"/>
      <c r="AK20" s="52"/>
      <c r="AL20" s="51"/>
      <c r="AM20" s="51"/>
      <c r="AN20" s="51"/>
      <c r="AO20" s="51"/>
      <c r="AP20" s="52"/>
      <c r="AQ20" s="52"/>
      <c r="AR20" s="52"/>
      <c r="AS20" s="52"/>
      <c r="AT20" s="52"/>
      <c r="AU20" s="52"/>
      <c r="AV20" s="76" t="str">
        <f t="shared" si="3"/>
        <v/>
      </c>
      <c r="AW20" s="76" t="str">
        <f t="shared" si="4"/>
        <v/>
      </c>
      <c r="AX20" s="76" t="str">
        <f t="shared" si="5"/>
        <v/>
      </c>
      <c r="AY20" s="76" t="str">
        <f t="shared" si="6"/>
        <v/>
      </c>
      <c r="AZ20" s="76" t="str">
        <f t="shared" si="7"/>
        <v/>
      </c>
      <c r="BA20" s="76" t="str">
        <f t="shared" si="8"/>
        <v/>
      </c>
      <c r="BB20" s="76" t="str">
        <f t="shared" si="9"/>
        <v/>
      </c>
      <c r="BC20" s="76" t="str">
        <f t="shared" si="12"/>
        <v/>
      </c>
      <c r="BD20" s="76" t="str">
        <f t="shared" si="10"/>
        <v/>
      </c>
      <c r="BE20" s="76" t="str">
        <f t="shared" si="11"/>
        <v/>
      </c>
      <c r="BF20" s="52"/>
      <c r="BG20" s="52"/>
      <c r="BH20" s="52"/>
      <c r="BI20" s="52"/>
      <c r="BJ20" s="88"/>
      <c r="BK20" s="86"/>
      <c r="BL20" s="51"/>
      <c r="BM20" s="51"/>
      <c r="BN20" s="51"/>
      <c r="BO20" s="51"/>
      <c r="BP20" s="51"/>
      <c r="BQ20" s="52"/>
      <c r="BR20" s="50"/>
      <c r="BS20" s="51"/>
      <c r="BT20" s="51"/>
      <c r="BU20" s="51"/>
      <c r="BV20" s="51"/>
      <c r="BW20" s="51"/>
      <c r="BX20" s="52"/>
      <c r="BY20" s="49"/>
    </row>
  </sheetData>
  <dataConsolidate link="1"/>
  <mergeCells count="22">
    <mergeCell ref="AQ3:AU3"/>
    <mergeCell ref="BF3:BJ3"/>
    <mergeCell ref="AV3:AZ3"/>
    <mergeCell ref="A2:H2"/>
    <mergeCell ref="R2:BE2"/>
    <mergeCell ref="BF2:BX2"/>
    <mergeCell ref="A1:BY1"/>
    <mergeCell ref="BY2:BY4"/>
    <mergeCell ref="BK3:BQ3"/>
    <mergeCell ref="BR3:BX3"/>
    <mergeCell ref="P3:Q3"/>
    <mergeCell ref="I3:J3"/>
    <mergeCell ref="B3:H3"/>
    <mergeCell ref="M3:N3"/>
    <mergeCell ref="K3:L3"/>
    <mergeCell ref="BA3:BE3"/>
    <mergeCell ref="AG3:AK3"/>
    <mergeCell ref="AL3:AP3"/>
    <mergeCell ref="R3:V3"/>
    <mergeCell ref="W3:AA3"/>
    <mergeCell ref="AB3:AF3"/>
    <mergeCell ref="I2:Q2"/>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2"/>
  <sheetViews>
    <sheetView workbookViewId="0">
      <selection activeCell="B2" sqref="B2"/>
    </sheetView>
  </sheetViews>
  <sheetFormatPr defaultRowHeight="16.5" x14ac:dyDescent="0.3"/>
  <cols>
    <col min="1" max="1" width="33.625" customWidth="1"/>
    <col min="2" max="2" width="37.25" customWidth="1"/>
  </cols>
  <sheetData>
    <row r="1" spans="1:1" ht="116.25" customHeight="1" thickBot="1" x14ac:dyDescent="0.35">
      <c r="A1" s="136" t="s">
        <v>163</v>
      </c>
    </row>
    <row r="2" spans="1:1" x14ac:dyDescent="0.3">
      <c r="A2" s="135" t="s">
        <v>70</v>
      </c>
    </row>
    <row r="3" spans="1:1" x14ac:dyDescent="0.3">
      <c r="A3" s="1" t="s">
        <v>68</v>
      </c>
    </row>
    <row r="4" spans="1:1" x14ac:dyDescent="0.3">
      <c r="A4" s="3" t="s">
        <v>69</v>
      </c>
    </row>
    <row r="5" spans="1:1" x14ac:dyDescent="0.3">
      <c r="A5" s="3" t="s">
        <v>144</v>
      </c>
    </row>
    <row r="6" spans="1:1" x14ac:dyDescent="0.3">
      <c r="A6" s="3" t="s">
        <v>145</v>
      </c>
    </row>
    <row r="7" spans="1:1" x14ac:dyDescent="0.3">
      <c r="A7" s="3" t="s">
        <v>146</v>
      </c>
    </row>
    <row r="8" spans="1:1" x14ac:dyDescent="0.3">
      <c r="A8" s="3" t="s">
        <v>151</v>
      </c>
    </row>
    <row r="9" spans="1:1" x14ac:dyDescent="0.3">
      <c r="A9" s="3" t="s">
        <v>152</v>
      </c>
    </row>
    <row r="10" spans="1:1" x14ac:dyDescent="0.3">
      <c r="A10" s="3" t="s">
        <v>153</v>
      </c>
    </row>
    <row r="11" spans="1:1" x14ac:dyDescent="0.3">
      <c r="A11" s="3"/>
    </row>
    <row r="12" spans="1:1" x14ac:dyDescent="0.3">
      <c r="A12" s="3"/>
    </row>
    <row r="13" spans="1:1" x14ac:dyDescent="0.3">
      <c r="A13" s="3"/>
    </row>
    <row r="14" spans="1:1" x14ac:dyDescent="0.3">
      <c r="A14" s="3"/>
    </row>
    <row r="15" spans="1:1" x14ac:dyDescent="0.3">
      <c r="A15" s="3"/>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8" tint="0.79998168889431442"/>
  </sheetPr>
  <dimension ref="A1:P34"/>
  <sheetViews>
    <sheetView zoomScale="85" zoomScaleNormal="85" workbookViewId="0">
      <selection sqref="A1:P1"/>
    </sheetView>
  </sheetViews>
  <sheetFormatPr defaultRowHeight="16.5" x14ac:dyDescent="0.3"/>
  <cols>
    <col min="1" max="1" width="10.375" customWidth="1"/>
    <col min="2" max="2" width="11.75" customWidth="1"/>
    <col min="3" max="3" width="10.875" customWidth="1"/>
    <col min="4" max="4" width="12.625" customWidth="1"/>
    <col min="10" max="10" width="12.875" customWidth="1"/>
    <col min="11" max="11" width="24.125" customWidth="1"/>
    <col min="12" max="12" width="13" customWidth="1"/>
    <col min="14" max="14" width="8.875" customWidth="1"/>
    <col min="15" max="15" width="12.25" customWidth="1"/>
    <col min="16" max="16" width="17.375" customWidth="1"/>
  </cols>
  <sheetData>
    <row r="1" spans="1:16" ht="56.25" customHeight="1" thickBot="1" x14ac:dyDescent="0.35">
      <c r="A1" s="169" t="s">
        <v>162</v>
      </c>
      <c r="B1" s="170"/>
      <c r="C1" s="170"/>
      <c r="D1" s="170"/>
      <c r="E1" s="170"/>
      <c r="F1" s="170"/>
      <c r="G1" s="170"/>
      <c r="H1" s="170"/>
      <c r="I1" s="170"/>
      <c r="J1" s="170"/>
      <c r="K1" s="170"/>
      <c r="L1" s="170"/>
      <c r="M1" s="170"/>
      <c r="N1" s="170"/>
      <c r="O1" s="170"/>
      <c r="P1" s="171"/>
    </row>
    <row r="2" spans="1:16" ht="25.5" customHeight="1" x14ac:dyDescent="0.3">
      <c r="A2" s="204" t="s">
        <v>63</v>
      </c>
      <c r="B2" s="204"/>
      <c r="C2" s="204"/>
      <c r="D2" s="204"/>
      <c r="E2" s="204"/>
      <c r="F2" s="204"/>
      <c r="G2" s="204"/>
      <c r="H2" s="204"/>
      <c r="I2" s="204"/>
      <c r="J2" s="204"/>
      <c r="L2" s="205" t="s">
        <v>66</v>
      </c>
      <c r="M2" s="206"/>
      <c r="N2" s="206"/>
      <c r="O2" s="206"/>
      <c r="P2" s="207"/>
    </row>
    <row r="3" spans="1:16" ht="18" x14ac:dyDescent="0.3">
      <c r="A3" s="198" t="s">
        <v>4</v>
      </c>
      <c r="B3" s="199"/>
      <c r="C3" s="199"/>
      <c r="D3" s="199"/>
      <c r="E3" s="200"/>
      <c r="F3" s="198" t="s">
        <v>14</v>
      </c>
      <c r="G3" s="199"/>
      <c r="H3" s="199"/>
      <c r="I3" s="199"/>
      <c r="J3" s="210"/>
      <c r="L3" s="198" t="s">
        <v>15</v>
      </c>
      <c r="M3" s="199"/>
      <c r="N3" s="199"/>
      <c r="O3" s="199"/>
      <c r="P3" s="200"/>
    </row>
    <row r="4" spans="1:16" x14ac:dyDescent="0.3">
      <c r="A4" s="201" t="str">
        <f>INDEX(Machines!A5:AF20,MATCH(MEASURE!H1,Machines,0),2)&amp;"X"</f>
        <v>6X</v>
      </c>
      <c r="B4" s="202"/>
      <c r="C4" s="202"/>
      <c r="D4" s="202"/>
      <c r="E4" s="203"/>
      <c r="F4" s="201" t="str">
        <f>INDEX(Machines!A5:AF20,MATCH(MEASURE!H1,Machines,0),2)&amp;"X"</f>
        <v>6X</v>
      </c>
      <c r="G4" s="202"/>
      <c r="H4" s="202"/>
      <c r="I4" s="202"/>
      <c r="J4" s="202"/>
      <c r="L4" s="201" t="s">
        <v>22</v>
      </c>
      <c r="M4" s="202"/>
      <c r="N4" s="202"/>
      <c r="O4" s="202"/>
      <c r="P4" s="203"/>
    </row>
    <row r="5" spans="1:16" x14ac:dyDescent="0.3">
      <c r="A5" s="14" t="s">
        <v>5</v>
      </c>
      <c r="B5" s="5" t="s">
        <v>6</v>
      </c>
      <c r="C5" s="5" t="s">
        <v>7</v>
      </c>
      <c r="D5" s="5" t="s">
        <v>8</v>
      </c>
      <c r="E5" s="8"/>
      <c r="F5" s="14" t="s">
        <v>5</v>
      </c>
      <c r="G5" s="5" t="s">
        <v>6</v>
      </c>
      <c r="H5" s="5" t="s">
        <v>7</v>
      </c>
      <c r="I5" s="5" t="s">
        <v>8</v>
      </c>
      <c r="J5" s="5"/>
      <c r="L5" s="14"/>
      <c r="M5" s="5"/>
      <c r="N5" s="5"/>
      <c r="O5" s="5" t="s">
        <v>20</v>
      </c>
      <c r="P5" s="21">
        <f>Current_rcav*10</f>
        <v>3.05</v>
      </c>
    </row>
    <row r="6" spans="1:16" x14ac:dyDescent="0.3">
      <c r="A6" s="14">
        <v>150</v>
      </c>
      <c r="B6" s="16">
        <v>26.65</v>
      </c>
      <c r="C6" s="16">
        <v>26.65</v>
      </c>
      <c r="D6" s="17">
        <f>IFERROR(AVERAGE(B6:C6),"")</f>
        <v>26.65</v>
      </c>
      <c r="E6" s="194">
        <f>(1-A7/A6)/(D7/D6-A7/A6)</f>
        <v>1.0037664783427496</v>
      </c>
      <c r="F6" s="14">
        <v>-300</v>
      </c>
      <c r="G6" s="24">
        <v>26.75</v>
      </c>
      <c r="H6" s="24">
        <v>26.75</v>
      </c>
      <c r="I6" s="17">
        <f>IFERROR(AVERAGE(G6:H6),"")</f>
        <v>26.75</v>
      </c>
      <c r="J6" s="194">
        <f>(I6+I7)/(2*I6)</f>
        <v>1.0011214953271028</v>
      </c>
      <c r="L6" s="14" t="s">
        <v>21</v>
      </c>
      <c r="M6" s="5" t="s">
        <v>17</v>
      </c>
      <c r="N6" s="5" t="s">
        <v>16</v>
      </c>
      <c r="O6" s="5" t="s">
        <v>18</v>
      </c>
      <c r="P6" s="8" t="s">
        <v>19</v>
      </c>
    </row>
    <row r="7" spans="1:16" x14ac:dyDescent="0.3">
      <c r="A7" s="14">
        <v>300</v>
      </c>
      <c r="B7" s="24">
        <v>26.75</v>
      </c>
      <c r="C7" s="24">
        <v>26.75</v>
      </c>
      <c r="D7" s="25">
        <f>IFERROR(AVERAGE(B7:C7),"")</f>
        <v>26.75</v>
      </c>
      <c r="E7" s="194"/>
      <c r="F7" s="14">
        <v>300</v>
      </c>
      <c r="G7" s="24">
        <v>26.81</v>
      </c>
      <c r="H7" s="24">
        <v>26.81</v>
      </c>
      <c r="I7" s="25">
        <f>IFERROR(AVERAGE(G7:H7),"")</f>
        <v>26.81</v>
      </c>
      <c r="J7" s="194"/>
      <c r="L7" s="14">
        <f>INDEX(Machines!A5:AF20,MATCH(MEASURE!H1,Machines,0),4)</f>
        <v>6</v>
      </c>
      <c r="M7" s="17">
        <f>Current_I50_E1</f>
        <v>2.3119999999999998</v>
      </c>
      <c r="N7" s="17">
        <f>RFIFTY_FROMI50(M7)</f>
        <v>2.3190479999999996</v>
      </c>
      <c r="O7" s="22">
        <f>DREF_FROMI50(M7)</f>
        <v>1.2914287999999996</v>
      </c>
      <c r="P7" s="23">
        <f>O7+0.5*$P$5/10</f>
        <v>1.4439287999999997</v>
      </c>
    </row>
    <row r="8" spans="1:16" x14ac:dyDescent="0.3">
      <c r="A8" s="195" t="str">
        <f>INDEX(Machines!A5:AF20,MATCH(MEASURE!H1,Machines,0),3)&amp;"X"</f>
        <v>15X</v>
      </c>
      <c r="B8" s="196"/>
      <c r="C8" s="196"/>
      <c r="D8" s="196"/>
      <c r="E8" s="197"/>
      <c r="F8" s="195" t="str">
        <f>INDEX(Machines!A5:AF20,MATCH(MEASURE!H1,Machines,0),3)&amp;"X"</f>
        <v>15X</v>
      </c>
      <c r="G8" s="196"/>
      <c r="H8" s="196"/>
      <c r="I8" s="196"/>
      <c r="J8" s="196"/>
      <c r="L8" s="14">
        <f>INDEX(Machines!A5:AF20,MATCH(MEASURE!H1,Machines,0),5)</f>
        <v>9</v>
      </c>
      <c r="M8" s="17">
        <f>Current_I50_E2</f>
        <v>3.492</v>
      </c>
      <c r="N8" s="17">
        <f>RFIFTY_FROMI50(M8)</f>
        <v>3.5332679999999996</v>
      </c>
      <c r="O8" s="22">
        <f>DREF_FROMI50(M8)</f>
        <v>2.0199607999999998</v>
      </c>
      <c r="P8" s="23">
        <f>O8+0.5*$P$5/10</f>
        <v>2.1724607999999996</v>
      </c>
    </row>
    <row r="9" spans="1:16" x14ac:dyDescent="0.3">
      <c r="A9" s="14" t="s">
        <v>5</v>
      </c>
      <c r="B9" s="5" t="s">
        <v>6</v>
      </c>
      <c r="C9" s="5" t="s">
        <v>7</v>
      </c>
      <c r="D9" s="5" t="s">
        <v>8</v>
      </c>
      <c r="E9" s="8"/>
      <c r="F9" s="14" t="s">
        <v>5</v>
      </c>
      <c r="G9" s="5" t="s">
        <v>6</v>
      </c>
      <c r="H9" s="5" t="s">
        <v>7</v>
      </c>
      <c r="I9" s="5" t="s">
        <v>8</v>
      </c>
      <c r="J9" s="5"/>
      <c r="L9" s="14">
        <f>INDEX(Machines!A5:AF20,MATCH(MEASURE!H1,Machines,0),6)</f>
        <v>12</v>
      </c>
      <c r="M9" s="17">
        <f>Current_I50_E3</f>
        <v>4.9400000000000004</v>
      </c>
      <c r="N9" s="17">
        <f>RFIFTY_FROMI50(M9)</f>
        <v>5.0232599999999996</v>
      </c>
      <c r="O9" s="22">
        <f>DREF_FROMI50(M9)</f>
        <v>2.9139559999999998</v>
      </c>
      <c r="P9" s="23">
        <f>O9+0.5*$P$5/10</f>
        <v>3.0664559999999996</v>
      </c>
    </row>
    <row r="10" spans="1:16" x14ac:dyDescent="0.3">
      <c r="A10" s="14">
        <v>150</v>
      </c>
      <c r="B10" s="16">
        <v>30.2</v>
      </c>
      <c r="C10" s="16">
        <v>30.2</v>
      </c>
      <c r="D10" s="17">
        <f>IFERROR(AVERAGE(B10:C10),"")</f>
        <v>30.2</v>
      </c>
      <c r="E10" s="194">
        <f>(1-A11/A10)/(D11/D10-A11/A10)</f>
        <v>1.0063312229256915</v>
      </c>
      <c r="F10" s="14">
        <v>-300</v>
      </c>
      <c r="G10" s="24">
        <v>30.39</v>
      </c>
      <c r="H10" s="24">
        <v>30.39</v>
      </c>
      <c r="I10" s="17">
        <f>IFERROR(AVERAGE(G10:H10),"")</f>
        <v>30.39</v>
      </c>
      <c r="J10" s="194">
        <f>(I10+I11)/(2*I10)</f>
        <v>1.0009871668311945</v>
      </c>
      <c r="L10" s="14">
        <f>INDEX(Machines!A5:AF20,MATCH(MEASURE!H1,Machines,0),7)</f>
        <v>15</v>
      </c>
      <c r="M10" s="17">
        <f>Current_I50_E4</f>
        <v>6.1749999999999998</v>
      </c>
      <c r="N10" s="17">
        <f>RFIFTY_FROMI50(M10)</f>
        <v>6.2940749999999994</v>
      </c>
      <c r="O10" s="22">
        <f>DREF_FROMI50(M10)</f>
        <v>3.6764449999999993</v>
      </c>
      <c r="P10" s="23">
        <f>O10+0.5*$P$5/10</f>
        <v>3.8289449999999992</v>
      </c>
    </row>
    <row r="11" spans="1:16" x14ac:dyDescent="0.3">
      <c r="A11" s="14">
        <v>300</v>
      </c>
      <c r="B11" s="24">
        <v>30.39</v>
      </c>
      <c r="C11" s="24">
        <v>30.39</v>
      </c>
      <c r="D11" s="25">
        <f>IFERROR(AVERAGE(B11:C11),"")</f>
        <v>30.39</v>
      </c>
      <c r="E11" s="194"/>
      <c r="F11" s="14">
        <v>300</v>
      </c>
      <c r="G11" s="24">
        <v>30.45</v>
      </c>
      <c r="H11" s="24">
        <v>30.45</v>
      </c>
      <c r="I11" s="25">
        <f>IFERROR(AVERAGE(G11:H11),"")</f>
        <v>30.45</v>
      </c>
      <c r="J11" s="194"/>
      <c r="L11" s="14">
        <f>INDEX(Machines!A5:AF20,MATCH(MEASURE!H1,Machines,0),8)</f>
        <v>18</v>
      </c>
      <c r="M11" s="25">
        <f>Current_I50_E5</f>
        <v>7.39</v>
      </c>
      <c r="N11" s="17">
        <f>RFIFTY_FROMI50(M11)</f>
        <v>7.5443099999999994</v>
      </c>
      <c r="O11" s="22">
        <f>DREF_FROMI50(M11)</f>
        <v>4.4265859999999995</v>
      </c>
      <c r="P11" s="26">
        <f>O11+0.5*$P$5/10</f>
        <v>4.5790859999999993</v>
      </c>
    </row>
    <row r="12" spans="1:16" x14ac:dyDescent="0.3">
      <c r="A12" s="195" t="s">
        <v>9</v>
      </c>
      <c r="B12" s="196"/>
      <c r="C12" s="196"/>
      <c r="D12" s="196"/>
      <c r="E12" s="197"/>
      <c r="F12" s="195" t="s">
        <v>9</v>
      </c>
      <c r="G12" s="196"/>
      <c r="H12" s="196"/>
      <c r="I12" s="196"/>
      <c r="J12" s="196"/>
      <c r="L12" s="195" t="s">
        <v>9</v>
      </c>
      <c r="M12" s="196"/>
      <c r="N12" s="196"/>
      <c r="O12" s="196"/>
      <c r="P12" s="197"/>
    </row>
    <row r="13" spans="1:16" x14ac:dyDescent="0.3">
      <c r="A13" s="14" t="s">
        <v>5</v>
      </c>
      <c r="B13" s="5" t="s">
        <v>6</v>
      </c>
      <c r="C13" s="5" t="s">
        <v>7</v>
      </c>
      <c r="D13" s="5" t="s">
        <v>8</v>
      </c>
      <c r="E13" s="8"/>
      <c r="F13" s="14" t="s">
        <v>5</v>
      </c>
      <c r="G13" s="5" t="s">
        <v>6</v>
      </c>
      <c r="H13" s="5" t="s">
        <v>7</v>
      </c>
      <c r="I13" s="5" t="s">
        <v>8</v>
      </c>
      <c r="J13" s="5"/>
      <c r="L13" s="14" t="s">
        <v>25</v>
      </c>
      <c r="M13" s="5" t="s">
        <v>6</v>
      </c>
      <c r="N13" s="5" t="s">
        <v>7</v>
      </c>
      <c r="O13" s="5" t="s">
        <v>8</v>
      </c>
      <c r="P13" s="8"/>
    </row>
    <row r="14" spans="1:16" x14ac:dyDescent="0.3">
      <c r="A14" s="14">
        <v>150</v>
      </c>
      <c r="B14" s="16">
        <v>42.29</v>
      </c>
      <c r="C14" s="16">
        <v>42.28</v>
      </c>
      <c r="D14" s="17">
        <f>IFERROR(AVERAGE(B14:C14),"")</f>
        <v>42.284999999999997</v>
      </c>
      <c r="E14" s="194">
        <f>(1-A15/A14)/(D15/D14-A15/A14)</f>
        <v>1.0141503777431347</v>
      </c>
      <c r="F14" s="14">
        <v>-300</v>
      </c>
      <c r="G14" s="19">
        <v>42.87</v>
      </c>
      <c r="H14" s="19">
        <v>42.88</v>
      </c>
      <c r="I14" s="17">
        <f>IFERROR(AVERAGE(G14:H14),"")</f>
        <v>42.875</v>
      </c>
      <c r="J14" s="194">
        <f>(I14+I15)/(2*I14)</f>
        <v>1.0002915451895045</v>
      </c>
      <c r="L14" s="14" t="s">
        <v>23</v>
      </c>
      <c r="M14" s="16"/>
      <c r="N14" s="16"/>
      <c r="O14" s="17" t="str">
        <f>IFERROR(AVERAGE(M14:N14),"")</f>
        <v/>
      </c>
      <c r="P14" s="194" t="e">
        <f>(O15/O14)</f>
        <v>#VALUE!</v>
      </c>
    </row>
    <row r="15" spans="1:16" x14ac:dyDescent="0.3">
      <c r="A15" s="18">
        <v>300</v>
      </c>
      <c r="B15" s="19">
        <v>42.87</v>
      </c>
      <c r="C15" s="19">
        <v>42.88</v>
      </c>
      <c r="D15" s="20">
        <f>IFERROR(AVERAGE(B15:C15),"")</f>
        <v>42.875</v>
      </c>
      <c r="E15" s="194"/>
      <c r="F15" s="18">
        <v>300</v>
      </c>
      <c r="G15" s="19">
        <v>42.9</v>
      </c>
      <c r="H15" s="19">
        <v>42.9</v>
      </c>
      <c r="I15" s="20">
        <f>IFERROR(AVERAGE(G15:H15),"")</f>
        <v>42.9</v>
      </c>
      <c r="J15" s="194"/>
      <c r="L15" s="18" t="s">
        <v>24</v>
      </c>
      <c r="M15" s="19"/>
      <c r="N15" s="19"/>
      <c r="O15" s="17" t="str">
        <f>IFERROR(AVERAGE(M15:N15),"")</f>
        <v/>
      </c>
      <c r="P15" s="194"/>
    </row>
    <row r="16" spans="1:16" x14ac:dyDescent="0.3">
      <c r="A16" s="195" t="s">
        <v>10</v>
      </c>
      <c r="B16" s="196"/>
      <c r="C16" s="196"/>
      <c r="D16" s="196"/>
      <c r="E16" s="197"/>
      <c r="F16" s="195" t="s">
        <v>10</v>
      </c>
      <c r="G16" s="196"/>
      <c r="H16" s="196"/>
      <c r="I16" s="196"/>
      <c r="J16" s="196"/>
      <c r="L16" s="195" t="s">
        <v>10</v>
      </c>
      <c r="M16" s="196"/>
      <c r="N16" s="196"/>
      <c r="O16" s="196"/>
      <c r="P16" s="197"/>
    </row>
    <row r="17" spans="1:16" x14ac:dyDescent="0.3">
      <c r="A17" s="14" t="s">
        <v>5</v>
      </c>
      <c r="B17" s="5" t="s">
        <v>6</v>
      </c>
      <c r="C17" s="5" t="s">
        <v>7</v>
      </c>
      <c r="D17" s="5" t="s">
        <v>8</v>
      </c>
      <c r="E17" s="8"/>
      <c r="F17" s="14" t="s">
        <v>5</v>
      </c>
      <c r="G17" s="5" t="s">
        <v>6</v>
      </c>
      <c r="H17" s="5" t="s">
        <v>7</v>
      </c>
      <c r="I17" s="5" t="s">
        <v>8</v>
      </c>
      <c r="J17" s="5"/>
      <c r="L17" s="14" t="s">
        <v>25</v>
      </c>
      <c r="M17" s="5" t="s">
        <v>6</v>
      </c>
      <c r="N17" s="5" t="s">
        <v>7</v>
      </c>
      <c r="O17" s="5" t="s">
        <v>8</v>
      </c>
      <c r="P17" s="8"/>
    </row>
    <row r="18" spans="1:16" x14ac:dyDescent="0.3">
      <c r="A18" s="14">
        <v>150</v>
      </c>
      <c r="B18" s="16">
        <v>42.59</v>
      </c>
      <c r="C18" s="16">
        <v>42.57</v>
      </c>
      <c r="D18" s="17">
        <f>IFERROR(AVERAGE(B18:C18),"")</f>
        <v>42.58</v>
      </c>
      <c r="E18" s="194">
        <f>(1-A19/A18)/(D19/D18-A19/A18)</f>
        <v>1.0147759771210676</v>
      </c>
      <c r="F18" s="14">
        <v>-300</v>
      </c>
      <c r="G18" s="19">
        <v>43.2</v>
      </c>
      <c r="H18" s="19">
        <v>43.2</v>
      </c>
      <c r="I18" s="17">
        <f>IFERROR(AVERAGE(G18:H18),"")</f>
        <v>43.2</v>
      </c>
      <c r="J18" s="194">
        <f>(I18+I19)/(2*I18)</f>
        <v>1.0005208333333333</v>
      </c>
      <c r="L18" s="14" t="s">
        <v>23</v>
      </c>
      <c r="M18" s="16"/>
      <c r="N18" s="16"/>
      <c r="O18" s="17" t="str">
        <f>IFERROR(AVERAGE(M18:N18),"")</f>
        <v/>
      </c>
      <c r="P18" s="194" t="e">
        <f>(O19/O18)</f>
        <v>#VALUE!</v>
      </c>
    </row>
    <row r="19" spans="1:16" x14ac:dyDescent="0.3">
      <c r="A19" s="18">
        <v>300</v>
      </c>
      <c r="B19" s="19">
        <v>43.2</v>
      </c>
      <c r="C19" s="19">
        <v>43.2</v>
      </c>
      <c r="D19" s="20">
        <f>IFERROR(AVERAGE(B19:C19),"")</f>
        <v>43.2</v>
      </c>
      <c r="E19" s="194"/>
      <c r="F19" s="18">
        <v>300</v>
      </c>
      <c r="G19" s="19">
        <v>43.25</v>
      </c>
      <c r="H19" s="19">
        <v>43.24</v>
      </c>
      <c r="I19" s="20">
        <f>IFERROR(AVERAGE(G19:H19),"")</f>
        <v>43.245000000000005</v>
      </c>
      <c r="J19" s="194"/>
      <c r="L19" s="18" t="s">
        <v>24</v>
      </c>
      <c r="M19" s="19"/>
      <c r="N19" s="19"/>
      <c r="O19" s="17" t="str">
        <f>IFERROR(AVERAGE(M19:N19),"")</f>
        <v/>
      </c>
      <c r="P19" s="194"/>
    </row>
    <row r="20" spans="1:16" x14ac:dyDescent="0.3">
      <c r="A20" s="195" t="s">
        <v>11</v>
      </c>
      <c r="B20" s="196"/>
      <c r="C20" s="196"/>
      <c r="D20" s="196"/>
      <c r="E20" s="197"/>
      <c r="F20" s="195" t="s">
        <v>11</v>
      </c>
      <c r="G20" s="196"/>
      <c r="H20" s="196"/>
      <c r="I20" s="196"/>
      <c r="J20" s="196"/>
      <c r="L20" s="195" t="s">
        <v>11</v>
      </c>
      <c r="M20" s="196"/>
      <c r="N20" s="196"/>
      <c r="O20" s="196"/>
      <c r="P20" s="197"/>
    </row>
    <row r="21" spans="1:16" x14ac:dyDescent="0.3">
      <c r="A21" s="14" t="s">
        <v>5</v>
      </c>
      <c r="B21" s="5" t="s">
        <v>6</v>
      </c>
      <c r="C21" s="5" t="s">
        <v>7</v>
      </c>
      <c r="D21" s="5" t="s">
        <v>8</v>
      </c>
      <c r="E21" s="8"/>
      <c r="F21" s="14" t="s">
        <v>5</v>
      </c>
      <c r="G21" s="5" t="s">
        <v>6</v>
      </c>
      <c r="H21" s="5" t="s">
        <v>7</v>
      </c>
      <c r="I21" s="5" t="s">
        <v>8</v>
      </c>
      <c r="J21" s="5"/>
      <c r="L21" s="14" t="s">
        <v>25</v>
      </c>
      <c r="M21" s="5" t="s">
        <v>6</v>
      </c>
      <c r="N21" s="5" t="s">
        <v>7</v>
      </c>
      <c r="O21" s="5" t="s">
        <v>8</v>
      </c>
      <c r="P21" s="8"/>
    </row>
    <row r="22" spans="1:16" x14ac:dyDescent="0.3">
      <c r="A22" s="14">
        <v>150</v>
      </c>
      <c r="B22" s="16">
        <v>41.05</v>
      </c>
      <c r="C22" s="16">
        <v>41.05</v>
      </c>
      <c r="D22" s="17">
        <f>IFERROR(AVERAGE(B22:C22),"")</f>
        <v>41.05</v>
      </c>
      <c r="E22" s="194">
        <f>(1-A23/A22)/(D23/D22-A23/A22)</f>
        <v>1.0140810276679844</v>
      </c>
      <c r="F22" s="14">
        <v>-300</v>
      </c>
      <c r="G22" s="19">
        <v>41.61</v>
      </c>
      <c r="H22" s="19">
        <v>41.63</v>
      </c>
      <c r="I22" s="17">
        <f>IFERROR(AVERAGE(G22:H22),"")</f>
        <v>41.620000000000005</v>
      </c>
      <c r="J22" s="194">
        <f>(I22+I23)/(2*I22)</f>
        <v>1.000600672753484</v>
      </c>
      <c r="L22" s="14" t="s">
        <v>23</v>
      </c>
      <c r="M22" s="16"/>
      <c r="N22" s="16"/>
      <c r="O22" s="17" t="str">
        <f>IFERROR(AVERAGE(M22:N22),"")</f>
        <v/>
      </c>
      <c r="P22" s="194" t="e">
        <f>(O23/O22)</f>
        <v>#VALUE!</v>
      </c>
    </row>
    <row r="23" spans="1:16" x14ac:dyDescent="0.3">
      <c r="A23" s="18">
        <v>300</v>
      </c>
      <c r="B23" s="19">
        <v>41.61</v>
      </c>
      <c r="C23" s="19">
        <v>41.63</v>
      </c>
      <c r="D23" s="20">
        <f>IFERROR(AVERAGE(B23:C23),"")</f>
        <v>41.620000000000005</v>
      </c>
      <c r="E23" s="194"/>
      <c r="F23" s="18">
        <v>300</v>
      </c>
      <c r="G23" s="19">
        <v>41.67</v>
      </c>
      <c r="H23" s="19">
        <v>41.67</v>
      </c>
      <c r="I23" s="20">
        <f>IFERROR(AVERAGE(G23:H23),"")</f>
        <v>41.67</v>
      </c>
      <c r="J23" s="194"/>
      <c r="L23" s="18" t="s">
        <v>24</v>
      </c>
      <c r="M23" s="19"/>
      <c r="N23" s="19"/>
      <c r="O23" s="17" t="str">
        <f>IFERROR(AVERAGE(M23:N23),"")</f>
        <v/>
      </c>
      <c r="P23" s="194"/>
    </row>
    <row r="24" spans="1:16" x14ac:dyDescent="0.3">
      <c r="A24" s="195" t="s">
        <v>12</v>
      </c>
      <c r="B24" s="196"/>
      <c r="C24" s="196"/>
      <c r="D24" s="196"/>
      <c r="E24" s="197"/>
      <c r="F24" s="195" t="s">
        <v>12</v>
      </c>
      <c r="G24" s="196"/>
      <c r="H24" s="196"/>
      <c r="I24" s="196"/>
      <c r="J24" s="196"/>
      <c r="L24" s="195" t="s">
        <v>12</v>
      </c>
      <c r="M24" s="196"/>
      <c r="N24" s="196"/>
      <c r="O24" s="196"/>
      <c r="P24" s="197"/>
    </row>
    <row r="25" spans="1:16" x14ac:dyDescent="0.3">
      <c r="A25" s="14" t="s">
        <v>5</v>
      </c>
      <c r="B25" s="5" t="s">
        <v>6</v>
      </c>
      <c r="C25" s="5" t="s">
        <v>7</v>
      </c>
      <c r="D25" s="5" t="s">
        <v>8</v>
      </c>
      <c r="E25" s="8"/>
      <c r="F25" s="14" t="s">
        <v>5</v>
      </c>
      <c r="G25" s="5" t="s">
        <v>6</v>
      </c>
      <c r="H25" s="5" t="s">
        <v>7</v>
      </c>
      <c r="I25" s="5" t="s">
        <v>8</v>
      </c>
      <c r="J25" s="5"/>
      <c r="L25" s="14" t="s">
        <v>25</v>
      </c>
      <c r="M25" s="5" t="s">
        <v>6</v>
      </c>
      <c r="N25" s="5" t="s">
        <v>7</v>
      </c>
      <c r="O25" s="5" t="s">
        <v>8</v>
      </c>
      <c r="P25" s="8"/>
    </row>
    <row r="26" spans="1:16" x14ac:dyDescent="0.3">
      <c r="A26" s="14">
        <v>150</v>
      </c>
      <c r="B26" s="16">
        <v>40.04</v>
      </c>
      <c r="C26" s="16">
        <v>40.03</v>
      </c>
      <c r="D26" s="17">
        <f>IFERROR(AVERAGE(B26:C26),"")</f>
        <v>40.034999999999997</v>
      </c>
      <c r="E26" s="194">
        <f>(1-A27/A26)/(D27/D26-A27/A26)</f>
        <v>1.0135443037974685</v>
      </c>
      <c r="F26" s="14">
        <v>-300</v>
      </c>
      <c r="G26" s="19">
        <v>40.57</v>
      </c>
      <c r="H26" s="19">
        <v>40.57</v>
      </c>
      <c r="I26" s="17">
        <f>IFERROR(AVERAGE(G26:H26),"")</f>
        <v>40.57</v>
      </c>
      <c r="J26" s="194">
        <f>(I26+I27)/(2*I26)</f>
        <v>1.0012324377618931</v>
      </c>
      <c r="L26" s="14" t="s">
        <v>23</v>
      </c>
      <c r="M26" s="16"/>
      <c r="N26" s="16"/>
      <c r="O26" s="17" t="str">
        <f>IFERROR(AVERAGE(M26:N26),"")</f>
        <v/>
      </c>
      <c r="P26" s="194" t="e">
        <f>(O27/O26)</f>
        <v>#VALUE!</v>
      </c>
    </row>
    <row r="27" spans="1:16" x14ac:dyDescent="0.3">
      <c r="A27" s="18">
        <v>300</v>
      </c>
      <c r="B27" s="19">
        <v>40.57</v>
      </c>
      <c r="C27" s="19">
        <v>40.57</v>
      </c>
      <c r="D27" s="20">
        <f>IFERROR(AVERAGE(B27:C27),"")</f>
        <v>40.57</v>
      </c>
      <c r="E27" s="194"/>
      <c r="F27" s="18">
        <v>300</v>
      </c>
      <c r="G27" s="19">
        <v>40.700000000000003</v>
      </c>
      <c r="H27" s="19">
        <v>40.64</v>
      </c>
      <c r="I27" s="20">
        <f>IFERROR(AVERAGE(G27:H27),"")</f>
        <v>40.67</v>
      </c>
      <c r="J27" s="194"/>
      <c r="L27" s="18" t="s">
        <v>24</v>
      </c>
      <c r="M27" s="19"/>
      <c r="N27" s="19"/>
      <c r="O27" s="17" t="str">
        <f>IFERROR(AVERAGE(M27:N27),"")</f>
        <v/>
      </c>
      <c r="P27" s="194"/>
    </row>
    <row r="28" spans="1:16" x14ac:dyDescent="0.3">
      <c r="A28" s="201" t="s">
        <v>13</v>
      </c>
      <c r="B28" s="202"/>
      <c r="C28" s="202"/>
      <c r="D28" s="202"/>
      <c r="E28" s="203"/>
      <c r="F28" s="201" t="s">
        <v>13</v>
      </c>
      <c r="G28" s="202"/>
      <c r="H28" s="202"/>
      <c r="I28" s="202"/>
      <c r="J28" s="202"/>
      <c r="L28" s="201" t="s">
        <v>13</v>
      </c>
      <c r="M28" s="202"/>
      <c r="N28" s="202"/>
      <c r="O28" s="202"/>
      <c r="P28" s="203"/>
    </row>
    <row r="29" spans="1:16" x14ac:dyDescent="0.3">
      <c r="A29" s="14" t="s">
        <v>5</v>
      </c>
      <c r="B29" s="5" t="s">
        <v>6</v>
      </c>
      <c r="C29" s="5" t="s">
        <v>7</v>
      </c>
      <c r="D29" s="5" t="s">
        <v>8</v>
      </c>
      <c r="E29" s="8"/>
      <c r="F29" s="14" t="s">
        <v>5</v>
      </c>
      <c r="G29" s="5" t="s">
        <v>6</v>
      </c>
      <c r="H29" s="5" t="s">
        <v>7</v>
      </c>
      <c r="I29" s="5" t="s">
        <v>8</v>
      </c>
      <c r="J29" s="5"/>
      <c r="L29" s="14" t="s">
        <v>25</v>
      </c>
      <c r="M29" s="5" t="s">
        <v>6</v>
      </c>
      <c r="N29" s="5" t="s">
        <v>7</v>
      </c>
      <c r="O29" s="5" t="s">
        <v>8</v>
      </c>
      <c r="P29" s="8"/>
    </row>
    <row r="30" spans="1:16" x14ac:dyDescent="0.3">
      <c r="A30" s="14">
        <v>150</v>
      </c>
      <c r="B30" s="16">
        <v>39.11</v>
      </c>
      <c r="C30" s="16">
        <v>39.1</v>
      </c>
      <c r="D30" s="17">
        <f>IFERROR(AVERAGE(B30:C30),"")</f>
        <v>39.105000000000004</v>
      </c>
      <c r="E30" s="194">
        <f>(1-A31/A30)/(D31/D30-A31/A30)</f>
        <v>1.0132141469102212</v>
      </c>
      <c r="F30" s="14">
        <v>-300</v>
      </c>
      <c r="G30" s="19">
        <v>39.61</v>
      </c>
      <c r="H30" s="19">
        <v>39.619999999999997</v>
      </c>
      <c r="I30" s="17">
        <f>IFERROR(AVERAGE(G30:H30),"")</f>
        <v>39.614999999999995</v>
      </c>
      <c r="J30" s="194">
        <f>(I30+I31)/(2*I30)</f>
        <v>1.0003786444528588</v>
      </c>
      <c r="L30" s="14" t="s">
        <v>23</v>
      </c>
      <c r="M30" s="16"/>
      <c r="N30" s="16"/>
      <c r="O30" s="17" t="str">
        <f>IFERROR(AVERAGE(M30:N30),"")</f>
        <v/>
      </c>
      <c r="P30" s="194" t="e">
        <f>(O31/O30)</f>
        <v>#VALUE!</v>
      </c>
    </row>
    <row r="31" spans="1:16" x14ac:dyDescent="0.3">
      <c r="A31" s="18">
        <v>300</v>
      </c>
      <c r="B31" s="19">
        <v>39.61</v>
      </c>
      <c r="C31" s="19">
        <v>39.619999999999997</v>
      </c>
      <c r="D31" s="20">
        <f>IFERROR(AVERAGE(B31:C31),"")</f>
        <v>39.614999999999995</v>
      </c>
      <c r="E31" s="194"/>
      <c r="F31" s="18">
        <v>300</v>
      </c>
      <c r="G31" s="19">
        <v>39.69</v>
      </c>
      <c r="H31" s="19">
        <v>39.6</v>
      </c>
      <c r="I31" s="20">
        <f>IFERROR(AVERAGE(G31:H31),"")</f>
        <v>39.644999999999996</v>
      </c>
      <c r="J31" s="194"/>
      <c r="L31" s="18" t="s">
        <v>23</v>
      </c>
      <c r="M31" s="19"/>
      <c r="N31" s="19"/>
      <c r="O31" s="20" t="str">
        <f>IFERROR(AVERAGE(M31:N31),"")</f>
        <v/>
      </c>
      <c r="P31" s="194"/>
    </row>
    <row r="32" spans="1:16" x14ac:dyDescent="0.3">
      <c r="A32" s="208"/>
      <c r="B32" s="208"/>
      <c r="C32" s="208"/>
      <c r="D32" s="208"/>
      <c r="E32" s="208"/>
      <c r="F32" s="208"/>
      <c r="G32" s="208"/>
      <c r="H32" s="208"/>
      <c r="I32" s="208"/>
      <c r="J32" s="208"/>
    </row>
    <row r="33" spans="1:10" x14ac:dyDescent="0.3">
      <c r="A33" s="209"/>
      <c r="B33" s="209"/>
      <c r="C33" s="209"/>
      <c r="D33" s="209"/>
      <c r="E33" s="209"/>
      <c r="F33" s="209"/>
      <c r="G33" s="209"/>
      <c r="H33" s="209"/>
      <c r="I33" s="209"/>
      <c r="J33" s="209"/>
    </row>
    <row r="34" spans="1:10" x14ac:dyDescent="0.3">
      <c r="A34" s="209"/>
      <c r="B34" s="209"/>
      <c r="C34" s="209"/>
      <c r="D34" s="209"/>
      <c r="E34" s="209"/>
      <c r="F34" s="209"/>
      <c r="G34" s="209"/>
      <c r="H34" s="209"/>
      <c r="I34" s="209"/>
      <c r="J34" s="209"/>
    </row>
  </sheetData>
  <mergeCells count="46">
    <mergeCell ref="F20:J20"/>
    <mergeCell ref="L20:P20"/>
    <mergeCell ref="P22:P23"/>
    <mergeCell ref="L24:P24"/>
    <mergeCell ref="L3:P3"/>
    <mergeCell ref="L4:P4"/>
    <mergeCell ref="L12:P12"/>
    <mergeCell ref="J18:J19"/>
    <mergeCell ref="A16:E16"/>
    <mergeCell ref="F3:J3"/>
    <mergeCell ref="F4:J4"/>
    <mergeCell ref="J6:J7"/>
    <mergeCell ref="F8:J8"/>
    <mergeCell ref="J10:J11"/>
    <mergeCell ref="F12:J12"/>
    <mergeCell ref="J14:J15"/>
    <mergeCell ref="F16:J16"/>
    <mergeCell ref="J30:J31"/>
    <mergeCell ref="P26:P27"/>
    <mergeCell ref="L28:P28"/>
    <mergeCell ref="P30:P31"/>
    <mergeCell ref="A32:J34"/>
    <mergeCell ref="E30:E31"/>
    <mergeCell ref="A24:E24"/>
    <mergeCell ref="E26:E27"/>
    <mergeCell ref="A28:E28"/>
    <mergeCell ref="J22:J23"/>
    <mergeCell ref="F24:J24"/>
    <mergeCell ref="J26:J27"/>
    <mergeCell ref="F28:J28"/>
    <mergeCell ref="A1:P1"/>
    <mergeCell ref="E18:E19"/>
    <mergeCell ref="A20:E20"/>
    <mergeCell ref="E22:E23"/>
    <mergeCell ref="A3:E3"/>
    <mergeCell ref="A4:E4"/>
    <mergeCell ref="E6:E7"/>
    <mergeCell ref="A8:E8"/>
    <mergeCell ref="E10:E11"/>
    <mergeCell ref="A2:J2"/>
    <mergeCell ref="L2:P2"/>
    <mergeCell ref="P14:P15"/>
    <mergeCell ref="L16:P16"/>
    <mergeCell ref="P18:P19"/>
    <mergeCell ref="A12:E12"/>
    <mergeCell ref="E14:E15"/>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Button 2">
              <controlPr defaultSize="0" print="0" autoFill="0" autoPict="0" macro="[0]!Pion_Clear">
                <anchor moveWithCells="1" sizeWithCells="1">
                  <from>
                    <xdr:col>3</xdr:col>
                    <xdr:colOff>381000</xdr:colOff>
                    <xdr:row>2</xdr:row>
                    <xdr:rowOff>38100</xdr:rowOff>
                  </from>
                  <to>
                    <xdr:col>4</xdr:col>
                    <xdr:colOff>676275</xdr:colOff>
                    <xdr:row>2</xdr:row>
                    <xdr:rowOff>219075</xdr:rowOff>
                  </to>
                </anchor>
              </controlPr>
            </control>
          </mc:Choice>
        </mc:AlternateContent>
        <mc:AlternateContent xmlns:mc="http://schemas.openxmlformats.org/markup-compatibility/2006">
          <mc:Choice Requires="x14">
            <control shapeId="1027" r:id="rId5" name="Button 3">
              <controlPr defaultSize="0" print="0" autoFill="0" autoPict="0" macro="[0]!Ppol_Clear">
                <anchor moveWithCells="1" sizeWithCells="1">
                  <from>
                    <xdr:col>8</xdr:col>
                    <xdr:colOff>419100</xdr:colOff>
                    <xdr:row>2</xdr:row>
                    <xdr:rowOff>38100</xdr:rowOff>
                  </from>
                  <to>
                    <xdr:col>9</xdr:col>
                    <xdr:colOff>962025</xdr:colOff>
                    <xdr:row>3</xdr:row>
                    <xdr:rowOff>0</xdr:rowOff>
                  </to>
                </anchor>
              </controlPr>
            </control>
          </mc:Choice>
        </mc:AlternateContent>
        <mc:AlternateContent xmlns:mc="http://schemas.openxmlformats.org/markup-compatibility/2006">
          <mc:Choice Requires="x14">
            <control shapeId="1025" r:id="rId6" name="Button 1">
              <controlPr defaultSize="0" print="0" autoFill="0" autoPict="0" macro="[0]!PushCorrections">
                <anchor moveWithCells="1" sizeWithCells="1">
                  <from>
                    <xdr:col>0</xdr:col>
                    <xdr:colOff>0</xdr:colOff>
                    <xdr:row>30</xdr:row>
                    <xdr:rowOff>200025</xdr:rowOff>
                  </from>
                  <to>
                    <xdr:col>9</xdr:col>
                    <xdr:colOff>971550</xdr:colOff>
                    <xdr:row>34</xdr:row>
                    <xdr:rowOff>171450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0"/>
  </sheetPr>
  <dimension ref="A1:O93"/>
  <sheetViews>
    <sheetView workbookViewId="0">
      <selection activeCell="E6" sqref="E6"/>
    </sheetView>
  </sheetViews>
  <sheetFormatPr defaultRowHeight="16.5" x14ac:dyDescent="0.3"/>
  <cols>
    <col min="1" max="1" width="26.625" customWidth="1"/>
    <col min="2" max="2" width="22.75" customWidth="1"/>
    <col min="3" max="3" width="12.375" customWidth="1"/>
    <col min="4" max="4" width="15" customWidth="1"/>
    <col min="5" max="5" width="29.5" customWidth="1"/>
    <col min="6" max="6" width="31" customWidth="1"/>
    <col min="7" max="7" width="20.375" customWidth="1"/>
    <col min="8" max="8" width="26.375" customWidth="1"/>
    <col min="15" max="15" width="11.625" customWidth="1"/>
  </cols>
  <sheetData>
    <row r="1" spans="1:15" ht="18" x14ac:dyDescent="0.3">
      <c r="A1" s="219" t="s">
        <v>64</v>
      </c>
      <c r="B1" s="219"/>
      <c r="C1" s="219"/>
      <c r="O1" t="s">
        <v>65</v>
      </c>
    </row>
    <row r="2" spans="1:15" ht="16.5" customHeight="1" x14ac:dyDescent="0.3">
      <c r="A2" s="216" t="s">
        <v>26</v>
      </c>
      <c r="B2" s="54" t="s">
        <v>48</v>
      </c>
      <c r="C2" s="4">
        <f ca="1">INDEX(ChamberData,MATCH(SelectedChamber,Chambers,0),1)</f>
        <v>0.99582000000000004</v>
      </c>
      <c r="O2">
        <v>1</v>
      </c>
    </row>
    <row r="3" spans="1:15" ht="16.5" customHeight="1" x14ac:dyDescent="0.3">
      <c r="A3" s="217"/>
      <c r="B3" s="55" t="s">
        <v>47</v>
      </c>
      <c r="C3" s="4">
        <f ca="1">INDEX(ChamberData,MATCH(SelectedChamber,Chambers,0),2)</f>
        <v>0.97811999999999999</v>
      </c>
      <c r="O3">
        <f>O2+1</f>
        <v>2</v>
      </c>
    </row>
    <row r="4" spans="1:15" ht="16.5" customHeight="1" x14ac:dyDescent="0.3">
      <c r="A4" s="131"/>
      <c r="B4" s="12" t="s">
        <v>36</v>
      </c>
      <c r="C4" s="4">
        <f>INDEX(ChamberData,MATCH(SelectedChamber,Chambers,0),3)</f>
        <v>0.90600000000000003</v>
      </c>
      <c r="O4">
        <f t="shared" ref="O4:O67" si="0">O3+1</f>
        <v>3</v>
      </c>
    </row>
    <row r="5" spans="1:15" ht="16.5" customHeight="1" x14ac:dyDescent="0.3">
      <c r="A5" s="131"/>
      <c r="B5" s="13" t="s">
        <v>42</v>
      </c>
      <c r="C5" s="4">
        <f>INDEX(ChamberData,MATCH(SelectedChamber,Chambers,0),4)</f>
        <v>0.30499999999999999</v>
      </c>
      <c r="O5">
        <f t="shared" si="0"/>
        <v>4</v>
      </c>
    </row>
    <row r="6" spans="1:15" ht="16.5" customHeight="1" x14ac:dyDescent="0.3">
      <c r="A6" s="131"/>
      <c r="B6" s="38" t="s">
        <v>60</v>
      </c>
      <c r="C6" s="4">
        <f>INDEX(ChamberData,MATCH(SelectedChamber,Chambers,0),5)</f>
        <v>48270000</v>
      </c>
      <c r="O6">
        <f t="shared" si="0"/>
        <v>5</v>
      </c>
    </row>
    <row r="7" spans="1:15" ht="16.5" customHeight="1" x14ac:dyDescent="0.3">
      <c r="A7" s="217" t="s">
        <v>37</v>
      </c>
      <c r="B7" s="56" t="str">
        <f>INDEX(MachineData,MATCH(SelectedMachine,Machines,0),3)&amp;"E"</f>
        <v>6E</v>
      </c>
      <c r="C7" s="4">
        <f>INDEX(ChamberData,MATCH(SelectedChamber,Chambers,0),6)</f>
        <v>1.0284388965409827</v>
      </c>
      <c r="O7">
        <f t="shared" si="0"/>
        <v>6</v>
      </c>
    </row>
    <row r="8" spans="1:15" ht="16.5" customHeight="1" x14ac:dyDescent="0.3">
      <c r="A8" s="217"/>
      <c r="B8" s="40" t="str">
        <f>INDEX(MachineData,MATCH(SelectedMachine,Machines,0),4)&amp;"E"</f>
        <v>9E</v>
      </c>
      <c r="C8" s="4">
        <f>INDEX(ChamberData,MATCH(SelectedChamber,Chambers,0),7)</f>
        <v>1.0171224127746152</v>
      </c>
      <c r="O8">
        <f t="shared" si="0"/>
        <v>7</v>
      </c>
    </row>
    <row r="9" spans="1:15" ht="16.5" customHeight="1" x14ac:dyDescent="0.3">
      <c r="A9" s="217"/>
      <c r="B9" s="40" t="str">
        <f>INDEX(MachineData,MATCH(SelectedMachine,Machines,0),5)&amp;"E"</f>
        <v>12E</v>
      </c>
      <c r="C9" s="4">
        <f>INDEX(ChamberData,MATCH(SelectedChamber,Chambers,0),8)</f>
        <v>1.008679272235143</v>
      </c>
      <c r="O9">
        <f t="shared" si="0"/>
        <v>8</v>
      </c>
    </row>
    <row r="10" spans="1:15" ht="16.5" customHeight="1" x14ac:dyDescent="0.3">
      <c r="A10" s="217"/>
      <c r="B10" s="40" t="str">
        <f>INDEX(MachineData,MATCH(SelectedMachine,Machines,0),6)&amp;"E"</f>
        <v>15E</v>
      </c>
      <c r="C10" s="4">
        <f>INDEX(ChamberData,MATCH(SelectedChamber,Chambers,0),9)</f>
        <v>1.0032567255115941</v>
      </c>
      <c r="O10">
        <f t="shared" si="0"/>
        <v>9</v>
      </c>
    </row>
    <row r="11" spans="1:15" ht="16.5" customHeight="1" x14ac:dyDescent="0.3">
      <c r="A11" s="218"/>
      <c r="B11" s="55" t="str">
        <f>INDEX(MachineData,MATCH(SelectedMachine,Machines,0),7)&amp;"E"</f>
        <v>18E</v>
      </c>
      <c r="C11" s="4">
        <f>INDEX(ChamberData,MATCH(SelectedChamber,Chambers,0),10)</f>
        <v>0.99945162598773163</v>
      </c>
      <c r="O11">
        <f t="shared" si="0"/>
        <v>10</v>
      </c>
    </row>
    <row r="12" spans="1:15" ht="16.5" customHeight="1" x14ac:dyDescent="0.3">
      <c r="A12" s="132" t="s">
        <v>149</v>
      </c>
      <c r="B12" s="5"/>
      <c r="C12" s="113">
        <f>INDEX(ChamberData,MATCH(SelectedChamber,Chambers,0),11)</f>
        <v>42683</v>
      </c>
      <c r="O12">
        <f t="shared" si="0"/>
        <v>11</v>
      </c>
    </row>
    <row r="13" spans="1:15" ht="16.5" customHeight="1" x14ac:dyDescent="0.3">
      <c r="A13" s="220" t="s">
        <v>82</v>
      </c>
      <c r="B13" s="219"/>
      <c r="C13" s="219"/>
      <c r="O13">
        <f t="shared" si="0"/>
        <v>12</v>
      </c>
    </row>
    <row r="14" spans="1:15" ht="16.5" customHeight="1" x14ac:dyDescent="0.3">
      <c r="A14" s="133" t="s">
        <v>83</v>
      </c>
      <c r="B14" s="221">
        <f>INDEX(ElectrometerFactors,MATCH(SelectedElectrometer,Electrometers,0),1)</f>
        <v>0.999</v>
      </c>
      <c r="C14" s="222"/>
      <c r="O14">
        <f t="shared" si="0"/>
        <v>13</v>
      </c>
    </row>
    <row r="15" spans="1:15" ht="16.5" customHeight="1" x14ac:dyDescent="0.3">
      <c r="A15" s="132" t="s">
        <v>149</v>
      </c>
      <c r="B15" s="211">
        <f>INDEX(ElectrometerADCLDates,MATCH(SelectedElectrometer,Electrometers,0),1)</f>
        <v>42313</v>
      </c>
      <c r="C15" s="212"/>
      <c r="O15">
        <f t="shared" si="0"/>
        <v>14</v>
      </c>
    </row>
    <row r="16" spans="1:15" ht="16.5" customHeight="1" thickBot="1" x14ac:dyDescent="0.35">
      <c r="O16">
        <f t="shared" si="0"/>
        <v>15</v>
      </c>
    </row>
    <row r="17" spans="1:15" ht="16.5" customHeight="1" thickBot="1" x14ac:dyDescent="0.35">
      <c r="A17" s="188" t="s">
        <v>95</v>
      </c>
      <c r="B17" s="225" t="s">
        <v>44</v>
      </c>
      <c r="C17" s="226"/>
      <c r="D17" s="134" t="str">
        <f>SelectedMachine</f>
        <v>iX HSF 5326 AR</v>
      </c>
      <c r="O17">
        <f t="shared" si="0"/>
        <v>16</v>
      </c>
    </row>
    <row r="18" spans="1:15" ht="16.5" customHeight="1" x14ac:dyDescent="0.3">
      <c r="A18" s="188"/>
      <c r="B18" s="223" t="s">
        <v>54</v>
      </c>
      <c r="C18" s="122" t="s">
        <v>48</v>
      </c>
      <c r="D18" s="123">
        <f t="shared" ref="D18:D28" si="1">INDEX(MachineData,MATCH(SelectedMachine,Machines,0),O2)</f>
        <v>6</v>
      </c>
      <c r="O18">
        <f t="shared" si="0"/>
        <v>17</v>
      </c>
    </row>
    <row r="19" spans="1:15" ht="16.5" customHeight="1" x14ac:dyDescent="0.3">
      <c r="A19" s="188"/>
      <c r="B19" s="224"/>
      <c r="C19" s="122" t="s">
        <v>47</v>
      </c>
      <c r="D19" s="123">
        <f t="shared" si="1"/>
        <v>15</v>
      </c>
      <c r="O19">
        <f t="shared" si="0"/>
        <v>18</v>
      </c>
    </row>
    <row r="20" spans="1:15" ht="16.5" customHeight="1" x14ac:dyDescent="0.3">
      <c r="A20" s="188"/>
      <c r="B20" s="224"/>
      <c r="C20" s="122" t="s">
        <v>49</v>
      </c>
      <c r="D20" s="123">
        <f t="shared" si="1"/>
        <v>6</v>
      </c>
      <c r="O20">
        <f t="shared" si="0"/>
        <v>19</v>
      </c>
    </row>
    <row r="21" spans="1:15" ht="16.5" customHeight="1" x14ac:dyDescent="0.3">
      <c r="A21" s="188"/>
      <c r="B21" s="224"/>
      <c r="C21" s="122" t="s">
        <v>50</v>
      </c>
      <c r="D21" s="123">
        <f t="shared" si="1"/>
        <v>9</v>
      </c>
      <c r="O21">
        <f t="shared" si="0"/>
        <v>20</v>
      </c>
    </row>
    <row r="22" spans="1:15" ht="16.5" customHeight="1" x14ac:dyDescent="0.3">
      <c r="A22" s="188"/>
      <c r="B22" s="224"/>
      <c r="C22" s="122" t="s">
        <v>51</v>
      </c>
      <c r="D22" s="123">
        <f t="shared" si="1"/>
        <v>12</v>
      </c>
      <c r="O22">
        <f t="shared" si="0"/>
        <v>21</v>
      </c>
    </row>
    <row r="23" spans="1:15" ht="16.5" customHeight="1" x14ac:dyDescent="0.3">
      <c r="A23" s="188"/>
      <c r="B23" s="224"/>
      <c r="C23" s="122" t="s">
        <v>52</v>
      </c>
      <c r="D23" s="123">
        <f t="shared" si="1"/>
        <v>15</v>
      </c>
      <c r="O23">
        <f t="shared" si="0"/>
        <v>22</v>
      </c>
    </row>
    <row r="24" spans="1:15" ht="16.5" customHeight="1" x14ac:dyDescent="0.3">
      <c r="A24" s="188"/>
      <c r="B24" s="224"/>
      <c r="C24" s="124" t="s">
        <v>53</v>
      </c>
      <c r="D24" s="125">
        <f t="shared" si="1"/>
        <v>18</v>
      </c>
      <c r="O24">
        <f t="shared" si="0"/>
        <v>23</v>
      </c>
    </row>
    <row r="25" spans="1:15" ht="16.5" customHeight="1" x14ac:dyDescent="0.3">
      <c r="A25" s="185" t="s">
        <v>94</v>
      </c>
      <c r="B25" s="224" t="s">
        <v>40</v>
      </c>
      <c r="C25" s="120" t="s">
        <v>48</v>
      </c>
      <c r="D25" s="121">
        <f t="shared" si="1"/>
        <v>66.150000000000006</v>
      </c>
      <c r="O25">
        <f t="shared" si="0"/>
        <v>24</v>
      </c>
    </row>
    <row r="26" spans="1:15" ht="16.5" customHeight="1" x14ac:dyDescent="0.3">
      <c r="A26" s="185"/>
      <c r="B26" s="224"/>
      <c r="C26" s="124" t="s">
        <v>47</v>
      </c>
      <c r="D26" s="125">
        <f t="shared" si="1"/>
        <v>77.599999999999994</v>
      </c>
      <c r="O26">
        <f t="shared" si="0"/>
        <v>25</v>
      </c>
    </row>
    <row r="27" spans="1:15" ht="16.5" customHeight="1" x14ac:dyDescent="0.3">
      <c r="A27" s="185"/>
      <c r="B27" s="224" t="s">
        <v>89</v>
      </c>
      <c r="C27" s="120" t="s">
        <v>48</v>
      </c>
      <c r="D27" s="121">
        <f t="shared" si="1"/>
        <v>0.66800000000000004</v>
      </c>
      <c r="O27">
        <f t="shared" si="0"/>
        <v>26</v>
      </c>
    </row>
    <row r="28" spans="1:15" ht="16.5" customHeight="1" x14ac:dyDescent="0.3">
      <c r="A28" s="185"/>
      <c r="B28" s="224"/>
      <c r="C28" s="124" t="s">
        <v>47</v>
      </c>
      <c r="D28" s="125">
        <f t="shared" si="1"/>
        <v>0.76600000000000001</v>
      </c>
      <c r="O28">
        <f t="shared" si="0"/>
        <v>27</v>
      </c>
    </row>
    <row r="29" spans="1:15" ht="16.5" customHeight="1" x14ac:dyDescent="0.3">
      <c r="A29" s="185"/>
      <c r="B29" s="224" t="s">
        <v>90</v>
      </c>
      <c r="C29" s="120" t="s">
        <v>48</v>
      </c>
      <c r="D29" s="121">
        <f>IF(Current_IsSADType,INDEX(MachineData,MATCH(SelectedMachine,Machines,0),O13),INDEX(MachineData,MATCH(SelectedMachine,Machines,0),O13))</f>
        <v>0.77700000000000002</v>
      </c>
      <c r="O29">
        <f t="shared" si="0"/>
        <v>28</v>
      </c>
    </row>
    <row r="30" spans="1:15" ht="16.5" customHeight="1" x14ac:dyDescent="0.3">
      <c r="A30" s="185"/>
      <c r="B30" s="224"/>
      <c r="C30" s="124" t="s">
        <v>47</v>
      </c>
      <c r="D30" s="125">
        <f t="shared" ref="D30:D61" si="2">INDEX(MachineData,MATCH(SelectedMachine,Machines,0),O14)</f>
        <v>0.87</v>
      </c>
      <c r="O30">
        <f t="shared" si="0"/>
        <v>29</v>
      </c>
    </row>
    <row r="31" spans="1:15" ht="16.5" customHeight="1" x14ac:dyDescent="0.3">
      <c r="A31" s="185"/>
      <c r="B31" s="119" t="s">
        <v>55</v>
      </c>
      <c r="C31" s="126" t="s">
        <v>56</v>
      </c>
      <c r="D31" s="127">
        <f t="shared" si="2"/>
        <v>1.21</v>
      </c>
      <c r="O31">
        <f t="shared" si="0"/>
        <v>30</v>
      </c>
    </row>
    <row r="32" spans="1:15" ht="16.5" customHeight="1" x14ac:dyDescent="0.3">
      <c r="A32" s="185"/>
      <c r="B32" s="224" t="s">
        <v>67</v>
      </c>
      <c r="C32" s="120" t="s">
        <v>48</v>
      </c>
      <c r="D32" s="121">
        <f t="shared" si="2"/>
        <v>1.6</v>
      </c>
      <c r="O32">
        <f t="shared" si="0"/>
        <v>31</v>
      </c>
    </row>
    <row r="33" spans="1:15" ht="16.5" customHeight="1" x14ac:dyDescent="0.3">
      <c r="A33" s="185"/>
      <c r="B33" s="224"/>
      <c r="C33" s="124" t="s">
        <v>47</v>
      </c>
      <c r="D33" s="125">
        <f t="shared" si="2"/>
        <v>2.7</v>
      </c>
      <c r="O33">
        <f t="shared" si="0"/>
        <v>32</v>
      </c>
    </row>
    <row r="34" spans="1:15" ht="16.5" customHeight="1" x14ac:dyDescent="0.3">
      <c r="A34" s="190" t="s">
        <v>96</v>
      </c>
      <c r="B34" s="224" t="s">
        <v>58</v>
      </c>
      <c r="C34" s="120" t="s">
        <v>49</v>
      </c>
      <c r="D34" s="121">
        <f t="shared" si="2"/>
        <v>2.3119999999999998</v>
      </c>
      <c r="O34">
        <f t="shared" si="0"/>
        <v>33</v>
      </c>
    </row>
    <row r="35" spans="1:15" ht="16.5" customHeight="1" x14ac:dyDescent="0.3">
      <c r="A35" s="190"/>
      <c r="B35" s="224"/>
      <c r="C35" s="122" t="s">
        <v>50</v>
      </c>
      <c r="D35" s="123">
        <f t="shared" si="2"/>
        <v>3.492</v>
      </c>
      <c r="O35">
        <f t="shared" si="0"/>
        <v>34</v>
      </c>
    </row>
    <row r="36" spans="1:15" ht="16.5" customHeight="1" x14ac:dyDescent="0.3">
      <c r="A36" s="190"/>
      <c r="B36" s="224"/>
      <c r="C36" s="122" t="s">
        <v>51</v>
      </c>
      <c r="D36" s="123">
        <f t="shared" si="2"/>
        <v>4.9400000000000004</v>
      </c>
      <c r="O36">
        <f t="shared" si="0"/>
        <v>35</v>
      </c>
    </row>
    <row r="37" spans="1:15" ht="16.5" customHeight="1" x14ac:dyDescent="0.3">
      <c r="A37" s="190"/>
      <c r="B37" s="224"/>
      <c r="C37" s="122" t="s">
        <v>52</v>
      </c>
      <c r="D37" s="123">
        <f t="shared" si="2"/>
        <v>6.1749999999999998</v>
      </c>
      <c r="O37">
        <f t="shared" si="0"/>
        <v>36</v>
      </c>
    </row>
    <row r="38" spans="1:15" ht="16.5" customHeight="1" x14ac:dyDescent="0.3">
      <c r="A38" s="190"/>
      <c r="B38" s="224"/>
      <c r="C38" s="124" t="s">
        <v>53</v>
      </c>
      <c r="D38" s="125">
        <f t="shared" si="2"/>
        <v>7.39</v>
      </c>
      <c r="O38">
        <f t="shared" si="0"/>
        <v>37</v>
      </c>
    </row>
    <row r="39" spans="1:15" ht="16.5" customHeight="1" x14ac:dyDescent="0.3">
      <c r="A39" s="190"/>
      <c r="B39" s="224" t="s">
        <v>18</v>
      </c>
      <c r="C39" s="120" t="s">
        <v>49</v>
      </c>
      <c r="D39" s="121">
        <f t="shared" si="2"/>
        <v>1.2914287999999996</v>
      </c>
      <c r="O39">
        <f t="shared" si="0"/>
        <v>38</v>
      </c>
    </row>
    <row r="40" spans="1:15" ht="16.5" customHeight="1" x14ac:dyDescent="0.3">
      <c r="A40" s="190"/>
      <c r="B40" s="224"/>
      <c r="C40" s="122" t="s">
        <v>50</v>
      </c>
      <c r="D40" s="123">
        <f t="shared" si="2"/>
        <v>2.0199607999999998</v>
      </c>
      <c r="O40">
        <f t="shared" si="0"/>
        <v>39</v>
      </c>
    </row>
    <row r="41" spans="1:15" ht="16.5" customHeight="1" x14ac:dyDescent="0.3">
      <c r="A41" s="190"/>
      <c r="B41" s="224"/>
      <c r="C41" s="122" t="s">
        <v>51</v>
      </c>
      <c r="D41" s="123">
        <f t="shared" si="2"/>
        <v>2.9139559999999998</v>
      </c>
      <c r="O41">
        <f t="shared" si="0"/>
        <v>40</v>
      </c>
    </row>
    <row r="42" spans="1:15" ht="16.5" customHeight="1" x14ac:dyDescent="0.3">
      <c r="A42" s="190"/>
      <c r="B42" s="224"/>
      <c r="C42" s="122" t="s">
        <v>52</v>
      </c>
      <c r="D42" s="123">
        <f t="shared" si="2"/>
        <v>3.6764449999999993</v>
      </c>
      <c r="O42">
        <f t="shared" si="0"/>
        <v>41</v>
      </c>
    </row>
    <row r="43" spans="1:15" ht="16.5" customHeight="1" x14ac:dyDescent="0.3">
      <c r="A43" s="190"/>
      <c r="B43" s="224"/>
      <c r="C43" s="124" t="s">
        <v>53</v>
      </c>
      <c r="D43" s="125">
        <f t="shared" si="2"/>
        <v>4.4265859999999995</v>
      </c>
      <c r="O43">
        <f t="shared" si="0"/>
        <v>42</v>
      </c>
    </row>
    <row r="44" spans="1:15" ht="16.5" customHeight="1" x14ac:dyDescent="0.3">
      <c r="A44" s="190"/>
      <c r="B44" s="224" t="s">
        <v>57</v>
      </c>
      <c r="C44" s="120" t="s">
        <v>49</v>
      </c>
      <c r="D44" s="121">
        <f t="shared" si="2"/>
        <v>0.99909999999999999</v>
      </c>
      <c r="O44">
        <f t="shared" si="0"/>
        <v>43</v>
      </c>
    </row>
    <row r="45" spans="1:15" ht="16.5" customHeight="1" x14ac:dyDescent="0.3">
      <c r="A45" s="190"/>
      <c r="B45" s="224"/>
      <c r="C45" s="122" t="s">
        <v>50</v>
      </c>
      <c r="D45" s="123">
        <f t="shared" si="2"/>
        <v>0.999</v>
      </c>
      <c r="O45">
        <f t="shared" si="0"/>
        <v>44</v>
      </c>
    </row>
    <row r="46" spans="1:15" ht="16.5" customHeight="1" x14ac:dyDescent="0.3">
      <c r="A46" s="190"/>
      <c r="B46" s="224"/>
      <c r="C46" s="122" t="s">
        <v>51</v>
      </c>
      <c r="D46" s="123">
        <f t="shared" si="2"/>
        <v>0.99839999999999995</v>
      </c>
      <c r="O46">
        <f t="shared" si="0"/>
        <v>45</v>
      </c>
    </row>
    <row r="47" spans="1:15" ht="16.5" customHeight="1" x14ac:dyDescent="0.3">
      <c r="A47" s="190"/>
      <c r="B47" s="224"/>
      <c r="C47" s="122" t="s">
        <v>52</v>
      </c>
      <c r="D47" s="123">
        <f t="shared" si="2"/>
        <v>0.99439999999999995</v>
      </c>
      <c r="O47">
        <f t="shared" si="0"/>
        <v>46</v>
      </c>
    </row>
    <row r="48" spans="1:15" ht="16.5" customHeight="1" x14ac:dyDescent="0.3">
      <c r="A48" s="190"/>
      <c r="B48" s="224"/>
      <c r="C48" s="124" t="s">
        <v>53</v>
      </c>
      <c r="D48" s="125">
        <f t="shared" si="2"/>
        <v>0.97499999999999998</v>
      </c>
      <c r="O48">
        <f t="shared" si="0"/>
        <v>47</v>
      </c>
    </row>
    <row r="49" spans="1:15" ht="16.5" customHeight="1" x14ac:dyDescent="0.3">
      <c r="A49" s="190"/>
      <c r="B49" s="224" t="s">
        <v>91</v>
      </c>
      <c r="C49" s="120" t="s">
        <v>49</v>
      </c>
      <c r="D49" s="121">
        <f t="shared" si="2"/>
        <v>2.2999999999999998</v>
      </c>
      <c r="O49">
        <f t="shared" si="0"/>
        <v>48</v>
      </c>
    </row>
    <row r="50" spans="1:15" ht="16.5" customHeight="1" x14ac:dyDescent="0.3">
      <c r="A50" s="190"/>
      <c r="B50" s="224"/>
      <c r="C50" s="122" t="s">
        <v>50</v>
      </c>
      <c r="D50" s="123">
        <f t="shared" si="2"/>
        <v>3.6</v>
      </c>
      <c r="O50">
        <f t="shared" si="0"/>
        <v>49</v>
      </c>
    </row>
    <row r="51" spans="1:15" ht="16.5" customHeight="1" x14ac:dyDescent="0.3">
      <c r="A51" s="190"/>
      <c r="B51" s="224"/>
      <c r="C51" s="122" t="s">
        <v>51</v>
      </c>
      <c r="D51" s="123">
        <f t="shared" si="2"/>
        <v>5</v>
      </c>
      <c r="O51">
        <f t="shared" si="0"/>
        <v>50</v>
      </c>
    </row>
    <row r="52" spans="1:15" ht="16.5" customHeight="1" x14ac:dyDescent="0.3">
      <c r="A52" s="190"/>
      <c r="B52" s="224"/>
      <c r="C52" s="122" t="s">
        <v>52</v>
      </c>
      <c r="D52" s="123">
        <f t="shared" si="2"/>
        <v>6.3</v>
      </c>
      <c r="O52">
        <f t="shared" si="0"/>
        <v>51</v>
      </c>
    </row>
    <row r="53" spans="1:15" ht="16.5" customHeight="1" x14ac:dyDescent="0.3">
      <c r="A53" s="190"/>
      <c r="B53" s="224"/>
      <c r="C53" s="124" t="s">
        <v>53</v>
      </c>
      <c r="D53" s="125">
        <f t="shared" si="2"/>
        <v>7.6</v>
      </c>
      <c r="O53">
        <f t="shared" si="0"/>
        <v>52</v>
      </c>
    </row>
    <row r="54" spans="1:15" ht="16.5" customHeight="1" x14ac:dyDescent="0.3">
      <c r="A54" s="190"/>
      <c r="B54" s="224" t="s">
        <v>78</v>
      </c>
      <c r="C54" s="120" t="s">
        <v>49</v>
      </c>
      <c r="D54" s="121">
        <f t="shared" si="2"/>
        <v>2</v>
      </c>
      <c r="O54">
        <f t="shared" si="0"/>
        <v>53</v>
      </c>
    </row>
    <row r="55" spans="1:15" ht="16.5" customHeight="1" x14ac:dyDescent="0.3">
      <c r="A55" s="190"/>
      <c r="B55" s="224"/>
      <c r="C55" s="122" t="s">
        <v>50</v>
      </c>
      <c r="D55" s="123">
        <f t="shared" si="2"/>
        <v>3</v>
      </c>
      <c r="O55">
        <f t="shared" si="0"/>
        <v>54</v>
      </c>
    </row>
    <row r="56" spans="1:15" ht="16.5" customHeight="1" x14ac:dyDescent="0.3">
      <c r="A56" s="190"/>
      <c r="B56" s="224"/>
      <c r="C56" s="122" t="s">
        <v>51</v>
      </c>
      <c r="D56" s="123">
        <f t="shared" si="2"/>
        <v>4.3</v>
      </c>
      <c r="O56">
        <f t="shared" si="0"/>
        <v>55</v>
      </c>
    </row>
    <row r="57" spans="1:15" x14ac:dyDescent="0.3">
      <c r="A57" s="190"/>
      <c r="B57" s="224"/>
      <c r="C57" s="122" t="s">
        <v>52</v>
      </c>
      <c r="D57" s="123">
        <f t="shared" si="2"/>
        <v>5.4</v>
      </c>
      <c r="O57">
        <f t="shared" si="0"/>
        <v>56</v>
      </c>
    </row>
    <row r="58" spans="1:15" x14ac:dyDescent="0.3">
      <c r="A58" s="190"/>
      <c r="B58" s="224"/>
      <c r="C58" s="124" t="s">
        <v>53</v>
      </c>
      <c r="D58" s="125">
        <f t="shared" si="2"/>
        <v>6.4</v>
      </c>
      <c r="O58">
        <f t="shared" si="0"/>
        <v>57</v>
      </c>
    </row>
    <row r="59" spans="1:15" x14ac:dyDescent="0.3">
      <c r="A59" s="190"/>
      <c r="B59" s="224" t="s">
        <v>92</v>
      </c>
      <c r="C59" s="120" t="s">
        <v>49</v>
      </c>
      <c r="D59" s="121">
        <f t="shared" si="2"/>
        <v>1.8</v>
      </c>
      <c r="O59">
        <f t="shared" si="0"/>
        <v>58</v>
      </c>
    </row>
    <row r="60" spans="1:15" x14ac:dyDescent="0.3">
      <c r="A60" s="190"/>
      <c r="B60" s="224"/>
      <c r="C60" s="122" t="s">
        <v>50</v>
      </c>
      <c r="D60" s="123">
        <f t="shared" si="2"/>
        <v>2.8</v>
      </c>
      <c r="O60">
        <f t="shared" si="0"/>
        <v>59</v>
      </c>
    </row>
    <row r="61" spans="1:15" x14ac:dyDescent="0.3">
      <c r="A61" s="190"/>
      <c r="B61" s="224"/>
      <c r="C61" s="122" t="s">
        <v>51</v>
      </c>
      <c r="D61" s="123">
        <f t="shared" si="2"/>
        <v>3.9</v>
      </c>
      <c r="O61">
        <f t="shared" si="0"/>
        <v>60</v>
      </c>
    </row>
    <row r="62" spans="1:15" x14ac:dyDescent="0.3">
      <c r="A62" s="190"/>
      <c r="B62" s="224"/>
      <c r="C62" s="122" t="s">
        <v>52</v>
      </c>
      <c r="D62" s="123">
        <f t="shared" ref="D62:D92" si="3">INDEX(MachineData,MATCH(SelectedMachine,Machines,0),O46)</f>
        <v>4.9000000000000004</v>
      </c>
      <c r="O62">
        <f t="shared" si="0"/>
        <v>61</v>
      </c>
    </row>
    <row r="63" spans="1:15" x14ac:dyDescent="0.3">
      <c r="A63" s="190"/>
      <c r="B63" s="224"/>
      <c r="C63" s="124" t="s">
        <v>53</v>
      </c>
      <c r="D63" s="125">
        <f t="shared" si="3"/>
        <v>5.7</v>
      </c>
      <c r="O63">
        <f t="shared" si="0"/>
        <v>62</v>
      </c>
    </row>
    <row r="64" spans="1:15" x14ac:dyDescent="0.3">
      <c r="A64" s="190"/>
      <c r="B64" s="224" t="s">
        <v>98</v>
      </c>
      <c r="C64" s="120" t="s">
        <v>49</v>
      </c>
      <c r="D64" s="121">
        <f t="shared" si="3"/>
        <v>0.9</v>
      </c>
      <c r="O64">
        <f t="shared" si="0"/>
        <v>63</v>
      </c>
    </row>
    <row r="65" spans="1:15" x14ac:dyDescent="0.3">
      <c r="A65" s="190"/>
      <c r="B65" s="224"/>
      <c r="C65" s="122" t="s">
        <v>50</v>
      </c>
      <c r="D65" s="123">
        <f t="shared" si="3"/>
        <v>0.9</v>
      </c>
      <c r="O65">
        <f t="shared" si="0"/>
        <v>64</v>
      </c>
    </row>
    <row r="66" spans="1:15" x14ac:dyDescent="0.3">
      <c r="A66" s="190"/>
      <c r="B66" s="224"/>
      <c r="C66" s="128" t="s">
        <v>51</v>
      </c>
      <c r="D66" s="123">
        <f t="shared" si="3"/>
        <v>0.85000000000000009</v>
      </c>
      <c r="O66">
        <f t="shared" si="0"/>
        <v>65</v>
      </c>
    </row>
    <row r="67" spans="1:15" x14ac:dyDescent="0.3">
      <c r="A67" s="190"/>
      <c r="B67" s="224"/>
      <c r="C67" s="122" t="s">
        <v>52</v>
      </c>
      <c r="D67" s="123">
        <f t="shared" si="3"/>
        <v>0.84000000000000008</v>
      </c>
      <c r="O67">
        <f t="shared" si="0"/>
        <v>66</v>
      </c>
    </row>
    <row r="68" spans="1:15" x14ac:dyDescent="0.3">
      <c r="A68" s="190"/>
      <c r="B68" s="224"/>
      <c r="C68" s="124" t="s">
        <v>53</v>
      </c>
      <c r="D68" s="125">
        <f t="shared" si="3"/>
        <v>0.82857142857142863</v>
      </c>
      <c r="O68">
        <f t="shared" ref="O68:O76" si="4">O67+1</f>
        <v>67</v>
      </c>
    </row>
    <row r="69" spans="1:15" x14ac:dyDescent="0.3">
      <c r="A69" s="190"/>
      <c r="B69" s="224" t="s">
        <v>99</v>
      </c>
      <c r="C69" s="120" t="s">
        <v>49</v>
      </c>
      <c r="D69" s="121">
        <f t="shared" si="3"/>
        <v>0.59999999999999976</v>
      </c>
      <c r="O69">
        <f t="shared" si="4"/>
        <v>68</v>
      </c>
    </row>
    <row r="70" spans="1:15" x14ac:dyDescent="0.3">
      <c r="A70" s="190"/>
      <c r="B70" s="224"/>
      <c r="C70" s="122" t="s">
        <v>50</v>
      </c>
      <c r="D70" s="123">
        <f t="shared" si="3"/>
        <v>0.7</v>
      </c>
      <c r="O70">
        <f t="shared" si="4"/>
        <v>69</v>
      </c>
    </row>
    <row r="71" spans="1:15" x14ac:dyDescent="0.3">
      <c r="A71" s="190"/>
      <c r="B71" s="224"/>
      <c r="C71" s="128" t="s">
        <v>51</v>
      </c>
      <c r="D71" s="123">
        <f t="shared" si="3"/>
        <v>0.7142857142857143</v>
      </c>
      <c r="O71">
        <f t="shared" si="4"/>
        <v>70</v>
      </c>
    </row>
    <row r="72" spans="1:15" x14ac:dyDescent="0.3">
      <c r="A72" s="190"/>
      <c r="B72" s="224"/>
      <c r="C72" s="122" t="s">
        <v>52</v>
      </c>
      <c r="D72" s="123">
        <f t="shared" si="3"/>
        <v>0.73333333333333328</v>
      </c>
      <c r="O72">
        <f t="shared" si="4"/>
        <v>71</v>
      </c>
    </row>
    <row r="73" spans="1:15" x14ac:dyDescent="0.3">
      <c r="A73" s="190"/>
      <c r="B73" s="224"/>
      <c r="C73" s="124" t="s">
        <v>53</v>
      </c>
      <c r="D73" s="125">
        <f t="shared" si="3"/>
        <v>0.75</v>
      </c>
      <c r="O73">
        <f t="shared" si="4"/>
        <v>72</v>
      </c>
    </row>
    <row r="74" spans="1:15" x14ac:dyDescent="0.3">
      <c r="A74" s="192" t="s">
        <v>97</v>
      </c>
      <c r="B74" s="224" t="s">
        <v>88</v>
      </c>
      <c r="C74" s="120" t="s">
        <v>49</v>
      </c>
      <c r="D74" s="121">
        <f t="shared" si="3"/>
        <v>1</v>
      </c>
      <c r="O74">
        <f t="shared" si="4"/>
        <v>73</v>
      </c>
    </row>
    <row r="75" spans="1:15" x14ac:dyDescent="0.3">
      <c r="A75" s="193"/>
      <c r="B75" s="224"/>
      <c r="C75" s="122" t="s">
        <v>50</v>
      </c>
      <c r="D75" s="123">
        <f t="shared" si="3"/>
        <v>1</v>
      </c>
      <c r="O75">
        <f t="shared" si="4"/>
        <v>74</v>
      </c>
    </row>
    <row r="76" spans="1:15" x14ac:dyDescent="0.3">
      <c r="A76" s="193"/>
      <c r="B76" s="224"/>
      <c r="C76" s="122" t="s">
        <v>51</v>
      </c>
      <c r="D76" s="123">
        <f t="shared" si="3"/>
        <v>1</v>
      </c>
      <c r="O76">
        <f t="shared" si="4"/>
        <v>75</v>
      </c>
    </row>
    <row r="77" spans="1:15" x14ac:dyDescent="0.3">
      <c r="A77" s="193"/>
      <c r="B77" s="224"/>
      <c r="C77" s="122" t="s">
        <v>52</v>
      </c>
      <c r="D77" s="123">
        <f t="shared" si="3"/>
        <v>1</v>
      </c>
    </row>
    <row r="78" spans="1:15" x14ac:dyDescent="0.3">
      <c r="A78" s="193"/>
      <c r="B78" s="224"/>
      <c r="C78" s="124" t="s">
        <v>53</v>
      </c>
      <c r="D78" s="125">
        <f t="shared" si="3"/>
        <v>1</v>
      </c>
    </row>
    <row r="79" spans="1:15" x14ac:dyDescent="0.3">
      <c r="A79" s="193"/>
      <c r="B79" s="224" t="s">
        <v>4</v>
      </c>
      <c r="C79" s="120" t="s">
        <v>48</v>
      </c>
      <c r="D79" s="121">
        <f t="shared" si="3"/>
        <v>1.0035872546950833</v>
      </c>
    </row>
    <row r="80" spans="1:15" x14ac:dyDescent="0.3">
      <c r="A80" s="193"/>
      <c r="B80" s="224"/>
      <c r="C80" s="122" t="s">
        <v>47</v>
      </c>
      <c r="D80" s="123">
        <f t="shared" si="3"/>
        <v>1.006504406210659</v>
      </c>
    </row>
    <row r="81" spans="1:4" x14ac:dyDescent="0.3">
      <c r="A81" s="193"/>
      <c r="B81" s="224"/>
      <c r="C81" s="122" t="s">
        <v>49</v>
      </c>
      <c r="D81" s="123">
        <f t="shared" si="3"/>
        <v>1.0138403333173698</v>
      </c>
    </row>
    <row r="82" spans="1:4" x14ac:dyDescent="0.3">
      <c r="A82" s="193"/>
      <c r="B82" s="224"/>
      <c r="C82" s="129" t="s">
        <v>50</v>
      </c>
      <c r="D82" s="123">
        <f t="shared" si="3"/>
        <v>1.015130023640662</v>
      </c>
    </row>
    <row r="83" spans="1:4" x14ac:dyDescent="0.3">
      <c r="A83" s="193"/>
      <c r="B83" s="224"/>
      <c r="C83" s="122" t="s">
        <v>51</v>
      </c>
      <c r="D83" s="123">
        <f t="shared" si="3"/>
        <v>1.0134149211579193</v>
      </c>
    </row>
    <row r="84" spans="1:4" x14ac:dyDescent="0.3">
      <c r="A84" s="193"/>
      <c r="B84" s="224"/>
      <c r="C84" s="129" t="s">
        <v>52</v>
      </c>
      <c r="D84" s="123">
        <f t="shared" si="3"/>
        <v>1.0149494020239191</v>
      </c>
    </row>
    <row r="85" spans="1:4" x14ac:dyDescent="0.3">
      <c r="A85" s="193"/>
      <c r="B85" s="224"/>
      <c r="C85" s="124" t="s">
        <v>53</v>
      </c>
      <c r="D85" s="125">
        <f t="shared" si="3"/>
        <v>1.0144637294170005</v>
      </c>
    </row>
    <row r="86" spans="1:4" x14ac:dyDescent="0.3">
      <c r="A86" s="193"/>
      <c r="B86" s="224" t="s">
        <v>14</v>
      </c>
      <c r="C86" s="120" t="s">
        <v>48</v>
      </c>
      <c r="D86" s="121">
        <f t="shared" si="3"/>
        <v>1.0003767897513187</v>
      </c>
    </row>
    <row r="87" spans="1:4" x14ac:dyDescent="0.3">
      <c r="A87" s="193"/>
      <c r="B87" s="224"/>
      <c r="C87" s="122" t="s">
        <v>47</v>
      </c>
      <c r="D87" s="123">
        <f t="shared" si="3"/>
        <v>1.0004970178926442</v>
      </c>
    </row>
    <row r="88" spans="1:4" x14ac:dyDescent="0.3">
      <c r="A88" s="193"/>
      <c r="B88" s="224"/>
      <c r="C88" s="122" t="s">
        <v>49</v>
      </c>
      <c r="D88" s="123">
        <f t="shared" si="3"/>
        <v>0.99941900999302802</v>
      </c>
    </row>
    <row r="89" spans="1:4" x14ac:dyDescent="0.3">
      <c r="A89" s="193"/>
      <c r="B89" s="224"/>
      <c r="C89" s="122" t="s">
        <v>50</v>
      </c>
      <c r="D89" s="123">
        <f t="shared" si="3"/>
        <v>1.0001147842056932</v>
      </c>
    </row>
    <row r="90" spans="1:4" x14ac:dyDescent="0.3">
      <c r="A90" s="193"/>
      <c r="B90" s="224"/>
      <c r="C90" s="122" t="s">
        <v>51</v>
      </c>
      <c r="D90" s="123">
        <f t="shared" si="3"/>
        <v>1.0003368515607456</v>
      </c>
    </row>
    <row r="91" spans="1:4" x14ac:dyDescent="0.3">
      <c r="A91" s="193"/>
      <c r="B91" s="224"/>
      <c r="C91" s="122" t="s">
        <v>52</v>
      </c>
      <c r="D91" s="123">
        <f t="shared" si="3"/>
        <v>0.99988786723480594</v>
      </c>
    </row>
    <row r="92" spans="1:4" x14ac:dyDescent="0.3">
      <c r="A92" s="193"/>
      <c r="B92" s="224"/>
      <c r="C92" s="124" t="s">
        <v>53</v>
      </c>
      <c r="D92" s="125">
        <f t="shared" si="3"/>
        <v>1.000225937641211</v>
      </c>
    </row>
    <row r="93" spans="1:4" x14ac:dyDescent="0.3">
      <c r="A93" s="213" t="s">
        <v>73</v>
      </c>
      <c r="B93" s="214"/>
      <c r="C93" s="215"/>
      <c r="D93" s="130" t="b">
        <f>INDEX(MachineData,MATCH(SelectedMachine,Machines,0),76)</f>
        <v>1</v>
      </c>
    </row>
  </sheetData>
  <mergeCells count="28">
    <mergeCell ref="A34:A73"/>
    <mergeCell ref="B49:B53"/>
    <mergeCell ref="B54:B58"/>
    <mergeCell ref="B59:B63"/>
    <mergeCell ref="B64:B68"/>
    <mergeCell ref="B69:B73"/>
    <mergeCell ref="B74:B78"/>
    <mergeCell ref="B79:B85"/>
    <mergeCell ref="B86:B92"/>
    <mergeCell ref="B34:B38"/>
    <mergeCell ref="B39:B43"/>
    <mergeCell ref="B44:B48"/>
    <mergeCell ref="B15:C15"/>
    <mergeCell ref="A93:C93"/>
    <mergeCell ref="A2:A3"/>
    <mergeCell ref="A7:A11"/>
    <mergeCell ref="A1:C1"/>
    <mergeCell ref="A13:C13"/>
    <mergeCell ref="B14:C14"/>
    <mergeCell ref="A17:A24"/>
    <mergeCell ref="B18:B24"/>
    <mergeCell ref="A25:A33"/>
    <mergeCell ref="B25:B26"/>
    <mergeCell ref="B27:B28"/>
    <mergeCell ref="B29:B30"/>
    <mergeCell ref="B32:B33"/>
    <mergeCell ref="B17:C17"/>
    <mergeCell ref="A74:A92"/>
  </mergeCells>
  <pageMargins left="0.7" right="0.7" top="0.75" bottom="0.75" header="0.3" footer="0.3"/>
  <pageSetup orientation="portrait" verticalDpi="4"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9" tint="0.79998168889431442"/>
  </sheetPr>
  <dimension ref="A1:R88"/>
  <sheetViews>
    <sheetView zoomScale="87" zoomScaleNormal="87" workbookViewId="0">
      <selection activeCell="I40" sqref="I40"/>
    </sheetView>
  </sheetViews>
  <sheetFormatPr defaultRowHeight="16.5" x14ac:dyDescent="0.3"/>
  <cols>
    <col min="1" max="1" width="3" customWidth="1"/>
    <col min="2" max="3" width="11.625" customWidth="1"/>
    <col min="4" max="4" width="5.625" customWidth="1"/>
    <col min="5" max="5" width="18.625" customWidth="1"/>
    <col min="6" max="6" width="23.25" customWidth="1"/>
    <col min="7" max="7" width="17.5" customWidth="1"/>
    <col min="8" max="8" width="6.125" customWidth="1"/>
    <col min="9" max="9" width="7.125" customWidth="1"/>
    <col min="10" max="10" width="5.125" customWidth="1"/>
    <col min="11" max="11" width="9.75" customWidth="1"/>
    <col min="12" max="12" width="6" customWidth="1"/>
    <col min="13" max="13" width="6.625" customWidth="1"/>
    <col min="14" max="15" width="9.75" customWidth="1"/>
    <col min="16" max="16" width="17.75" customWidth="1"/>
    <col min="17" max="18" width="5" customWidth="1"/>
    <col min="19" max="19" width="17" customWidth="1"/>
    <col min="20" max="20" width="18.125" customWidth="1"/>
  </cols>
  <sheetData>
    <row r="1" spans="1:18" x14ac:dyDescent="0.3">
      <c r="A1" s="229" t="s">
        <v>161</v>
      </c>
      <c r="B1" s="230"/>
      <c r="C1" s="230"/>
      <c r="D1" s="230"/>
      <c r="E1" s="230"/>
      <c r="F1" s="230"/>
      <c r="G1" s="230"/>
      <c r="H1" s="230"/>
      <c r="I1" s="230"/>
      <c r="J1" s="230"/>
      <c r="K1" s="230"/>
      <c r="L1" s="230"/>
      <c r="M1" s="230"/>
      <c r="N1" s="230"/>
      <c r="O1" s="230"/>
      <c r="P1" s="230"/>
      <c r="Q1" s="230"/>
      <c r="R1" s="231"/>
    </row>
    <row r="2" spans="1:18" ht="17.25" thickBot="1" x14ac:dyDescent="0.35">
      <c r="A2" s="232"/>
      <c r="B2" s="233"/>
      <c r="C2" s="233"/>
      <c r="D2" s="233"/>
      <c r="E2" s="233"/>
      <c r="F2" s="233"/>
      <c r="G2" s="233"/>
      <c r="H2" s="233"/>
      <c r="I2" s="233"/>
      <c r="J2" s="233"/>
      <c r="K2" s="233"/>
      <c r="L2" s="233"/>
      <c r="M2" s="233"/>
      <c r="N2" s="233"/>
      <c r="O2" s="233"/>
      <c r="P2" s="233"/>
      <c r="Q2" s="233"/>
      <c r="R2" s="234"/>
    </row>
    <row r="3" spans="1:18" ht="28.5" x14ac:dyDescent="0.4">
      <c r="E3" s="98" t="s">
        <v>139</v>
      </c>
      <c r="F3" s="99" t="s">
        <v>140</v>
      </c>
      <c r="H3" s="228" t="s">
        <v>147</v>
      </c>
      <c r="I3" s="228"/>
      <c r="J3" s="228"/>
      <c r="K3" s="228"/>
      <c r="L3" s="228"/>
      <c r="M3" s="228"/>
      <c r="N3" s="228"/>
      <c r="O3" s="228"/>
      <c r="P3" s="228"/>
      <c r="Q3" s="228"/>
      <c r="R3" s="228"/>
    </row>
    <row r="4" spans="1:18" ht="26.25" thickBot="1" x14ac:dyDescent="0.4">
      <c r="D4" s="102" t="s">
        <v>143</v>
      </c>
      <c r="E4" s="100">
        <f>N13*24.94-3.38</f>
        <v>754.29719999999998</v>
      </c>
      <c r="F4" s="100">
        <f>N13*25.04-2.18</f>
        <v>758.53520000000003</v>
      </c>
      <c r="H4" s="228"/>
      <c r="I4" s="228"/>
      <c r="J4" s="228"/>
      <c r="K4" s="228"/>
      <c r="L4" s="228"/>
      <c r="M4" s="228"/>
      <c r="N4" s="228"/>
      <c r="O4" s="228"/>
      <c r="P4" s="228"/>
      <c r="Q4" s="228"/>
      <c r="R4" s="228"/>
    </row>
    <row r="5" spans="1:18" ht="30.75" thickTop="1" thickBot="1" x14ac:dyDescent="0.4">
      <c r="D5" s="103" t="s">
        <v>142</v>
      </c>
      <c r="E5" s="104">
        <f>(E4-P)/P</f>
        <v>9.5454003102409451E-6</v>
      </c>
      <c r="F5" s="104">
        <f>(F4-P)/P</f>
        <v>5.6280740829124983E-3</v>
      </c>
      <c r="H5" s="228"/>
      <c r="I5" s="228"/>
      <c r="J5" s="228"/>
      <c r="K5" s="228"/>
      <c r="L5" s="228"/>
      <c r="M5" s="228"/>
      <c r="N5" s="228"/>
      <c r="O5" s="228"/>
      <c r="P5" s="228"/>
      <c r="Q5" s="228"/>
      <c r="R5" s="228"/>
    </row>
    <row r="6" spans="1:18" ht="17.25" thickTop="1" x14ac:dyDescent="0.3"/>
    <row r="8" spans="1:18" ht="18" x14ac:dyDescent="0.3">
      <c r="A8" s="227" t="s">
        <v>141</v>
      </c>
      <c r="B8" s="227"/>
      <c r="C8" s="227"/>
      <c r="D8" s="227"/>
      <c r="E8" s="227"/>
      <c r="F8" s="227"/>
      <c r="G8" s="227"/>
      <c r="H8" s="227"/>
      <c r="I8" s="227"/>
      <c r="J8" s="227"/>
      <c r="K8" s="227"/>
      <c r="L8" s="227"/>
      <c r="M8" s="227"/>
      <c r="N8" s="227"/>
      <c r="O8" s="227"/>
      <c r="P8" s="227"/>
      <c r="Q8" s="227"/>
      <c r="R8" s="227"/>
    </row>
    <row r="9" spans="1:18" x14ac:dyDescent="0.3">
      <c r="A9" s="109" t="s">
        <v>100</v>
      </c>
      <c r="B9" s="109" t="s">
        <v>104</v>
      </c>
      <c r="C9" s="109" t="s">
        <v>105</v>
      </c>
      <c r="D9" s="109" t="s">
        <v>107</v>
      </c>
      <c r="E9" s="109" t="s">
        <v>109</v>
      </c>
      <c r="F9" s="109" t="s">
        <v>110</v>
      </c>
      <c r="G9" s="109" t="s">
        <v>111</v>
      </c>
      <c r="H9" s="109"/>
      <c r="I9" s="109"/>
      <c r="J9" s="109"/>
      <c r="K9" s="109" t="s">
        <v>112</v>
      </c>
      <c r="L9" s="109" t="s">
        <v>105</v>
      </c>
      <c r="M9" s="109" t="s">
        <v>116</v>
      </c>
      <c r="N9" s="109" t="s">
        <v>29</v>
      </c>
      <c r="O9" s="109"/>
      <c r="P9" s="109" t="s">
        <v>118</v>
      </c>
      <c r="Q9" s="109"/>
      <c r="R9" s="109"/>
    </row>
    <row r="10" spans="1:18" x14ac:dyDescent="0.3">
      <c r="A10" s="115" t="s">
        <v>101</v>
      </c>
      <c r="B10" s="115" t="s">
        <v>165</v>
      </c>
      <c r="C10" s="115" t="s">
        <v>106</v>
      </c>
      <c r="D10" s="115" t="s">
        <v>108</v>
      </c>
      <c r="E10" s="115"/>
      <c r="F10" s="115"/>
      <c r="G10" s="115"/>
      <c r="H10" s="115"/>
      <c r="I10" s="115"/>
      <c r="J10" s="115"/>
      <c r="K10" s="115" t="s">
        <v>113</v>
      </c>
      <c r="L10" s="115" t="s">
        <v>114</v>
      </c>
      <c r="M10" s="115" t="s">
        <v>117</v>
      </c>
      <c r="N10" s="115"/>
      <c r="O10" s="115"/>
      <c r="P10" s="115"/>
      <c r="Q10" s="115"/>
      <c r="R10" s="115"/>
    </row>
    <row r="11" spans="1:18" x14ac:dyDescent="0.3">
      <c r="A11" s="115" t="s">
        <v>102</v>
      </c>
      <c r="B11" s="115"/>
      <c r="C11" s="115"/>
      <c r="D11" s="115"/>
      <c r="E11" s="115"/>
      <c r="F11" s="115"/>
      <c r="G11" s="115" t="s">
        <v>119</v>
      </c>
      <c r="H11" s="115" t="s">
        <v>120</v>
      </c>
      <c r="I11" s="115" t="s">
        <v>121</v>
      </c>
      <c r="J11" s="115"/>
      <c r="K11" s="115"/>
      <c r="L11" s="115" t="s">
        <v>115</v>
      </c>
      <c r="M11" s="115" t="s">
        <v>115</v>
      </c>
      <c r="N11" s="115" t="s">
        <v>122</v>
      </c>
      <c r="O11" s="115" t="s">
        <v>124</v>
      </c>
      <c r="P11" s="115" t="s">
        <v>126</v>
      </c>
      <c r="Q11" s="115" t="s">
        <v>127</v>
      </c>
      <c r="R11" s="115" t="s">
        <v>128</v>
      </c>
    </row>
    <row r="12" spans="1:18" x14ac:dyDescent="0.3">
      <c r="A12" s="115" t="s">
        <v>103</v>
      </c>
      <c r="B12" s="115"/>
      <c r="C12" s="115"/>
      <c r="D12" s="115"/>
      <c r="E12" s="115"/>
      <c r="F12" s="115"/>
      <c r="G12" s="115"/>
      <c r="H12" s="115"/>
      <c r="I12" s="115" t="s">
        <v>129</v>
      </c>
      <c r="J12" s="115" t="s">
        <v>130</v>
      </c>
      <c r="K12" s="115"/>
      <c r="L12" s="115"/>
      <c r="M12" s="115"/>
      <c r="N12" s="115" t="s">
        <v>123</v>
      </c>
      <c r="O12" s="115" t="s">
        <v>125</v>
      </c>
      <c r="P12" s="115"/>
      <c r="Q12" s="115"/>
      <c r="R12" s="115"/>
    </row>
    <row r="13" spans="1:18" x14ac:dyDescent="0.3">
      <c r="A13" s="5">
        <v>16</v>
      </c>
      <c r="B13" s="101">
        <v>0.66180555555555554</v>
      </c>
      <c r="C13" s="5" t="s">
        <v>173</v>
      </c>
      <c r="D13" s="5">
        <v>10</v>
      </c>
      <c r="E13" s="5" t="s">
        <v>136</v>
      </c>
      <c r="F13" s="5" t="s">
        <v>174</v>
      </c>
      <c r="G13" s="5">
        <v>50</v>
      </c>
      <c r="H13" s="5">
        <v>10</v>
      </c>
      <c r="I13" s="5"/>
      <c r="J13" s="5"/>
      <c r="K13" s="108">
        <v>0.2</v>
      </c>
      <c r="L13" s="5">
        <v>47</v>
      </c>
      <c r="M13" s="5" t="s">
        <v>134</v>
      </c>
      <c r="N13" s="5">
        <v>30.38</v>
      </c>
      <c r="O13" s="5">
        <v>1028.9000000000001</v>
      </c>
      <c r="P13" s="5"/>
      <c r="Q13" s="5"/>
      <c r="R13" s="5"/>
    </row>
    <row r="14" spans="1:18" x14ac:dyDescent="0.3">
      <c r="A14" s="5">
        <v>16</v>
      </c>
      <c r="B14" s="101">
        <v>0.62013888888888891</v>
      </c>
      <c r="C14" s="5" t="s">
        <v>175</v>
      </c>
      <c r="D14" s="5">
        <v>10</v>
      </c>
      <c r="E14" s="5" t="s">
        <v>136</v>
      </c>
      <c r="F14" s="5" t="s">
        <v>174</v>
      </c>
      <c r="G14" s="5">
        <v>49</v>
      </c>
      <c r="H14" s="5">
        <v>10</v>
      </c>
      <c r="I14" s="5"/>
      <c r="J14" s="5"/>
      <c r="K14" s="108">
        <v>0.21</v>
      </c>
      <c r="L14" s="5">
        <v>47</v>
      </c>
      <c r="M14" s="5" t="s">
        <v>134</v>
      </c>
      <c r="N14" s="5">
        <v>30.39</v>
      </c>
      <c r="O14" s="5">
        <v>1029.2</v>
      </c>
      <c r="P14" s="5"/>
      <c r="Q14" s="5"/>
      <c r="R14" s="5"/>
    </row>
    <row r="15" spans="1:18" x14ac:dyDescent="0.3">
      <c r="A15" s="5">
        <v>16</v>
      </c>
      <c r="B15" s="101">
        <v>0.57847222222222217</v>
      </c>
      <c r="C15" s="5" t="s">
        <v>176</v>
      </c>
      <c r="D15" s="5">
        <v>10</v>
      </c>
      <c r="E15" s="5" t="s">
        <v>136</v>
      </c>
      <c r="F15" s="5" t="s">
        <v>177</v>
      </c>
      <c r="G15" s="5">
        <v>48</v>
      </c>
      <c r="H15" s="5">
        <v>13</v>
      </c>
      <c r="I15" s="5"/>
      <c r="J15" s="5"/>
      <c r="K15" s="108">
        <v>0.24</v>
      </c>
      <c r="L15" s="5">
        <v>45</v>
      </c>
      <c r="M15" s="5" t="s">
        <v>134</v>
      </c>
      <c r="N15" s="5">
        <v>30.42</v>
      </c>
      <c r="O15" s="5">
        <v>1030.3</v>
      </c>
      <c r="P15" s="5"/>
      <c r="Q15" s="5"/>
      <c r="R15" s="5"/>
    </row>
    <row r="16" spans="1:18" x14ac:dyDescent="0.3">
      <c r="A16" s="5">
        <v>16</v>
      </c>
      <c r="B16" s="101">
        <v>0.53680555555555554</v>
      </c>
      <c r="C16" s="5" t="s">
        <v>176</v>
      </c>
      <c r="D16" s="5">
        <v>10</v>
      </c>
      <c r="E16" s="5" t="s">
        <v>136</v>
      </c>
      <c r="F16" s="5" t="s">
        <v>174</v>
      </c>
      <c r="G16" s="5">
        <v>45</v>
      </c>
      <c r="H16" s="5">
        <v>14</v>
      </c>
      <c r="I16" s="5">
        <v>45</v>
      </c>
      <c r="J16" s="5">
        <v>30</v>
      </c>
      <c r="K16" s="108">
        <v>0.28999999999999998</v>
      </c>
      <c r="L16" s="5">
        <v>42</v>
      </c>
      <c r="M16" s="5" t="s">
        <v>134</v>
      </c>
      <c r="N16" s="5">
        <v>30.45</v>
      </c>
      <c r="O16" s="5">
        <v>1031.5</v>
      </c>
      <c r="P16" s="5"/>
      <c r="Q16" s="5"/>
      <c r="R16" s="5"/>
    </row>
    <row r="17" spans="1:18" x14ac:dyDescent="0.3">
      <c r="A17" s="5">
        <v>16</v>
      </c>
      <c r="B17" s="101">
        <v>0.49513888888888885</v>
      </c>
      <c r="C17" s="5" t="s">
        <v>170</v>
      </c>
      <c r="D17" s="5">
        <v>10</v>
      </c>
      <c r="E17" s="5" t="s">
        <v>178</v>
      </c>
      <c r="F17" s="5" t="s">
        <v>179</v>
      </c>
      <c r="G17" s="5">
        <v>42</v>
      </c>
      <c r="H17" s="5">
        <v>14</v>
      </c>
      <c r="I17" s="5"/>
      <c r="J17" s="5"/>
      <c r="K17" s="108">
        <v>0.32</v>
      </c>
      <c r="L17" s="5" t="s">
        <v>134</v>
      </c>
      <c r="M17" s="5" t="s">
        <v>134</v>
      </c>
      <c r="N17" s="5">
        <v>30.47</v>
      </c>
      <c r="O17" s="5">
        <v>1032</v>
      </c>
      <c r="P17" s="5"/>
      <c r="Q17" s="5"/>
      <c r="R17" s="5"/>
    </row>
    <row r="18" spans="1:18" x14ac:dyDescent="0.3">
      <c r="A18" s="5">
        <v>16</v>
      </c>
      <c r="B18" s="101">
        <v>0.45347222222222222</v>
      </c>
      <c r="C18" s="5" t="s">
        <v>171</v>
      </c>
      <c r="D18" s="5">
        <v>10</v>
      </c>
      <c r="E18" s="5" t="s">
        <v>178</v>
      </c>
      <c r="F18" s="5" t="s">
        <v>179</v>
      </c>
      <c r="G18" s="5">
        <v>39</v>
      </c>
      <c r="H18" s="5">
        <v>14</v>
      </c>
      <c r="I18" s="5"/>
      <c r="J18" s="5"/>
      <c r="K18" s="108">
        <v>0.36</v>
      </c>
      <c r="L18" s="5">
        <v>35</v>
      </c>
      <c r="M18" s="5" t="s">
        <v>134</v>
      </c>
      <c r="N18" s="5">
        <v>30.48</v>
      </c>
      <c r="O18" s="5">
        <v>1032.4000000000001</v>
      </c>
      <c r="P18" s="5"/>
      <c r="Q18" s="5"/>
      <c r="R18" s="5"/>
    </row>
    <row r="19" spans="1:18" x14ac:dyDescent="0.3">
      <c r="A19" s="5">
        <v>16</v>
      </c>
      <c r="B19" s="101">
        <v>0.41180555555555554</v>
      </c>
      <c r="C19" s="5" t="s">
        <v>166</v>
      </c>
      <c r="D19" s="5">
        <v>10</v>
      </c>
      <c r="E19" s="5" t="s">
        <v>178</v>
      </c>
      <c r="F19" s="5" t="s">
        <v>180</v>
      </c>
      <c r="G19" s="5">
        <v>37</v>
      </c>
      <c r="H19" s="5">
        <v>15</v>
      </c>
      <c r="I19" s="5"/>
      <c r="J19" s="5"/>
      <c r="K19" s="108">
        <v>0.41</v>
      </c>
      <c r="L19" s="5">
        <v>32</v>
      </c>
      <c r="M19" s="5" t="s">
        <v>134</v>
      </c>
      <c r="N19" s="5">
        <v>30.47</v>
      </c>
      <c r="O19" s="5">
        <v>1032.2</v>
      </c>
      <c r="P19" s="5"/>
      <c r="Q19" s="5"/>
      <c r="R19" s="5"/>
    </row>
    <row r="20" spans="1:18" x14ac:dyDescent="0.3">
      <c r="A20" s="5">
        <v>16</v>
      </c>
      <c r="B20" s="101">
        <v>0.37013888888888885</v>
      </c>
      <c r="C20" s="5" t="s">
        <v>169</v>
      </c>
      <c r="D20" s="5">
        <v>10</v>
      </c>
      <c r="E20" s="5" t="s">
        <v>178</v>
      </c>
      <c r="F20" s="5" t="s">
        <v>180</v>
      </c>
      <c r="G20" s="5">
        <v>35</v>
      </c>
      <c r="H20" s="5">
        <v>14</v>
      </c>
      <c r="I20" s="5"/>
      <c r="J20" s="5"/>
      <c r="K20" s="108">
        <v>0.42</v>
      </c>
      <c r="L20" s="5">
        <v>30</v>
      </c>
      <c r="M20" s="5" t="s">
        <v>134</v>
      </c>
      <c r="N20" s="5">
        <v>30.46</v>
      </c>
      <c r="O20" s="5">
        <v>1031.9000000000001</v>
      </c>
      <c r="P20" s="5"/>
      <c r="Q20" s="5"/>
      <c r="R20" s="5"/>
    </row>
    <row r="21" spans="1:18" x14ac:dyDescent="0.3">
      <c r="A21" s="5">
        <v>16</v>
      </c>
      <c r="B21" s="101">
        <v>0.32847222222222222</v>
      </c>
      <c r="C21" s="5" t="s">
        <v>131</v>
      </c>
      <c r="D21" s="5">
        <v>10</v>
      </c>
      <c r="E21" s="5" t="s">
        <v>178</v>
      </c>
      <c r="F21" s="5" t="s">
        <v>181</v>
      </c>
      <c r="G21" s="5">
        <v>33</v>
      </c>
      <c r="H21" s="5">
        <v>21</v>
      </c>
      <c r="I21" s="5"/>
      <c r="J21" s="5"/>
      <c r="K21" s="108">
        <v>0.61</v>
      </c>
      <c r="L21" s="5" t="s">
        <v>134</v>
      </c>
      <c r="M21" s="5" t="s">
        <v>134</v>
      </c>
      <c r="N21" s="5">
        <v>30.45</v>
      </c>
      <c r="O21" s="5">
        <v>1031.4000000000001</v>
      </c>
      <c r="P21" s="5"/>
      <c r="Q21" s="5"/>
      <c r="R21" s="5"/>
    </row>
    <row r="22" spans="1:18" x14ac:dyDescent="0.3">
      <c r="A22" s="5">
        <v>16</v>
      </c>
      <c r="B22" s="101">
        <v>0.28680555555555554</v>
      </c>
      <c r="C22" s="5" t="s">
        <v>131</v>
      </c>
      <c r="D22" s="5">
        <v>10</v>
      </c>
      <c r="E22" s="5" t="s">
        <v>178</v>
      </c>
      <c r="F22" s="5" t="s">
        <v>181</v>
      </c>
      <c r="G22" s="5">
        <v>30</v>
      </c>
      <c r="H22" s="5">
        <v>22</v>
      </c>
      <c r="I22" s="5">
        <v>31</v>
      </c>
      <c r="J22" s="5">
        <v>26</v>
      </c>
      <c r="K22" s="108">
        <v>0.72</v>
      </c>
      <c r="L22" s="5" t="s">
        <v>134</v>
      </c>
      <c r="M22" s="5" t="s">
        <v>134</v>
      </c>
      <c r="N22" s="5">
        <v>30.43</v>
      </c>
      <c r="O22" s="5">
        <v>1030.8</v>
      </c>
      <c r="P22" s="5"/>
      <c r="Q22" s="5"/>
      <c r="R22" s="5"/>
    </row>
    <row r="23" spans="1:18" x14ac:dyDescent="0.3">
      <c r="A23" s="5">
        <v>16</v>
      </c>
      <c r="B23" s="101">
        <v>0.24513888888888888</v>
      </c>
      <c r="C23" s="5" t="s">
        <v>131</v>
      </c>
      <c r="D23" s="5">
        <v>10</v>
      </c>
      <c r="E23" s="5" t="s">
        <v>178</v>
      </c>
      <c r="F23" s="5" t="s">
        <v>181</v>
      </c>
      <c r="G23" s="5">
        <v>30</v>
      </c>
      <c r="H23" s="5">
        <v>22</v>
      </c>
      <c r="I23" s="5"/>
      <c r="J23" s="5"/>
      <c r="K23" s="108">
        <v>0.72</v>
      </c>
      <c r="L23" s="5" t="s">
        <v>134</v>
      </c>
      <c r="M23" s="5" t="s">
        <v>134</v>
      </c>
      <c r="N23" s="5">
        <v>30.43</v>
      </c>
      <c r="O23" s="5">
        <v>1030.5999999999999</v>
      </c>
      <c r="P23" s="5"/>
      <c r="Q23" s="5"/>
      <c r="R23" s="5"/>
    </row>
    <row r="24" spans="1:18" x14ac:dyDescent="0.3">
      <c r="A24" s="5">
        <v>16</v>
      </c>
      <c r="B24" s="101">
        <v>0.20347222222222219</v>
      </c>
      <c r="C24" s="5" t="s">
        <v>172</v>
      </c>
      <c r="D24" s="5">
        <v>10</v>
      </c>
      <c r="E24" s="5" t="s">
        <v>136</v>
      </c>
      <c r="F24" s="5" t="s">
        <v>182</v>
      </c>
      <c r="G24" s="5">
        <v>27</v>
      </c>
      <c r="H24" s="5">
        <v>21</v>
      </c>
      <c r="I24" s="5"/>
      <c r="J24" s="5"/>
      <c r="K24" s="108">
        <v>0.78</v>
      </c>
      <c r="L24" s="5" t="s">
        <v>134</v>
      </c>
      <c r="M24" s="5" t="s">
        <v>134</v>
      </c>
      <c r="N24" s="5">
        <v>30.4</v>
      </c>
      <c r="O24" s="5">
        <v>1029.8</v>
      </c>
      <c r="P24" s="5"/>
      <c r="Q24" s="5"/>
      <c r="R24" s="5"/>
    </row>
    <row r="25" spans="1:18" x14ac:dyDescent="0.3">
      <c r="A25" s="5">
        <v>16</v>
      </c>
      <c r="B25" s="101">
        <v>0.16180555555555556</v>
      </c>
      <c r="C25" s="5" t="s">
        <v>131</v>
      </c>
      <c r="D25" s="5">
        <v>10</v>
      </c>
      <c r="E25" s="5" t="s">
        <v>132</v>
      </c>
      <c r="F25" s="5" t="s">
        <v>133</v>
      </c>
      <c r="G25" s="5">
        <v>27</v>
      </c>
      <c r="H25" s="5">
        <v>21</v>
      </c>
      <c r="I25" s="5"/>
      <c r="J25" s="5"/>
      <c r="K25" s="108">
        <v>0.78</v>
      </c>
      <c r="L25" s="5" t="s">
        <v>134</v>
      </c>
      <c r="M25" s="5" t="s">
        <v>134</v>
      </c>
      <c r="N25" s="5">
        <v>30.4</v>
      </c>
      <c r="O25" s="5">
        <v>1029.8</v>
      </c>
      <c r="P25" s="5"/>
      <c r="Q25" s="5"/>
      <c r="R25" s="5"/>
    </row>
    <row r="26" spans="1:18" x14ac:dyDescent="0.3">
      <c r="A26" s="5">
        <v>16</v>
      </c>
      <c r="B26" s="101">
        <v>0.12013888888888889</v>
      </c>
      <c r="C26" s="5" t="s">
        <v>131</v>
      </c>
      <c r="D26" s="5">
        <v>10</v>
      </c>
      <c r="E26" s="5" t="s">
        <v>132</v>
      </c>
      <c r="F26" s="5" t="s">
        <v>133</v>
      </c>
      <c r="G26" s="5">
        <v>29</v>
      </c>
      <c r="H26" s="5">
        <v>21</v>
      </c>
      <c r="I26" s="5"/>
      <c r="J26" s="5"/>
      <c r="K26" s="108">
        <v>0.72</v>
      </c>
      <c r="L26" s="5" t="s">
        <v>134</v>
      </c>
      <c r="M26" s="5" t="s">
        <v>134</v>
      </c>
      <c r="N26" s="5">
        <v>30.4</v>
      </c>
      <c r="O26" s="5">
        <v>1029.8</v>
      </c>
      <c r="P26" s="5"/>
      <c r="Q26" s="5"/>
      <c r="R26" s="5"/>
    </row>
    <row r="27" spans="1:18" x14ac:dyDescent="0.3">
      <c r="A27" s="5">
        <v>16</v>
      </c>
      <c r="B27" s="101">
        <v>7.8472222222222221E-2</v>
      </c>
      <c r="C27" s="5" t="s">
        <v>131</v>
      </c>
      <c r="D27" s="5">
        <v>10</v>
      </c>
      <c r="E27" s="5" t="s">
        <v>132</v>
      </c>
      <c r="F27" s="5" t="s">
        <v>133</v>
      </c>
      <c r="G27" s="5">
        <v>28</v>
      </c>
      <c r="H27" s="5">
        <v>22</v>
      </c>
      <c r="I27" s="5"/>
      <c r="J27" s="5"/>
      <c r="K27" s="108">
        <v>0.78</v>
      </c>
      <c r="L27" s="5" t="s">
        <v>134</v>
      </c>
      <c r="M27" s="5" t="s">
        <v>134</v>
      </c>
      <c r="N27" s="5">
        <v>30.39</v>
      </c>
      <c r="O27" s="5">
        <v>1029.5</v>
      </c>
      <c r="P27" s="5"/>
      <c r="Q27" s="5"/>
      <c r="R27" s="5"/>
    </row>
    <row r="28" spans="1:18" x14ac:dyDescent="0.3">
      <c r="A28" s="5">
        <v>16</v>
      </c>
      <c r="B28" s="101">
        <v>3.6805555555555557E-2</v>
      </c>
      <c r="C28" s="5" t="s">
        <v>131</v>
      </c>
      <c r="D28" s="5">
        <v>10</v>
      </c>
      <c r="E28" s="5" t="s">
        <v>132</v>
      </c>
      <c r="F28" s="5" t="s">
        <v>133</v>
      </c>
      <c r="G28" s="5">
        <v>29</v>
      </c>
      <c r="H28" s="5">
        <v>21</v>
      </c>
      <c r="I28" s="5">
        <v>39</v>
      </c>
      <c r="J28" s="5">
        <v>29</v>
      </c>
      <c r="K28" s="108">
        <v>0.72</v>
      </c>
      <c r="L28" s="5" t="s">
        <v>134</v>
      </c>
      <c r="M28" s="5" t="s">
        <v>134</v>
      </c>
      <c r="N28" s="5">
        <v>30.39</v>
      </c>
      <c r="O28" s="5">
        <v>1029.4000000000001</v>
      </c>
      <c r="P28" s="5"/>
      <c r="Q28" s="5"/>
      <c r="R28" s="5"/>
    </row>
    <row r="29" spans="1:18" x14ac:dyDescent="0.3">
      <c r="A29" s="5">
        <v>15</v>
      </c>
      <c r="B29" s="101">
        <v>0.99513888888888891</v>
      </c>
      <c r="C29" s="5" t="s">
        <v>131</v>
      </c>
      <c r="D29" s="5">
        <v>10</v>
      </c>
      <c r="E29" s="5" t="s">
        <v>132</v>
      </c>
      <c r="F29" s="5" t="s">
        <v>133</v>
      </c>
      <c r="G29" s="5">
        <v>31</v>
      </c>
      <c r="H29" s="5">
        <v>19</v>
      </c>
      <c r="I29" s="5"/>
      <c r="J29" s="5"/>
      <c r="K29" s="108">
        <v>0.61</v>
      </c>
      <c r="L29" s="5" t="s">
        <v>134</v>
      </c>
      <c r="M29" s="5" t="s">
        <v>134</v>
      </c>
      <c r="N29" s="5">
        <v>30.39</v>
      </c>
      <c r="O29" s="5">
        <v>1029.5999999999999</v>
      </c>
      <c r="P29" s="5"/>
      <c r="Q29" s="5"/>
      <c r="R29" s="5"/>
    </row>
    <row r="30" spans="1:18" x14ac:dyDescent="0.3">
      <c r="A30" s="5">
        <v>15</v>
      </c>
      <c r="B30" s="101">
        <v>0.95347222222222217</v>
      </c>
      <c r="C30" s="5" t="s">
        <v>131</v>
      </c>
      <c r="D30" s="5">
        <v>10</v>
      </c>
      <c r="E30" s="5" t="s">
        <v>132</v>
      </c>
      <c r="F30" s="5" t="s">
        <v>133</v>
      </c>
      <c r="G30" s="5">
        <v>32</v>
      </c>
      <c r="H30" s="5">
        <v>20</v>
      </c>
      <c r="I30" s="5"/>
      <c r="J30" s="5"/>
      <c r="K30" s="108">
        <v>0.61</v>
      </c>
      <c r="L30" s="5" t="s">
        <v>134</v>
      </c>
      <c r="M30" s="5" t="s">
        <v>134</v>
      </c>
      <c r="N30" s="5">
        <v>30.4</v>
      </c>
      <c r="O30" s="5">
        <v>1029.8</v>
      </c>
      <c r="P30" s="5"/>
      <c r="Q30" s="5"/>
      <c r="R30" s="5"/>
    </row>
    <row r="31" spans="1:18" x14ac:dyDescent="0.3">
      <c r="A31" s="5">
        <v>15</v>
      </c>
      <c r="B31" s="101">
        <v>0.91180555555555554</v>
      </c>
      <c r="C31" s="5" t="s">
        <v>131</v>
      </c>
      <c r="D31" s="5">
        <v>10</v>
      </c>
      <c r="E31" s="5" t="s">
        <v>132</v>
      </c>
      <c r="F31" s="5" t="s">
        <v>133</v>
      </c>
      <c r="G31" s="5">
        <v>31</v>
      </c>
      <c r="H31" s="5">
        <v>22</v>
      </c>
      <c r="I31" s="5"/>
      <c r="J31" s="5"/>
      <c r="K31" s="108">
        <v>0.69</v>
      </c>
      <c r="L31" s="5" t="s">
        <v>134</v>
      </c>
      <c r="M31" s="5" t="s">
        <v>134</v>
      </c>
      <c r="N31" s="5">
        <v>30.39</v>
      </c>
      <c r="O31" s="5">
        <v>1029.5999999999999</v>
      </c>
      <c r="P31" s="5"/>
      <c r="Q31" s="5"/>
      <c r="R31" s="5"/>
    </row>
    <row r="32" spans="1:18" x14ac:dyDescent="0.3">
      <c r="A32" s="5">
        <v>15</v>
      </c>
      <c r="B32" s="101">
        <v>0.87013888888888891</v>
      </c>
      <c r="C32" s="5" t="s">
        <v>131</v>
      </c>
      <c r="D32" s="5">
        <v>10</v>
      </c>
      <c r="E32" s="5" t="s">
        <v>132</v>
      </c>
      <c r="F32" s="5" t="s">
        <v>133</v>
      </c>
      <c r="G32" s="5">
        <v>32</v>
      </c>
      <c r="H32" s="5">
        <v>21</v>
      </c>
      <c r="I32" s="5"/>
      <c r="J32" s="5"/>
      <c r="K32" s="108">
        <v>0.64</v>
      </c>
      <c r="L32" s="5" t="s">
        <v>134</v>
      </c>
      <c r="M32" s="5" t="s">
        <v>134</v>
      </c>
      <c r="N32" s="5">
        <v>30.39</v>
      </c>
      <c r="O32" s="5">
        <v>1029.5</v>
      </c>
      <c r="P32" s="5"/>
      <c r="Q32" s="5"/>
      <c r="R32" s="5"/>
    </row>
    <row r="33" spans="1:18" x14ac:dyDescent="0.3">
      <c r="A33" s="5">
        <v>15</v>
      </c>
      <c r="B33" s="101">
        <v>0.82847222222222217</v>
      </c>
      <c r="C33" s="5" t="s">
        <v>168</v>
      </c>
      <c r="D33" s="5">
        <v>10</v>
      </c>
      <c r="E33" s="5" t="s">
        <v>132</v>
      </c>
      <c r="F33" s="5" t="s">
        <v>133</v>
      </c>
      <c r="G33" s="5">
        <v>35</v>
      </c>
      <c r="H33" s="5">
        <v>18</v>
      </c>
      <c r="I33" s="5"/>
      <c r="J33" s="5"/>
      <c r="K33" s="108">
        <v>0.5</v>
      </c>
      <c r="L33" s="5">
        <v>30</v>
      </c>
      <c r="M33" s="5" t="s">
        <v>134</v>
      </c>
      <c r="N33" s="5">
        <v>30.37</v>
      </c>
      <c r="O33" s="5">
        <v>1029</v>
      </c>
      <c r="P33" s="5"/>
      <c r="Q33" s="5"/>
      <c r="R33" s="5"/>
    </row>
    <row r="34" spans="1:18" x14ac:dyDescent="0.3">
      <c r="A34" s="5">
        <v>15</v>
      </c>
      <c r="B34" s="101">
        <v>0.78680555555555554</v>
      </c>
      <c r="C34" s="5" t="s">
        <v>183</v>
      </c>
      <c r="D34" s="5">
        <v>10</v>
      </c>
      <c r="E34" s="5" t="s">
        <v>132</v>
      </c>
      <c r="F34" s="5" t="s">
        <v>133</v>
      </c>
      <c r="G34" s="5">
        <v>39</v>
      </c>
      <c r="H34" s="5">
        <v>16</v>
      </c>
      <c r="I34" s="5">
        <v>45</v>
      </c>
      <c r="J34" s="5">
        <v>38</v>
      </c>
      <c r="K34" s="108">
        <v>0.39</v>
      </c>
      <c r="L34" s="5">
        <v>34</v>
      </c>
      <c r="M34" s="5" t="s">
        <v>134</v>
      </c>
      <c r="N34" s="5">
        <v>30.36</v>
      </c>
      <c r="O34" s="5">
        <v>1028.5999999999999</v>
      </c>
      <c r="P34" s="5"/>
      <c r="Q34" s="5"/>
      <c r="R34" s="5"/>
    </row>
    <row r="35" spans="1:18" x14ac:dyDescent="0.3">
      <c r="A35" s="5">
        <v>15</v>
      </c>
      <c r="B35" s="101">
        <v>0.74513888888888891</v>
      </c>
      <c r="C35" s="5" t="s">
        <v>184</v>
      </c>
      <c r="D35" s="5">
        <v>10</v>
      </c>
      <c r="E35" s="5" t="s">
        <v>132</v>
      </c>
      <c r="F35" s="5" t="s">
        <v>133</v>
      </c>
      <c r="G35" s="5">
        <v>44</v>
      </c>
      <c r="H35" s="5">
        <v>12</v>
      </c>
      <c r="I35" s="5"/>
      <c r="J35" s="5"/>
      <c r="K35" s="108">
        <v>0.27</v>
      </c>
      <c r="L35" s="5">
        <v>40</v>
      </c>
      <c r="M35" s="5" t="s">
        <v>134</v>
      </c>
      <c r="N35" s="5">
        <v>30.36</v>
      </c>
      <c r="O35" s="5">
        <v>1028.4000000000001</v>
      </c>
      <c r="P35" s="5"/>
      <c r="Q35" s="5"/>
      <c r="R35" s="5"/>
    </row>
    <row r="36" spans="1:18" x14ac:dyDescent="0.3">
      <c r="A36" s="5">
        <v>15</v>
      </c>
      <c r="B36" s="101">
        <v>0.70347222222222217</v>
      </c>
      <c r="C36" s="5" t="s">
        <v>185</v>
      </c>
      <c r="D36" s="5">
        <v>10</v>
      </c>
      <c r="E36" s="5" t="s">
        <v>132</v>
      </c>
      <c r="F36" s="5" t="s">
        <v>133</v>
      </c>
      <c r="G36" s="5">
        <v>44</v>
      </c>
      <c r="H36" s="5">
        <v>14</v>
      </c>
      <c r="I36" s="5"/>
      <c r="J36" s="5"/>
      <c r="K36" s="108">
        <v>0.3</v>
      </c>
      <c r="L36" s="5">
        <v>39</v>
      </c>
      <c r="M36" s="5" t="s">
        <v>134</v>
      </c>
      <c r="N36" s="5">
        <v>30.35</v>
      </c>
      <c r="O36" s="5">
        <v>1028.2</v>
      </c>
      <c r="P36" s="5"/>
      <c r="Q36" s="5"/>
      <c r="R36" s="5"/>
    </row>
    <row r="37" spans="1:18" x14ac:dyDescent="0.3">
      <c r="A37" s="5">
        <v>15</v>
      </c>
      <c r="B37" s="101">
        <v>0.66180555555555554</v>
      </c>
      <c r="C37" s="5" t="s">
        <v>186</v>
      </c>
      <c r="D37" s="5">
        <v>10</v>
      </c>
      <c r="E37" s="5" t="s">
        <v>132</v>
      </c>
      <c r="F37" s="5" t="s">
        <v>133</v>
      </c>
      <c r="G37" s="5">
        <v>44</v>
      </c>
      <c r="H37" s="5">
        <v>14</v>
      </c>
      <c r="I37" s="5"/>
      <c r="J37" s="5"/>
      <c r="K37" s="108">
        <v>0.3</v>
      </c>
      <c r="L37" s="5">
        <v>38</v>
      </c>
      <c r="M37" s="5" t="s">
        <v>134</v>
      </c>
      <c r="N37" s="5">
        <v>30.36</v>
      </c>
      <c r="O37" s="5">
        <v>1028.5999999999999</v>
      </c>
      <c r="P37" s="5"/>
      <c r="Q37" s="5"/>
      <c r="R37" s="5"/>
    </row>
    <row r="38" spans="1:18" x14ac:dyDescent="0.3">
      <c r="A38" s="5">
        <v>15</v>
      </c>
      <c r="B38" s="101">
        <v>0.62013888888888891</v>
      </c>
      <c r="C38" s="5" t="s">
        <v>187</v>
      </c>
      <c r="D38" s="5">
        <v>10</v>
      </c>
      <c r="E38" s="5" t="s">
        <v>132</v>
      </c>
      <c r="F38" s="5" t="s">
        <v>133</v>
      </c>
      <c r="G38" s="5">
        <v>43</v>
      </c>
      <c r="H38" s="5">
        <v>16</v>
      </c>
      <c r="I38" s="5"/>
      <c r="J38" s="5"/>
      <c r="K38" s="108">
        <v>0.34</v>
      </c>
      <c r="L38" s="5">
        <v>36</v>
      </c>
      <c r="M38" s="5" t="s">
        <v>134</v>
      </c>
      <c r="N38" s="5">
        <v>30.38</v>
      </c>
      <c r="O38" s="5">
        <v>1028.9000000000001</v>
      </c>
      <c r="P38" s="5"/>
      <c r="Q38" s="5"/>
      <c r="R38" s="5"/>
    </row>
    <row r="39" spans="1:18" x14ac:dyDescent="0.3">
      <c r="A39" s="5">
        <v>15</v>
      </c>
      <c r="B39" s="101">
        <v>0.57847222222222217</v>
      </c>
      <c r="C39" s="5" t="s">
        <v>188</v>
      </c>
      <c r="D39" s="5">
        <v>10</v>
      </c>
      <c r="E39" s="5" t="s">
        <v>132</v>
      </c>
      <c r="F39" s="5" t="s">
        <v>133</v>
      </c>
      <c r="G39" s="5">
        <v>41</v>
      </c>
      <c r="H39" s="5">
        <v>15</v>
      </c>
      <c r="I39" s="5"/>
      <c r="J39" s="5"/>
      <c r="K39" s="108">
        <v>0.35</v>
      </c>
      <c r="L39" s="5">
        <v>35</v>
      </c>
      <c r="M39" s="5" t="s">
        <v>134</v>
      </c>
      <c r="N39" s="5">
        <v>30.4</v>
      </c>
      <c r="O39" s="5">
        <v>1029.7</v>
      </c>
      <c r="P39" s="5"/>
      <c r="Q39" s="5"/>
      <c r="R39" s="5"/>
    </row>
    <row r="40" spans="1:18" x14ac:dyDescent="0.3">
      <c r="A40" s="5">
        <v>15</v>
      </c>
      <c r="B40" s="101">
        <v>0.53680555555555554</v>
      </c>
      <c r="C40" s="5" t="s">
        <v>189</v>
      </c>
      <c r="D40" s="5">
        <v>10</v>
      </c>
      <c r="E40" s="5" t="s">
        <v>132</v>
      </c>
      <c r="F40" s="5" t="s">
        <v>133</v>
      </c>
      <c r="G40" s="5">
        <v>39</v>
      </c>
      <c r="H40" s="5">
        <v>16</v>
      </c>
      <c r="I40" s="5">
        <v>39</v>
      </c>
      <c r="J40" s="5">
        <v>27</v>
      </c>
      <c r="K40" s="108">
        <v>0.39</v>
      </c>
      <c r="L40" s="5">
        <v>33</v>
      </c>
      <c r="M40" s="5" t="s">
        <v>134</v>
      </c>
      <c r="N40" s="5">
        <v>30.43</v>
      </c>
      <c r="O40" s="5">
        <v>1030.7</v>
      </c>
      <c r="P40" s="5"/>
      <c r="Q40" s="5"/>
      <c r="R40" s="5"/>
    </row>
    <row r="41" spans="1:18" x14ac:dyDescent="0.3">
      <c r="A41" s="5">
        <v>15</v>
      </c>
      <c r="B41" s="101">
        <v>0.49513888888888885</v>
      </c>
      <c r="C41" s="5" t="s">
        <v>190</v>
      </c>
      <c r="D41" s="5">
        <v>10</v>
      </c>
      <c r="E41" s="5" t="s">
        <v>135</v>
      </c>
      <c r="F41" s="5" t="s">
        <v>191</v>
      </c>
      <c r="G41" s="5">
        <v>37</v>
      </c>
      <c r="H41" s="5">
        <v>16</v>
      </c>
      <c r="I41" s="5"/>
      <c r="J41" s="5"/>
      <c r="K41" s="108">
        <v>0.42</v>
      </c>
      <c r="L41" s="5">
        <v>29</v>
      </c>
      <c r="M41" s="5" t="s">
        <v>134</v>
      </c>
      <c r="N41" s="5">
        <v>30.44</v>
      </c>
      <c r="O41" s="5">
        <v>1031.2</v>
      </c>
      <c r="P41" s="5"/>
      <c r="Q41" s="5"/>
      <c r="R41" s="5"/>
    </row>
    <row r="42" spans="1:18" x14ac:dyDescent="0.3">
      <c r="A42" s="5">
        <v>15</v>
      </c>
      <c r="B42" s="101">
        <v>0.45347222222222222</v>
      </c>
      <c r="C42" s="5" t="s">
        <v>192</v>
      </c>
      <c r="D42" s="5">
        <v>10</v>
      </c>
      <c r="E42" s="5" t="s">
        <v>135</v>
      </c>
      <c r="F42" s="5" t="s">
        <v>193</v>
      </c>
      <c r="G42" s="5">
        <v>35</v>
      </c>
      <c r="H42" s="5">
        <v>16</v>
      </c>
      <c r="I42" s="5"/>
      <c r="J42" s="5"/>
      <c r="K42" s="108">
        <v>0.46</v>
      </c>
      <c r="L42" s="5">
        <v>27</v>
      </c>
      <c r="M42" s="5" t="s">
        <v>134</v>
      </c>
      <c r="N42" s="5">
        <v>30.44</v>
      </c>
      <c r="O42" s="5">
        <v>1031</v>
      </c>
      <c r="P42" s="5"/>
      <c r="Q42" s="5"/>
      <c r="R42" s="5"/>
    </row>
    <row r="43" spans="1:18" x14ac:dyDescent="0.3">
      <c r="A43" s="5">
        <v>15</v>
      </c>
      <c r="B43" s="101">
        <v>0.41180555555555554</v>
      </c>
      <c r="C43" s="5" t="s">
        <v>194</v>
      </c>
      <c r="D43" s="5">
        <v>10</v>
      </c>
      <c r="E43" s="5" t="s">
        <v>135</v>
      </c>
      <c r="F43" s="5" t="s">
        <v>193</v>
      </c>
      <c r="G43" s="5">
        <v>32</v>
      </c>
      <c r="H43" s="5">
        <v>15</v>
      </c>
      <c r="I43" s="5"/>
      <c r="J43" s="5"/>
      <c r="K43" s="108">
        <v>0.5</v>
      </c>
      <c r="L43" s="5">
        <v>22</v>
      </c>
      <c r="M43" s="5" t="s">
        <v>134</v>
      </c>
      <c r="N43" s="5">
        <v>30.42</v>
      </c>
      <c r="O43" s="5">
        <v>1030.5</v>
      </c>
      <c r="P43" s="5"/>
      <c r="Q43" s="5"/>
      <c r="R43" s="5"/>
    </row>
    <row r="44" spans="1:18" x14ac:dyDescent="0.3">
      <c r="A44" s="5">
        <v>15</v>
      </c>
      <c r="B44" s="101">
        <v>0.37013888888888885</v>
      </c>
      <c r="C44" s="5" t="s">
        <v>195</v>
      </c>
      <c r="D44" s="5">
        <v>10</v>
      </c>
      <c r="E44" s="5" t="s">
        <v>135</v>
      </c>
      <c r="F44" s="5" t="s">
        <v>196</v>
      </c>
      <c r="G44" s="5">
        <v>30</v>
      </c>
      <c r="H44" s="5">
        <v>15</v>
      </c>
      <c r="I44" s="5"/>
      <c r="J44" s="5"/>
      <c r="K44" s="108">
        <v>0.54</v>
      </c>
      <c r="L44" s="5">
        <v>19</v>
      </c>
      <c r="M44" s="5" t="s">
        <v>134</v>
      </c>
      <c r="N44" s="5">
        <v>30.4</v>
      </c>
      <c r="O44" s="5">
        <v>1029.9000000000001</v>
      </c>
      <c r="P44" s="5"/>
      <c r="Q44" s="5"/>
      <c r="R44" s="5"/>
    </row>
    <row r="45" spans="1:18" x14ac:dyDescent="0.3">
      <c r="A45" s="5">
        <v>15</v>
      </c>
      <c r="B45" s="101">
        <v>0.32847222222222222</v>
      </c>
      <c r="C45" s="5" t="s">
        <v>197</v>
      </c>
      <c r="D45" s="5">
        <v>10</v>
      </c>
      <c r="E45" s="5" t="s">
        <v>135</v>
      </c>
      <c r="F45" s="5" t="s">
        <v>198</v>
      </c>
      <c r="G45" s="5">
        <v>29</v>
      </c>
      <c r="H45" s="5">
        <v>18</v>
      </c>
      <c r="I45" s="5"/>
      <c r="J45" s="5"/>
      <c r="K45" s="108">
        <v>0.63</v>
      </c>
      <c r="L45" s="5">
        <v>21</v>
      </c>
      <c r="M45" s="5" t="s">
        <v>134</v>
      </c>
      <c r="N45" s="5">
        <v>30.37</v>
      </c>
      <c r="O45" s="5">
        <v>1028.9000000000001</v>
      </c>
      <c r="P45" s="5"/>
      <c r="Q45" s="5"/>
      <c r="R45" s="5"/>
    </row>
    <row r="46" spans="1:18" x14ac:dyDescent="0.3">
      <c r="A46" s="5">
        <v>15</v>
      </c>
      <c r="B46" s="101">
        <v>0.28680555555555554</v>
      </c>
      <c r="C46" s="5" t="s">
        <v>185</v>
      </c>
      <c r="D46" s="5">
        <v>10</v>
      </c>
      <c r="E46" s="5" t="s">
        <v>135</v>
      </c>
      <c r="F46" s="5" t="s">
        <v>198</v>
      </c>
      <c r="G46" s="5">
        <v>27</v>
      </c>
      <c r="H46" s="5">
        <v>18</v>
      </c>
      <c r="I46" s="5">
        <v>32</v>
      </c>
      <c r="J46" s="5">
        <v>27</v>
      </c>
      <c r="K46" s="108">
        <v>0.69</v>
      </c>
      <c r="L46" s="5">
        <v>19</v>
      </c>
      <c r="M46" s="5" t="s">
        <v>134</v>
      </c>
      <c r="N46" s="5">
        <v>30.35</v>
      </c>
      <c r="O46" s="5">
        <v>1028.2</v>
      </c>
      <c r="P46" s="5"/>
      <c r="Q46" s="5"/>
      <c r="R46" s="5"/>
    </row>
    <row r="47" spans="1:18" x14ac:dyDescent="0.3">
      <c r="A47" s="5">
        <v>15</v>
      </c>
      <c r="B47" s="101">
        <v>0.24513888888888888</v>
      </c>
      <c r="C47" s="5" t="s">
        <v>199</v>
      </c>
      <c r="D47" s="5">
        <v>10</v>
      </c>
      <c r="E47" s="5" t="s">
        <v>132</v>
      </c>
      <c r="F47" s="5" t="s">
        <v>133</v>
      </c>
      <c r="G47" s="5">
        <v>28</v>
      </c>
      <c r="H47" s="5">
        <v>19</v>
      </c>
      <c r="I47" s="5"/>
      <c r="J47" s="5"/>
      <c r="K47" s="108">
        <v>0.69</v>
      </c>
      <c r="L47" s="5">
        <v>18</v>
      </c>
      <c r="M47" s="5" t="s">
        <v>134</v>
      </c>
      <c r="N47" s="5">
        <v>30.34</v>
      </c>
      <c r="O47" s="5">
        <v>1027.8</v>
      </c>
      <c r="P47" s="5"/>
      <c r="Q47" s="5"/>
      <c r="R47" s="5"/>
    </row>
    <row r="48" spans="1:18" x14ac:dyDescent="0.3">
      <c r="A48" s="5">
        <v>15</v>
      </c>
      <c r="B48" s="101">
        <v>0.20347222222222219</v>
      </c>
      <c r="C48" s="5" t="s">
        <v>183</v>
      </c>
      <c r="D48" s="5">
        <v>10</v>
      </c>
      <c r="E48" s="5" t="s">
        <v>132</v>
      </c>
      <c r="F48" s="5" t="s">
        <v>133</v>
      </c>
      <c r="G48" s="5">
        <v>28</v>
      </c>
      <c r="H48" s="5">
        <v>20</v>
      </c>
      <c r="I48" s="5"/>
      <c r="J48" s="5"/>
      <c r="K48" s="108">
        <v>0.72</v>
      </c>
      <c r="L48" s="5">
        <v>21</v>
      </c>
      <c r="M48" s="5" t="s">
        <v>134</v>
      </c>
      <c r="N48" s="5">
        <v>30.33</v>
      </c>
      <c r="O48" s="5">
        <v>1027.3</v>
      </c>
      <c r="P48" s="5"/>
      <c r="Q48" s="5"/>
      <c r="R48" s="5"/>
    </row>
    <row r="49" spans="1:18" x14ac:dyDescent="0.3">
      <c r="A49" s="5">
        <v>15</v>
      </c>
      <c r="B49" s="101">
        <v>0.16180555555555556</v>
      </c>
      <c r="C49" s="5" t="s">
        <v>183</v>
      </c>
      <c r="D49" s="5">
        <v>10</v>
      </c>
      <c r="E49" s="5" t="s">
        <v>132</v>
      </c>
      <c r="F49" s="5" t="s">
        <v>133</v>
      </c>
      <c r="G49" s="5">
        <v>28</v>
      </c>
      <c r="H49" s="5">
        <v>22</v>
      </c>
      <c r="I49" s="5"/>
      <c r="J49" s="5"/>
      <c r="K49" s="108">
        <v>0.78</v>
      </c>
      <c r="L49" s="5">
        <v>21</v>
      </c>
      <c r="M49" s="5" t="s">
        <v>134</v>
      </c>
      <c r="N49" s="5">
        <v>30.3</v>
      </c>
      <c r="O49" s="5">
        <v>1026.3</v>
      </c>
      <c r="P49" s="5"/>
      <c r="Q49" s="5"/>
      <c r="R49" s="5"/>
    </row>
    <row r="50" spans="1:18" x14ac:dyDescent="0.3">
      <c r="A50" s="5">
        <v>15</v>
      </c>
      <c r="B50" s="101">
        <v>0.12013888888888889</v>
      </c>
      <c r="C50" s="5" t="s">
        <v>184</v>
      </c>
      <c r="D50" s="5">
        <v>10</v>
      </c>
      <c r="E50" s="5" t="s">
        <v>132</v>
      </c>
      <c r="F50" s="5" t="s">
        <v>133</v>
      </c>
      <c r="G50" s="5">
        <v>30</v>
      </c>
      <c r="H50" s="5">
        <v>23</v>
      </c>
      <c r="I50" s="5"/>
      <c r="J50" s="5"/>
      <c r="K50" s="108">
        <v>0.75</v>
      </c>
      <c r="L50" s="5">
        <v>23</v>
      </c>
      <c r="M50" s="5" t="s">
        <v>134</v>
      </c>
      <c r="N50" s="5">
        <v>30.29</v>
      </c>
      <c r="O50" s="5">
        <v>1026.0999999999999</v>
      </c>
      <c r="P50" s="5"/>
      <c r="Q50" s="5"/>
      <c r="R50" s="5"/>
    </row>
    <row r="51" spans="1:18" x14ac:dyDescent="0.3">
      <c r="A51" s="5">
        <v>15</v>
      </c>
      <c r="B51" s="101">
        <v>7.8472222222222221E-2</v>
      </c>
      <c r="C51" s="5" t="s">
        <v>184</v>
      </c>
      <c r="D51" s="5">
        <v>10</v>
      </c>
      <c r="E51" s="5" t="s">
        <v>132</v>
      </c>
      <c r="F51" s="5" t="s">
        <v>133</v>
      </c>
      <c r="G51" s="5">
        <v>31</v>
      </c>
      <c r="H51" s="5">
        <v>23</v>
      </c>
      <c r="I51" s="5"/>
      <c r="J51" s="5"/>
      <c r="K51" s="108">
        <v>0.72</v>
      </c>
      <c r="L51" s="5">
        <v>24</v>
      </c>
      <c r="M51" s="5" t="s">
        <v>134</v>
      </c>
      <c r="N51" s="5">
        <v>30.3</v>
      </c>
      <c r="O51" s="5">
        <v>1026.3</v>
      </c>
      <c r="P51" s="5"/>
      <c r="Q51" s="5"/>
      <c r="R51" s="5"/>
    </row>
    <row r="52" spans="1:18" x14ac:dyDescent="0.3">
      <c r="A52" s="5">
        <v>15</v>
      </c>
      <c r="B52" s="101">
        <v>3.6805555555555557E-2</v>
      </c>
      <c r="C52" s="5" t="s">
        <v>200</v>
      </c>
      <c r="D52" s="5">
        <v>10</v>
      </c>
      <c r="E52" s="5" t="s">
        <v>135</v>
      </c>
      <c r="F52" s="5" t="s">
        <v>201</v>
      </c>
      <c r="G52" s="5">
        <v>32</v>
      </c>
      <c r="H52" s="5">
        <v>23</v>
      </c>
      <c r="I52" s="5">
        <v>37</v>
      </c>
      <c r="J52" s="5">
        <v>32</v>
      </c>
      <c r="K52" s="108">
        <v>0.69</v>
      </c>
      <c r="L52" s="5">
        <v>26</v>
      </c>
      <c r="M52" s="5" t="s">
        <v>134</v>
      </c>
      <c r="N52" s="5">
        <v>30.29</v>
      </c>
      <c r="O52" s="5">
        <v>1026</v>
      </c>
      <c r="P52" s="5"/>
      <c r="Q52" s="5"/>
      <c r="R52" s="5"/>
    </row>
    <row r="53" spans="1:18" x14ac:dyDescent="0.3">
      <c r="A53" s="5">
        <v>14</v>
      </c>
      <c r="B53" s="101">
        <v>0.99513888888888891</v>
      </c>
      <c r="C53" s="5" t="s">
        <v>202</v>
      </c>
      <c r="D53" s="5">
        <v>10</v>
      </c>
      <c r="E53" s="5" t="s">
        <v>137</v>
      </c>
      <c r="F53" s="5" t="s">
        <v>203</v>
      </c>
      <c r="G53" s="5">
        <v>32</v>
      </c>
      <c r="H53" s="5">
        <v>23</v>
      </c>
      <c r="I53" s="5"/>
      <c r="J53" s="5"/>
      <c r="K53" s="108">
        <v>0.69</v>
      </c>
      <c r="L53" s="5" t="s">
        <v>134</v>
      </c>
      <c r="M53" s="5" t="s">
        <v>134</v>
      </c>
      <c r="N53" s="5">
        <v>30.28</v>
      </c>
      <c r="O53" s="5">
        <v>1025.7</v>
      </c>
      <c r="P53" s="5"/>
      <c r="Q53" s="5"/>
      <c r="R53" s="5"/>
    </row>
    <row r="54" spans="1:18" x14ac:dyDescent="0.3">
      <c r="A54" s="5">
        <v>14</v>
      </c>
      <c r="B54" s="101">
        <v>0.95347222222222217</v>
      </c>
      <c r="C54" s="5" t="s">
        <v>200</v>
      </c>
      <c r="D54" s="5">
        <v>10</v>
      </c>
      <c r="E54" s="5" t="s">
        <v>136</v>
      </c>
      <c r="F54" s="5" t="s">
        <v>204</v>
      </c>
      <c r="G54" s="5">
        <v>34</v>
      </c>
      <c r="H54" s="5">
        <v>23</v>
      </c>
      <c r="I54" s="5"/>
      <c r="J54" s="5"/>
      <c r="K54" s="108">
        <v>0.64</v>
      </c>
      <c r="L54" s="5">
        <v>29</v>
      </c>
      <c r="M54" s="5" t="s">
        <v>134</v>
      </c>
      <c r="N54" s="5">
        <v>30.27</v>
      </c>
      <c r="O54" s="5">
        <v>1025.3</v>
      </c>
      <c r="P54" s="5"/>
      <c r="Q54" s="5"/>
      <c r="R54" s="5"/>
    </row>
    <row r="55" spans="1:18" x14ac:dyDescent="0.3">
      <c r="A55" s="5">
        <v>14</v>
      </c>
      <c r="B55" s="101">
        <v>0.91180555555555554</v>
      </c>
      <c r="C55" s="5" t="s">
        <v>197</v>
      </c>
      <c r="D55" s="5">
        <v>10</v>
      </c>
      <c r="E55" s="5" t="s">
        <v>137</v>
      </c>
      <c r="F55" s="5" t="s">
        <v>205</v>
      </c>
      <c r="G55" s="5">
        <v>34</v>
      </c>
      <c r="H55" s="5">
        <v>23</v>
      </c>
      <c r="I55" s="5"/>
      <c r="J55" s="5"/>
      <c r="K55" s="108">
        <v>0.64</v>
      </c>
      <c r="L55" s="5">
        <v>27</v>
      </c>
      <c r="M55" s="5" t="s">
        <v>134</v>
      </c>
      <c r="N55" s="5">
        <v>30.26</v>
      </c>
      <c r="O55" s="5">
        <v>1025</v>
      </c>
      <c r="P55" s="5"/>
      <c r="Q55" s="5"/>
      <c r="R55" s="5"/>
    </row>
    <row r="56" spans="1:18" x14ac:dyDescent="0.3">
      <c r="A56" s="5">
        <v>14</v>
      </c>
      <c r="B56" s="101">
        <v>0.87013888888888891</v>
      </c>
      <c r="C56" s="5" t="s">
        <v>206</v>
      </c>
      <c r="D56" s="5">
        <v>10</v>
      </c>
      <c r="E56" s="5" t="s">
        <v>178</v>
      </c>
      <c r="F56" s="5" t="s">
        <v>207</v>
      </c>
      <c r="G56" s="5">
        <v>36</v>
      </c>
      <c r="H56" s="5">
        <v>24</v>
      </c>
      <c r="I56" s="5"/>
      <c r="J56" s="5"/>
      <c r="K56" s="108">
        <v>0.62</v>
      </c>
      <c r="L56" s="5">
        <v>27</v>
      </c>
      <c r="M56" s="5" t="s">
        <v>134</v>
      </c>
      <c r="N56" s="5">
        <v>30.24</v>
      </c>
      <c r="O56" s="5">
        <v>1024.4000000000001</v>
      </c>
      <c r="P56" s="5"/>
      <c r="Q56" s="5"/>
      <c r="R56" s="5"/>
    </row>
    <row r="57" spans="1:18" x14ac:dyDescent="0.3">
      <c r="A57" s="5">
        <v>14</v>
      </c>
      <c r="B57" s="101">
        <v>0.82847222222222217</v>
      </c>
      <c r="C57" s="5" t="s">
        <v>208</v>
      </c>
      <c r="D57" s="5">
        <v>10</v>
      </c>
      <c r="E57" s="5" t="s">
        <v>178</v>
      </c>
      <c r="F57" s="5" t="s">
        <v>209</v>
      </c>
      <c r="G57" s="5">
        <v>36</v>
      </c>
      <c r="H57" s="5">
        <v>26</v>
      </c>
      <c r="I57" s="5"/>
      <c r="J57" s="5"/>
      <c r="K57" s="108">
        <v>0.67</v>
      </c>
      <c r="L57" s="5">
        <v>27</v>
      </c>
      <c r="M57" s="5" t="s">
        <v>134</v>
      </c>
      <c r="N57" s="5">
        <v>30.21</v>
      </c>
      <c r="O57" s="5">
        <v>1023.4</v>
      </c>
      <c r="P57" s="5"/>
      <c r="Q57" s="5"/>
      <c r="R57" s="5"/>
    </row>
    <row r="58" spans="1:18" x14ac:dyDescent="0.3">
      <c r="A58" s="5">
        <v>14</v>
      </c>
      <c r="B58" s="101">
        <v>0.78680555555555554</v>
      </c>
      <c r="C58" s="5" t="s">
        <v>206</v>
      </c>
      <c r="D58" s="5">
        <v>10</v>
      </c>
      <c r="E58" s="5" t="s">
        <v>178</v>
      </c>
      <c r="F58" s="5" t="s">
        <v>210</v>
      </c>
      <c r="G58" s="5">
        <v>37</v>
      </c>
      <c r="H58" s="5">
        <v>27</v>
      </c>
      <c r="I58" s="5">
        <v>41</v>
      </c>
      <c r="J58" s="5">
        <v>37</v>
      </c>
      <c r="K58" s="108">
        <v>0.67</v>
      </c>
      <c r="L58" s="5">
        <v>29</v>
      </c>
      <c r="M58" s="5" t="s">
        <v>134</v>
      </c>
      <c r="N58" s="5">
        <v>30.2</v>
      </c>
      <c r="O58" s="5">
        <v>1022.9</v>
      </c>
      <c r="P58" s="5"/>
      <c r="Q58" s="5"/>
      <c r="R58" s="5"/>
    </row>
    <row r="59" spans="1:18" x14ac:dyDescent="0.3">
      <c r="A59" s="5">
        <v>14</v>
      </c>
      <c r="B59" s="101">
        <v>0.74513888888888891</v>
      </c>
      <c r="C59" s="5" t="s">
        <v>211</v>
      </c>
      <c r="D59" s="5">
        <v>10</v>
      </c>
      <c r="E59" s="5" t="s">
        <v>178</v>
      </c>
      <c r="F59" s="5" t="s">
        <v>212</v>
      </c>
      <c r="G59" s="5">
        <v>38</v>
      </c>
      <c r="H59" s="5">
        <v>27</v>
      </c>
      <c r="I59" s="5"/>
      <c r="J59" s="5"/>
      <c r="K59" s="108">
        <v>0.65</v>
      </c>
      <c r="L59" s="5">
        <v>29</v>
      </c>
      <c r="M59" s="5" t="s">
        <v>134</v>
      </c>
      <c r="N59" s="5">
        <v>30.18</v>
      </c>
      <c r="O59" s="5">
        <v>1022.2</v>
      </c>
      <c r="P59" s="5"/>
      <c r="Q59" s="5"/>
      <c r="R59" s="5"/>
    </row>
    <row r="60" spans="1:18" x14ac:dyDescent="0.3">
      <c r="A60" s="5">
        <v>14</v>
      </c>
      <c r="B60" s="101">
        <v>0.70347222222222217</v>
      </c>
      <c r="C60" s="5" t="s">
        <v>213</v>
      </c>
      <c r="D60" s="5">
        <v>10</v>
      </c>
      <c r="E60" s="5" t="s">
        <v>178</v>
      </c>
      <c r="F60" s="5" t="s">
        <v>214</v>
      </c>
      <c r="G60" s="5">
        <v>39</v>
      </c>
      <c r="H60" s="5">
        <v>29</v>
      </c>
      <c r="I60" s="5"/>
      <c r="J60" s="5"/>
      <c r="K60" s="108">
        <v>0.67</v>
      </c>
      <c r="L60" s="5">
        <v>32</v>
      </c>
      <c r="M60" s="5" t="s">
        <v>134</v>
      </c>
      <c r="N60" s="5">
        <v>30.17</v>
      </c>
      <c r="O60" s="5">
        <v>1021.6</v>
      </c>
      <c r="P60" s="5"/>
      <c r="Q60" s="5"/>
      <c r="R60" s="5"/>
    </row>
    <row r="61" spans="1:18" x14ac:dyDescent="0.3">
      <c r="A61" s="5">
        <v>14</v>
      </c>
      <c r="B61" s="101">
        <v>0.66180555555555554</v>
      </c>
      <c r="C61" s="5" t="s">
        <v>206</v>
      </c>
      <c r="D61" s="5">
        <v>10</v>
      </c>
      <c r="E61" s="5" t="s">
        <v>178</v>
      </c>
      <c r="F61" s="5" t="s">
        <v>215</v>
      </c>
      <c r="G61" s="5">
        <v>40</v>
      </c>
      <c r="H61" s="5">
        <v>31</v>
      </c>
      <c r="I61" s="5"/>
      <c r="J61" s="5"/>
      <c r="K61" s="108">
        <v>0.7</v>
      </c>
      <c r="L61" s="5">
        <v>32</v>
      </c>
      <c r="M61" s="5" t="s">
        <v>134</v>
      </c>
      <c r="N61" s="5">
        <v>30.15</v>
      </c>
      <c r="O61" s="5">
        <v>1021.3</v>
      </c>
      <c r="P61" s="5"/>
      <c r="Q61" s="5"/>
      <c r="R61" s="5"/>
    </row>
    <row r="62" spans="1:18" x14ac:dyDescent="0.3">
      <c r="A62" s="5">
        <v>14</v>
      </c>
      <c r="B62" s="101">
        <v>0.62013888888888891</v>
      </c>
      <c r="C62" s="5" t="s">
        <v>206</v>
      </c>
      <c r="D62" s="5">
        <v>10</v>
      </c>
      <c r="E62" s="5" t="s">
        <v>178</v>
      </c>
      <c r="F62" s="5" t="s">
        <v>216</v>
      </c>
      <c r="G62" s="5">
        <v>41</v>
      </c>
      <c r="H62" s="5">
        <v>31</v>
      </c>
      <c r="I62" s="5"/>
      <c r="J62" s="5"/>
      <c r="K62" s="108">
        <v>0.67</v>
      </c>
      <c r="L62" s="5">
        <v>34</v>
      </c>
      <c r="M62" s="5" t="s">
        <v>134</v>
      </c>
      <c r="N62" s="5">
        <v>30.16</v>
      </c>
      <c r="O62" s="5">
        <v>1021.3</v>
      </c>
      <c r="P62" s="5"/>
      <c r="Q62" s="5"/>
      <c r="R62" s="5"/>
    </row>
    <row r="63" spans="1:18" x14ac:dyDescent="0.3">
      <c r="A63" s="5">
        <v>14</v>
      </c>
      <c r="B63" s="101">
        <v>0.57847222222222217</v>
      </c>
      <c r="C63" s="5" t="s">
        <v>217</v>
      </c>
      <c r="D63" s="5">
        <v>10</v>
      </c>
      <c r="E63" s="5" t="s">
        <v>178</v>
      </c>
      <c r="F63" s="5" t="s">
        <v>218</v>
      </c>
      <c r="G63" s="5">
        <v>40</v>
      </c>
      <c r="H63" s="5">
        <v>31</v>
      </c>
      <c r="I63" s="5"/>
      <c r="J63" s="5"/>
      <c r="K63" s="108">
        <v>0.7</v>
      </c>
      <c r="L63" s="5">
        <v>32</v>
      </c>
      <c r="M63" s="5" t="s">
        <v>134</v>
      </c>
      <c r="N63" s="5">
        <v>30.17</v>
      </c>
      <c r="O63" s="5">
        <v>1021.6</v>
      </c>
      <c r="P63" s="5"/>
      <c r="Q63" s="5"/>
      <c r="R63" s="5"/>
    </row>
    <row r="64" spans="1:18" x14ac:dyDescent="0.3">
      <c r="A64" s="5">
        <v>14</v>
      </c>
      <c r="B64" s="101">
        <v>0.53680555555555554</v>
      </c>
      <c r="C64" s="5" t="s">
        <v>219</v>
      </c>
      <c r="D64" s="5">
        <v>10</v>
      </c>
      <c r="E64" s="5" t="s">
        <v>178</v>
      </c>
      <c r="F64" s="5" t="s">
        <v>220</v>
      </c>
      <c r="G64" s="5">
        <v>41</v>
      </c>
      <c r="H64" s="5">
        <v>33</v>
      </c>
      <c r="I64" s="5">
        <v>42</v>
      </c>
      <c r="J64" s="5">
        <v>41</v>
      </c>
      <c r="K64" s="108">
        <v>0.73</v>
      </c>
      <c r="L64" s="5">
        <v>33</v>
      </c>
      <c r="M64" s="5" t="s">
        <v>134</v>
      </c>
      <c r="N64" s="5">
        <v>30.16</v>
      </c>
      <c r="O64" s="5">
        <v>1021.4</v>
      </c>
      <c r="P64" s="5"/>
      <c r="Q64" s="5"/>
      <c r="R64" s="5"/>
    </row>
    <row r="65" spans="1:18" x14ac:dyDescent="0.3">
      <c r="A65" s="5">
        <v>14</v>
      </c>
      <c r="B65" s="101">
        <v>0.49513888888888885</v>
      </c>
      <c r="C65" s="5" t="s">
        <v>221</v>
      </c>
      <c r="D65" s="5">
        <v>10</v>
      </c>
      <c r="E65" s="5" t="s">
        <v>178</v>
      </c>
      <c r="F65" s="5" t="s">
        <v>222</v>
      </c>
      <c r="G65" s="5">
        <v>42</v>
      </c>
      <c r="H65" s="5">
        <v>33</v>
      </c>
      <c r="I65" s="5"/>
      <c r="J65" s="5"/>
      <c r="K65" s="108">
        <v>0.71</v>
      </c>
      <c r="L65" s="5">
        <v>37</v>
      </c>
      <c r="M65" s="5" t="s">
        <v>134</v>
      </c>
      <c r="N65" s="5">
        <v>30.14</v>
      </c>
      <c r="O65" s="5">
        <v>1020.8</v>
      </c>
      <c r="P65" s="5"/>
      <c r="Q65" s="5"/>
      <c r="R65" s="5"/>
    </row>
    <row r="66" spans="1:18" x14ac:dyDescent="0.3">
      <c r="A66" s="5">
        <v>14</v>
      </c>
      <c r="B66" s="101">
        <v>0.45347222222222222</v>
      </c>
      <c r="C66" s="5" t="s">
        <v>217</v>
      </c>
      <c r="D66" s="5">
        <v>10</v>
      </c>
      <c r="E66" s="5" t="s">
        <v>178</v>
      </c>
      <c r="F66" s="5" t="s">
        <v>222</v>
      </c>
      <c r="G66" s="5">
        <v>42</v>
      </c>
      <c r="H66" s="5">
        <v>34</v>
      </c>
      <c r="I66" s="5"/>
      <c r="J66" s="5"/>
      <c r="K66" s="108">
        <v>0.73</v>
      </c>
      <c r="L66" s="5">
        <v>34</v>
      </c>
      <c r="M66" s="5" t="s">
        <v>134</v>
      </c>
      <c r="N66" s="5">
        <v>30.14</v>
      </c>
      <c r="O66" s="5">
        <v>1020.6</v>
      </c>
      <c r="P66" s="5"/>
      <c r="Q66" s="5"/>
      <c r="R66" s="5"/>
    </row>
    <row r="67" spans="1:18" x14ac:dyDescent="0.3">
      <c r="A67" s="5">
        <v>14</v>
      </c>
      <c r="B67" s="101">
        <v>0.41180555555555554</v>
      </c>
      <c r="C67" s="5" t="s">
        <v>211</v>
      </c>
      <c r="D67" s="5">
        <v>10</v>
      </c>
      <c r="E67" s="5" t="s">
        <v>178</v>
      </c>
      <c r="F67" s="5" t="s">
        <v>223</v>
      </c>
      <c r="G67" s="5">
        <v>42</v>
      </c>
      <c r="H67" s="5">
        <v>34</v>
      </c>
      <c r="I67" s="5"/>
      <c r="J67" s="5"/>
      <c r="K67" s="108">
        <v>0.73</v>
      </c>
      <c r="L67" s="5">
        <v>34</v>
      </c>
      <c r="M67" s="5" t="s">
        <v>134</v>
      </c>
      <c r="N67" s="5">
        <v>30.12</v>
      </c>
      <c r="O67" s="5">
        <v>1019.9</v>
      </c>
      <c r="P67" s="5"/>
      <c r="Q67" s="5"/>
      <c r="R67" s="5"/>
    </row>
    <row r="68" spans="1:18" x14ac:dyDescent="0.3">
      <c r="A68" s="5">
        <v>14</v>
      </c>
      <c r="B68" s="101">
        <v>0.37013888888888885</v>
      </c>
      <c r="C68" s="5" t="s">
        <v>224</v>
      </c>
      <c r="D68" s="5">
        <v>10</v>
      </c>
      <c r="E68" s="5" t="s">
        <v>178</v>
      </c>
      <c r="F68" s="5" t="s">
        <v>225</v>
      </c>
      <c r="G68" s="5">
        <v>41</v>
      </c>
      <c r="H68" s="5">
        <v>35</v>
      </c>
      <c r="I68" s="5"/>
      <c r="J68" s="5"/>
      <c r="K68" s="108">
        <v>0.79</v>
      </c>
      <c r="L68" s="5">
        <v>34</v>
      </c>
      <c r="M68" s="5" t="s">
        <v>134</v>
      </c>
      <c r="N68" s="5">
        <v>30.1</v>
      </c>
      <c r="O68" s="5">
        <v>1019.3</v>
      </c>
      <c r="P68" s="5"/>
      <c r="Q68" s="5"/>
      <c r="R68" s="5"/>
    </row>
    <row r="69" spans="1:18" x14ac:dyDescent="0.3">
      <c r="A69" s="5">
        <v>14</v>
      </c>
      <c r="B69" s="101">
        <v>0.32847222222222222</v>
      </c>
      <c r="C69" s="5" t="s">
        <v>226</v>
      </c>
      <c r="D69" s="5">
        <v>10</v>
      </c>
      <c r="E69" s="5" t="s">
        <v>178</v>
      </c>
      <c r="F69" s="5" t="s">
        <v>227</v>
      </c>
      <c r="G69" s="5">
        <v>41</v>
      </c>
      <c r="H69" s="5">
        <v>36</v>
      </c>
      <c r="I69" s="5"/>
      <c r="J69" s="5"/>
      <c r="K69" s="108">
        <v>0.82</v>
      </c>
      <c r="L69" s="5">
        <v>34</v>
      </c>
      <c r="M69" s="5" t="s">
        <v>134</v>
      </c>
      <c r="N69" s="5">
        <v>30.07</v>
      </c>
      <c r="O69" s="5">
        <v>1018.2</v>
      </c>
      <c r="P69" s="5"/>
      <c r="Q69" s="5"/>
      <c r="R69" s="5"/>
    </row>
    <row r="70" spans="1:18" x14ac:dyDescent="0.3">
      <c r="A70" s="5">
        <v>14</v>
      </c>
      <c r="B70" s="101">
        <v>0.28680555555555554</v>
      </c>
      <c r="C70" s="5" t="s">
        <v>228</v>
      </c>
      <c r="D70" s="5">
        <v>10</v>
      </c>
      <c r="E70" s="5" t="s">
        <v>178</v>
      </c>
      <c r="F70" s="5" t="s">
        <v>229</v>
      </c>
      <c r="G70" s="5">
        <v>42</v>
      </c>
      <c r="H70" s="5">
        <v>38</v>
      </c>
      <c r="I70" s="5">
        <v>43</v>
      </c>
      <c r="J70" s="5">
        <v>42</v>
      </c>
      <c r="K70" s="108">
        <v>0.85</v>
      </c>
      <c r="L70" s="5">
        <v>34</v>
      </c>
      <c r="M70" s="5" t="s">
        <v>134</v>
      </c>
      <c r="N70" s="5">
        <v>30.05</v>
      </c>
      <c r="O70" s="5">
        <v>1017.4</v>
      </c>
      <c r="P70" s="5"/>
      <c r="Q70" s="5"/>
      <c r="R70" s="5"/>
    </row>
    <row r="71" spans="1:18" x14ac:dyDescent="0.3">
      <c r="A71" s="5">
        <v>14</v>
      </c>
      <c r="B71" s="101">
        <v>0.24513888888888888</v>
      </c>
      <c r="C71" s="5" t="s">
        <v>230</v>
      </c>
      <c r="D71" s="5">
        <v>10</v>
      </c>
      <c r="E71" s="5" t="s">
        <v>178</v>
      </c>
      <c r="F71" s="5" t="s">
        <v>231</v>
      </c>
      <c r="G71" s="5">
        <v>42</v>
      </c>
      <c r="H71" s="5">
        <v>39</v>
      </c>
      <c r="I71" s="5"/>
      <c r="J71" s="5"/>
      <c r="K71" s="108">
        <v>0.89</v>
      </c>
      <c r="L71" s="5">
        <v>36</v>
      </c>
      <c r="M71" s="5" t="s">
        <v>134</v>
      </c>
      <c r="N71" s="5">
        <v>30.03</v>
      </c>
      <c r="O71" s="5">
        <v>1016.9</v>
      </c>
      <c r="P71" s="5"/>
      <c r="Q71" s="5"/>
      <c r="R71" s="5"/>
    </row>
    <row r="72" spans="1:18" x14ac:dyDescent="0.3">
      <c r="A72" s="5">
        <v>14</v>
      </c>
      <c r="B72" s="101">
        <v>0.20347222222222219</v>
      </c>
      <c r="C72" s="5" t="s">
        <v>190</v>
      </c>
      <c r="D72" s="5">
        <v>10</v>
      </c>
      <c r="E72" s="5" t="s">
        <v>178</v>
      </c>
      <c r="F72" s="5" t="s">
        <v>232</v>
      </c>
      <c r="G72" s="5">
        <v>42</v>
      </c>
      <c r="H72" s="5">
        <v>40</v>
      </c>
      <c r="I72" s="5"/>
      <c r="J72" s="5"/>
      <c r="K72" s="108">
        <v>0.92</v>
      </c>
      <c r="L72" s="5">
        <v>35</v>
      </c>
      <c r="M72" s="5" t="s">
        <v>134</v>
      </c>
      <c r="N72" s="5">
        <v>30.01</v>
      </c>
      <c r="O72" s="5">
        <v>1016.3</v>
      </c>
      <c r="P72" s="5"/>
      <c r="Q72" s="5"/>
      <c r="R72" s="5"/>
    </row>
    <row r="73" spans="1:18" x14ac:dyDescent="0.3">
      <c r="A73" s="5">
        <v>14</v>
      </c>
      <c r="B73" s="101">
        <v>0.16180555555555556</v>
      </c>
      <c r="C73" s="5" t="s">
        <v>230</v>
      </c>
      <c r="D73" s="5">
        <v>10</v>
      </c>
      <c r="E73" s="5" t="s">
        <v>178</v>
      </c>
      <c r="F73" s="5" t="s">
        <v>233</v>
      </c>
      <c r="G73" s="5">
        <v>43</v>
      </c>
      <c r="H73" s="5">
        <v>40</v>
      </c>
      <c r="I73" s="5"/>
      <c r="J73" s="5"/>
      <c r="K73" s="108">
        <v>0.89</v>
      </c>
      <c r="L73" s="5">
        <v>37</v>
      </c>
      <c r="M73" s="5" t="s">
        <v>134</v>
      </c>
      <c r="N73" s="5">
        <v>30</v>
      </c>
      <c r="O73" s="5">
        <v>1015.8</v>
      </c>
      <c r="P73" s="5"/>
      <c r="Q73" s="5"/>
      <c r="R73" s="5"/>
    </row>
    <row r="74" spans="1:18" x14ac:dyDescent="0.3">
      <c r="A74" s="5">
        <v>14</v>
      </c>
      <c r="B74" s="101">
        <v>0.12013888888888889</v>
      </c>
      <c r="C74" s="5" t="s">
        <v>230</v>
      </c>
      <c r="D74" s="5">
        <v>10</v>
      </c>
      <c r="E74" s="5" t="s">
        <v>178</v>
      </c>
      <c r="F74" s="5" t="s">
        <v>234</v>
      </c>
      <c r="G74" s="5">
        <v>43</v>
      </c>
      <c r="H74" s="5">
        <v>41</v>
      </c>
      <c r="I74" s="5"/>
      <c r="J74" s="5"/>
      <c r="K74" s="108">
        <v>0.93</v>
      </c>
      <c r="L74" s="5">
        <v>37</v>
      </c>
      <c r="M74" s="5" t="s">
        <v>134</v>
      </c>
      <c r="N74" s="5">
        <v>30</v>
      </c>
      <c r="O74" s="5">
        <v>1015.8</v>
      </c>
      <c r="P74" s="5"/>
      <c r="Q74" s="5"/>
      <c r="R74" s="5"/>
    </row>
    <row r="75" spans="1:18" x14ac:dyDescent="0.3">
      <c r="A75" s="5">
        <v>14</v>
      </c>
      <c r="B75" s="101">
        <v>7.8472222222222221E-2</v>
      </c>
      <c r="C75" s="5" t="s">
        <v>235</v>
      </c>
      <c r="D75" s="5">
        <v>10</v>
      </c>
      <c r="E75" s="5" t="s">
        <v>178</v>
      </c>
      <c r="F75" s="5" t="s">
        <v>236</v>
      </c>
      <c r="G75" s="5">
        <v>43</v>
      </c>
      <c r="H75" s="5">
        <v>41</v>
      </c>
      <c r="I75" s="5"/>
      <c r="J75" s="5"/>
      <c r="K75" s="108">
        <v>0.93</v>
      </c>
      <c r="L75" s="5">
        <v>38</v>
      </c>
      <c r="M75" s="5" t="s">
        <v>134</v>
      </c>
      <c r="N75" s="5">
        <v>30</v>
      </c>
      <c r="O75" s="5">
        <v>1015.7</v>
      </c>
      <c r="P75" s="5"/>
      <c r="Q75" s="5"/>
      <c r="R75" s="5"/>
    </row>
    <row r="76" spans="1:18" x14ac:dyDescent="0.3">
      <c r="A76" s="5">
        <v>14</v>
      </c>
      <c r="B76" s="101">
        <v>3.6805555555555557E-2</v>
      </c>
      <c r="C76" s="5" t="s">
        <v>230</v>
      </c>
      <c r="D76" s="5">
        <v>10</v>
      </c>
      <c r="E76" s="5" t="s">
        <v>178</v>
      </c>
      <c r="F76" s="5" t="s">
        <v>237</v>
      </c>
      <c r="G76" s="5">
        <v>44</v>
      </c>
      <c r="H76" s="5">
        <v>41</v>
      </c>
      <c r="I76" s="5">
        <v>46</v>
      </c>
      <c r="J76" s="5">
        <v>43</v>
      </c>
      <c r="K76" s="108">
        <v>0.89</v>
      </c>
      <c r="L76" s="5">
        <v>39</v>
      </c>
      <c r="M76" s="5" t="s">
        <v>134</v>
      </c>
      <c r="N76" s="5">
        <v>30.02</v>
      </c>
      <c r="O76" s="5">
        <v>1016.4</v>
      </c>
      <c r="P76" s="5"/>
      <c r="Q76" s="5"/>
      <c r="R76" s="5">
        <v>0.06</v>
      </c>
    </row>
    <row r="77" spans="1:18" x14ac:dyDescent="0.3">
      <c r="A77" s="5">
        <v>13</v>
      </c>
      <c r="B77" s="101">
        <v>0.99513888888888891</v>
      </c>
      <c r="C77" s="5" t="s">
        <v>230</v>
      </c>
      <c r="D77" s="5">
        <v>10</v>
      </c>
      <c r="E77" s="5" t="s">
        <v>178</v>
      </c>
      <c r="F77" s="5" t="s">
        <v>238</v>
      </c>
      <c r="G77" s="5">
        <v>44</v>
      </c>
      <c r="H77" s="5">
        <v>42</v>
      </c>
      <c r="I77" s="5"/>
      <c r="J77" s="5"/>
      <c r="K77" s="108">
        <v>0.93</v>
      </c>
      <c r="L77" s="5">
        <v>39</v>
      </c>
      <c r="M77" s="5" t="s">
        <v>134</v>
      </c>
      <c r="N77" s="5">
        <v>30.02</v>
      </c>
      <c r="O77" s="5">
        <v>1016.5</v>
      </c>
      <c r="P77" s="5"/>
      <c r="Q77" s="5"/>
      <c r="R77" s="5"/>
    </row>
    <row r="78" spans="1:18" x14ac:dyDescent="0.3">
      <c r="A78" s="5">
        <v>13</v>
      </c>
      <c r="B78" s="101">
        <v>0.95347222222222217</v>
      </c>
      <c r="C78" s="5" t="s">
        <v>221</v>
      </c>
      <c r="D78" s="5">
        <v>10</v>
      </c>
      <c r="E78" s="5" t="s">
        <v>178</v>
      </c>
      <c r="F78" s="5" t="s">
        <v>239</v>
      </c>
      <c r="G78" s="5">
        <v>44</v>
      </c>
      <c r="H78" s="5">
        <v>42</v>
      </c>
      <c r="I78" s="5"/>
      <c r="J78" s="5"/>
      <c r="K78" s="108">
        <v>0.93</v>
      </c>
      <c r="L78" s="5">
        <v>39</v>
      </c>
      <c r="M78" s="5" t="s">
        <v>134</v>
      </c>
      <c r="N78" s="5">
        <v>30.04</v>
      </c>
      <c r="O78" s="5">
        <v>1017.3</v>
      </c>
      <c r="P78" s="5"/>
      <c r="Q78" s="5"/>
      <c r="R78" s="5"/>
    </row>
    <row r="79" spans="1:18" x14ac:dyDescent="0.3">
      <c r="A79" s="5">
        <v>13</v>
      </c>
      <c r="B79" s="101">
        <v>0.91180555555555554</v>
      </c>
      <c r="C79" s="5" t="s">
        <v>221</v>
      </c>
      <c r="D79" s="5">
        <v>10</v>
      </c>
      <c r="E79" s="5" t="s">
        <v>178</v>
      </c>
      <c r="F79" s="5" t="s">
        <v>240</v>
      </c>
      <c r="G79" s="5">
        <v>45</v>
      </c>
      <c r="H79" s="5">
        <v>43</v>
      </c>
      <c r="I79" s="5"/>
      <c r="J79" s="5"/>
      <c r="K79" s="108">
        <v>0.93</v>
      </c>
      <c r="L79" s="5">
        <v>40</v>
      </c>
      <c r="M79" s="5" t="s">
        <v>134</v>
      </c>
      <c r="N79" s="5">
        <v>30.03</v>
      </c>
      <c r="O79" s="5">
        <v>1016.8</v>
      </c>
      <c r="P79" s="5"/>
      <c r="Q79" s="5">
        <v>0.06</v>
      </c>
      <c r="R79" s="5"/>
    </row>
    <row r="80" spans="1:18" x14ac:dyDescent="0.3">
      <c r="A80" s="5">
        <v>13</v>
      </c>
      <c r="B80" s="101">
        <v>0.87013888888888891</v>
      </c>
      <c r="C80" s="5" t="s">
        <v>235</v>
      </c>
      <c r="D80" s="5">
        <v>10</v>
      </c>
      <c r="E80" s="5" t="s">
        <v>178</v>
      </c>
      <c r="F80" s="5" t="s">
        <v>241</v>
      </c>
      <c r="G80" s="5">
        <v>45</v>
      </c>
      <c r="H80" s="5">
        <v>43</v>
      </c>
      <c r="I80" s="5"/>
      <c r="J80" s="5"/>
      <c r="K80" s="108">
        <v>0.93</v>
      </c>
      <c r="L80" s="5">
        <v>41</v>
      </c>
      <c r="M80" s="5" t="s">
        <v>134</v>
      </c>
      <c r="N80" s="5">
        <v>30.01</v>
      </c>
      <c r="O80" s="5">
        <v>1016.1</v>
      </c>
      <c r="P80" s="5"/>
      <c r="Q80" s="5"/>
      <c r="R80" s="5"/>
    </row>
    <row r="81" spans="1:18" x14ac:dyDescent="0.3">
      <c r="A81" s="5">
        <v>13</v>
      </c>
      <c r="B81" s="101">
        <v>0.82847222222222217</v>
      </c>
      <c r="C81" s="5" t="s">
        <v>184</v>
      </c>
      <c r="D81" s="5">
        <v>10</v>
      </c>
      <c r="E81" s="5" t="s">
        <v>178</v>
      </c>
      <c r="F81" s="5" t="s">
        <v>242</v>
      </c>
      <c r="G81" s="5">
        <v>46</v>
      </c>
      <c r="H81" s="5">
        <v>44</v>
      </c>
      <c r="I81" s="5"/>
      <c r="J81" s="5"/>
      <c r="K81" s="108">
        <v>0.93</v>
      </c>
      <c r="L81" s="5">
        <v>42</v>
      </c>
      <c r="M81" s="5" t="s">
        <v>134</v>
      </c>
      <c r="N81" s="5">
        <v>29.98</v>
      </c>
      <c r="O81" s="5">
        <v>1015.2</v>
      </c>
      <c r="P81" s="5">
        <v>0.06</v>
      </c>
      <c r="Q81" s="5"/>
      <c r="R81" s="5"/>
    </row>
    <row r="82" spans="1:18" x14ac:dyDescent="0.3">
      <c r="A82" s="5">
        <v>13</v>
      </c>
      <c r="B82" s="101">
        <v>0.78680555555555554</v>
      </c>
      <c r="C82" s="5" t="s">
        <v>167</v>
      </c>
      <c r="D82" s="5">
        <v>4</v>
      </c>
      <c r="E82" s="5" t="s">
        <v>243</v>
      </c>
      <c r="F82" s="5" t="s">
        <v>244</v>
      </c>
      <c r="G82" s="5">
        <v>46</v>
      </c>
      <c r="H82" s="5">
        <v>45</v>
      </c>
      <c r="I82" s="5">
        <v>47</v>
      </c>
      <c r="J82" s="5">
        <v>46</v>
      </c>
      <c r="K82" s="108">
        <v>0.96</v>
      </c>
      <c r="L82" s="5">
        <v>44</v>
      </c>
      <c r="M82" s="5" t="s">
        <v>134</v>
      </c>
      <c r="N82" s="5">
        <v>29.98</v>
      </c>
      <c r="O82" s="5">
        <v>1015.2</v>
      </c>
      <c r="P82" s="5">
        <v>0.17</v>
      </c>
      <c r="Q82" s="5"/>
      <c r="R82" s="5">
        <v>0.24</v>
      </c>
    </row>
    <row r="83" spans="1:18" x14ac:dyDescent="0.3">
      <c r="A83" s="5">
        <v>13</v>
      </c>
      <c r="B83" s="101">
        <v>0.74513888888888891</v>
      </c>
      <c r="C83" s="5" t="s">
        <v>200</v>
      </c>
      <c r="D83" s="5">
        <v>3</v>
      </c>
      <c r="E83" s="5" t="s">
        <v>243</v>
      </c>
      <c r="F83" s="5" t="s">
        <v>245</v>
      </c>
      <c r="G83" s="5">
        <v>46</v>
      </c>
      <c r="H83" s="5">
        <v>45</v>
      </c>
      <c r="I83" s="5"/>
      <c r="J83" s="5"/>
      <c r="K83" s="108">
        <v>0.96</v>
      </c>
      <c r="L83" s="5">
        <v>43</v>
      </c>
      <c r="M83" s="5" t="s">
        <v>134</v>
      </c>
      <c r="N83" s="5">
        <v>29.99</v>
      </c>
      <c r="O83" s="5">
        <v>1015.5</v>
      </c>
      <c r="P83" s="5">
        <v>7.0000000000000007E-2</v>
      </c>
      <c r="Q83" s="5"/>
      <c r="R83" s="5"/>
    </row>
    <row r="84" spans="1:18" x14ac:dyDescent="0.3">
      <c r="A84" s="5">
        <v>13</v>
      </c>
      <c r="B84" s="101">
        <v>0.70347222222222217</v>
      </c>
      <c r="C84" s="5" t="s">
        <v>131</v>
      </c>
      <c r="D84" s="5">
        <v>2.5</v>
      </c>
      <c r="E84" s="5" t="s">
        <v>246</v>
      </c>
      <c r="F84" s="5" t="s">
        <v>247</v>
      </c>
      <c r="G84" s="5">
        <v>46</v>
      </c>
      <c r="H84" s="5">
        <v>45</v>
      </c>
      <c r="I84" s="5"/>
      <c r="J84" s="5"/>
      <c r="K84" s="108">
        <v>0.96</v>
      </c>
      <c r="L84" s="5" t="s">
        <v>134</v>
      </c>
      <c r="M84" s="5" t="s">
        <v>134</v>
      </c>
      <c r="N84" s="5">
        <v>29.98</v>
      </c>
      <c r="O84" s="5">
        <v>1015.3</v>
      </c>
      <c r="P84" s="5"/>
      <c r="Q84" s="5"/>
      <c r="R84" s="5"/>
    </row>
    <row r="85" spans="1:18" x14ac:dyDescent="0.3">
      <c r="A85" t="s">
        <v>100</v>
      </c>
      <c r="B85" s="96" t="s">
        <v>104</v>
      </c>
      <c r="C85" t="s">
        <v>105</v>
      </c>
      <c r="D85" t="s">
        <v>107</v>
      </c>
      <c r="E85" t="s">
        <v>109</v>
      </c>
      <c r="F85" t="s">
        <v>110</v>
      </c>
      <c r="G85" t="s">
        <v>119</v>
      </c>
      <c r="H85" t="s">
        <v>120</v>
      </c>
      <c r="I85" t="s">
        <v>129</v>
      </c>
      <c r="J85" t="s">
        <v>130</v>
      </c>
      <c r="K85" s="97" t="s">
        <v>112</v>
      </c>
      <c r="L85" t="s">
        <v>105</v>
      </c>
      <c r="M85" t="s">
        <v>116</v>
      </c>
      <c r="N85" t="s">
        <v>122</v>
      </c>
      <c r="O85" t="s">
        <v>124</v>
      </c>
      <c r="P85" t="s">
        <v>126</v>
      </c>
      <c r="Q85" t="s">
        <v>127</v>
      </c>
      <c r="R85" t="s">
        <v>128</v>
      </c>
    </row>
    <row r="86" spans="1:18" x14ac:dyDescent="0.3">
      <c r="A86" t="s">
        <v>101</v>
      </c>
      <c r="B86" t="s">
        <v>165</v>
      </c>
      <c r="C86" t="s">
        <v>106</v>
      </c>
      <c r="D86" t="s">
        <v>108</v>
      </c>
      <c r="K86" t="s">
        <v>113</v>
      </c>
      <c r="L86" t="s">
        <v>114</v>
      </c>
      <c r="M86" t="s">
        <v>117</v>
      </c>
      <c r="N86" t="s">
        <v>138</v>
      </c>
      <c r="O86" t="s">
        <v>125</v>
      </c>
    </row>
    <row r="87" spans="1:18" x14ac:dyDescent="0.3">
      <c r="A87" t="s">
        <v>102</v>
      </c>
      <c r="I87" t="s">
        <v>121</v>
      </c>
      <c r="L87" t="s">
        <v>115</v>
      </c>
      <c r="M87" t="s">
        <v>115</v>
      </c>
    </row>
    <row r="88" spans="1:18" x14ac:dyDescent="0.3">
      <c r="A88" s="137" t="s">
        <v>103</v>
      </c>
      <c r="B88" s="137"/>
      <c r="C88" s="137"/>
      <c r="D88" s="137"/>
      <c r="E88" s="137"/>
      <c r="F88" s="137"/>
      <c r="G88" s="137" t="s">
        <v>111</v>
      </c>
      <c r="H88" s="137"/>
      <c r="I88" s="137"/>
      <c r="J88" s="137"/>
      <c r="K88" s="137"/>
      <c r="L88" s="137"/>
      <c r="M88" s="137"/>
      <c r="N88" s="137" t="s">
        <v>29</v>
      </c>
      <c r="O88" s="137"/>
      <c r="P88" s="137" t="s">
        <v>118</v>
      </c>
      <c r="Q88" s="137"/>
      <c r="R88" s="137"/>
    </row>
  </sheetData>
  <mergeCells count="3">
    <mergeCell ref="A8:R8"/>
    <mergeCell ref="H3:R5"/>
    <mergeCell ref="A1:R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147</vt:i4>
      </vt:variant>
    </vt:vector>
  </HeadingPairs>
  <TitlesOfParts>
    <vt:vector size="155" baseType="lpstr">
      <vt:lpstr>MEASURE</vt:lpstr>
      <vt:lpstr>Chambers</vt:lpstr>
      <vt:lpstr>Electrometers</vt:lpstr>
      <vt:lpstr>Machines</vt:lpstr>
      <vt:lpstr>Physicists</vt:lpstr>
      <vt:lpstr>Corrections</vt:lpstr>
      <vt:lpstr>CurrentSelections</vt:lpstr>
      <vt:lpstr>Airport Pressure</vt:lpstr>
      <vt:lpstr>ChamberData</vt:lpstr>
      <vt:lpstr>Chambers</vt:lpstr>
      <vt:lpstr>CTP</vt:lpstr>
      <vt:lpstr>Current_Chamber_CalDate</vt:lpstr>
      <vt:lpstr>Current_ConeF_E1</vt:lpstr>
      <vt:lpstr>Current_ConeF_E2</vt:lpstr>
      <vt:lpstr>Current_ConeF_E3</vt:lpstr>
      <vt:lpstr>Current_ConeF_E4</vt:lpstr>
      <vt:lpstr>Current_ConeF_E5</vt:lpstr>
      <vt:lpstr>Current_dmax_HighX</vt:lpstr>
      <vt:lpstr>Current_dmax_LowX</vt:lpstr>
      <vt:lpstr>Current_dref_E1</vt:lpstr>
      <vt:lpstr>Current_dref_E2</vt:lpstr>
      <vt:lpstr>Current_dref_E3</vt:lpstr>
      <vt:lpstr>Current_dref_E4</vt:lpstr>
      <vt:lpstr>Current_dref_E5</vt:lpstr>
      <vt:lpstr>Current_E1</vt:lpstr>
      <vt:lpstr>Current_E1kpR50</vt:lpstr>
      <vt:lpstr>Current_E2</vt:lpstr>
      <vt:lpstr>Current_E2kpR50</vt:lpstr>
      <vt:lpstr>Current_E3</vt:lpstr>
      <vt:lpstr>Current_E3kpR50</vt:lpstr>
      <vt:lpstr>Current_E4</vt:lpstr>
      <vt:lpstr>Current_E4kpR50</vt:lpstr>
      <vt:lpstr>Current_E5</vt:lpstr>
      <vt:lpstr>Current_E5kpR50</vt:lpstr>
      <vt:lpstr>Current_Electrometer_CalDate</vt:lpstr>
      <vt:lpstr>Current_elPDD_E1</vt:lpstr>
      <vt:lpstr>Current_elPDD_E2</vt:lpstr>
      <vt:lpstr>Current_elPDD_E3</vt:lpstr>
      <vt:lpstr>Current_elPDD_E4</vt:lpstr>
      <vt:lpstr>Current_elPDD_E5</vt:lpstr>
      <vt:lpstr>Current_HighETol_E1</vt:lpstr>
      <vt:lpstr>Current_HighETol_E2</vt:lpstr>
      <vt:lpstr>Current_HighETol_E3</vt:lpstr>
      <vt:lpstr>Current_HighETol_E4</vt:lpstr>
      <vt:lpstr>Current_HighETol_E5</vt:lpstr>
      <vt:lpstr>Current_HighX</vt:lpstr>
      <vt:lpstr>Current_HighX_kQ</vt:lpstr>
      <vt:lpstr>Current_I50_E1</vt:lpstr>
      <vt:lpstr>Current_I50_E2</vt:lpstr>
      <vt:lpstr>Current_I50_E3</vt:lpstr>
      <vt:lpstr>Current_I50_E4</vt:lpstr>
      <vt:lpstr>Current_I50_E5</vt:lpstr>
      <vt:lpstr>Current_InvSq</vt:lpstr>
      <vt:lpstr>Current_IsSADType</vt:lpstr>
      <vt:lpstr>Current_kecal</vt:lpstr>
      <vt:lpstr>Current_kQ_HighX</vt:lpstr>
      <vt:lpstr>Current_kQ_LowX</vt:lpstr>
      <vt:lpstr>Current_LowETol_E1</vt:lpstr>
      <vt:lpstr>Current_LowETol_E2</vt:lpstr>
      <vt:lpstr>Current_LowETol_E3</vt:lpstr>
      <vt:lpstr>Current_LowETol_E4</vt:lpstr>
      <vt:lpstr>Current_LowETol_E5</vt:lpstr>
      <vt:lpstr>Current_LowX</vt:lpstr>
      <vt:lpstr>Current_NdwCo60</vt:lpstr>
      <vt:lpstr>Current_PDD10_HighX</vt:lpstr>
      <vt:lpstr>Current_PDD10_LowX</vt:lpstr>
      <vt:lpstr>Current_pDD10X_HighX</vt:lpstr>
      <vt:lpstr>Current_pDD10X_LowX</vt:lpstr>
      <vt:lpstr>Current_Pelec</vt:lpstr>
      <vt:lpstr>Current_Physicist</vt:lpstr>
      <vt:lpstr>Current_Pion_E1</vt:lpstr>
      <vt:lpstr>Current_Pion_E2</vt:lpstr>
      <vt:lpstr>Current_Pion_E3</vt:lpstr>
      <vt:lpstr>Current_Pion_E4</vt:lpstr>
      <vt:lpstr>Current_Pion_E5</vt:lpstr>
      <vt:lpstr>Current_Pion_HighX</vt:lpstr>
      <vt:lpstr>Current_Pion_LowX</vt:lpstr>
      <vt:lpstr>Current_Ppol_E1</vt:lpstr>
      <vt:lpstr>Current_Ppol_E2</vt:lpstr>
      <vt:lpstr>Current_Ppol_E3</vt:lpstr>
      <vt:lpstr>Current_Ppol_E4</vt:lpstr>
      <vt:lpstr>Current_Ppol_E5</vt:lpstr>
      <vt:lpstr>Current_Ppol_HighX</vt:lpstr>
      <vt:lpstr>Current_Ppol_LowX</vt:lpstr>
      <vt:lpstr>Current_R50_E1</vt:lpstr>
      <vt:lpstr>Current_R50_E2</vt:lpstr>
      <vt:lpstr>Current_R50_E3</vt:lpstr>
      <vt:lpstr>Current_R50_E4</vt:lpstr>
      <vt:lpstr>Current_R50_E5</vt:lpstr>
      <vt:lpstr>Current_R80_E1</vt:lpstr>
      <vt:lpstr>Current_R80_E2</vt:lpstr>
      <vt:lpstr>Current_R80_E3</vt:lpstr>
      <vt:lpstr>Current_R80_E4</vt:lpstr>
      <vt:lpstr>Current_R80_E5</vt:lpstr>
      <vt:lpstr>Current_R90_E1</vt:lpstr>
      <vt:lpstr>Current_R90_E2</vt:lpstr>
      <vt:lpstr>Current_R90_E3</vt:lpstr>
      <vt:lpstr>Current_R90_E4</vt:lpstr>
      <vt:lpstr>Current_R90_E5</vt:lpstr>
      <vt:lpstr>Current_rcav</vt:lpstr>
      <vt:lpstr>Current_TMR_PDD10_HighX</vt:lpstr>
      <vt:lpstr>Current_TMR_PDD10_LowX</vt:lpstr>
      <vt:lpstr>dref_12E</vt:lpstr>
      <vt:lpstr>dref_15E</vt:lpstr>
      <vt:lpstr>dref_18E</vt:lpstr>
      <vt:lpstr>dref_6E</vt:lpstr>
      <vt:lpstr>dref_9E</vt:lpstr>
      <vt:lpstr>E1_dref</vt:lpstr>
      <vt:lpstr>E1_Pion</vt:lpstr>
      <vt:lpstr>E1_Ppol</vt:lpstr>
      <vt:lpstr>E1_R50</vt:lpstr>
      <vt:lpstr>E2_dref</vt:lpstr>
      <vt:lpstr>E2_Pgrad</vt:lpstr>
      <vt:lpstr>E2_Pion</vt:lpstr>
      <vt:lpstr>E2_Ppol</vt:lpstr>
      <vt:lpstr>E2_R50</vt:lpstr>
      <vt:lpstr>E3_dref</vt:lpstr>
      <vt:lpstr>E3_Pgrad</vt:lpstr>
      <vt:lpstr>E3_Pion</vt:lpstr>
      <vt:lpstr>E3_Ppol</vt:lpstr>
      <vt:lpstr>E3_R50</vt:lpstr>
      <vt:lpstr>E4_dref</vt:lpstr>
      <vt:lpstr>E4_Pgrad</vt:lpstr>
      <vt:lpstr>E4_Pion</vt:lpstr>
      <vt:lpstr>E4_Ppol</vt:lpstr>
      <vt:lpstr>E4_R50</vt:lpstr>
      <vt:lpstr>E5_dref</vt:lpstr>
      <vt:lpstr>E5_Pgrad</vt:lpstr>
      <vt:lpstr>E5_Pion</vt:lpstr>
      <vt:lpstr>E5_Ppol</vt:lpstr>
      <vt:lpstr>E5_R50</vt:lpstr>
      <vt:lpstr>ElectrometerADCLDates</vt:lpstr>
      <vt:lpstr>ElectrometerFactors</vt:lpstr>
      <vt:lpstr>Electrometers</vt:lpstr>
      <vt:lpstr>HighX_Pion</vt:lpstr>
      <vt:lpstr>HighX_Ppol</vt:lpstr>
      <vt:lpstr>'Airport Pressure'!KBHM_1</vt:lpstr>
      <vt:lpstr>LowX_Pion</vt:lpstr>
      <vt:lpstr>LowX_Ppol</vt:lpstr>
      <vt:lpstr>MachineData</vt:lpstr>
      <vt:lpstr>Machines</vt:lpstr>
      <vt:lpstr>MU</vt:lpstr>
      <vt:lpstr>NewMeasurementValues</vt:lpstr>
      <vt:lpstr>P</vt:lpstr>
      <vt:lpstr>Physicists</vt:lpstr>
      <vt:lpstr>PionValues</vt:lpstr>
      <vt:lpstr>PpolValues</vt:lpstr>
      <vt:lpstr>Chambers!Print_Area</vt:lpstr>
      <vt:lpstr>CurrentSelections!Print_Area</vt:lpstr>
      <vt:lpstr>MEASURE!Print_Area</vt:lpstr>
      <vt:lpstr>SelectedChamber</vt:lpstr>
      <vt:lpstr>SelectedElectrometer</vt:lpstr>
      <vt:lpstr>SelectedMachine</vt:lpstr>
      <vt:lpstr>T</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Rex</dc:creator>
  <cp:lastModifiedBy>Rex Cardan</cp:lastModifiedBy>
  <cp:lastPrinted>2015-09-17T18:02:08Z</cp:lastPrinted>
  <dcterms:created xsi:type="dcterms:W3CDTF">2012-09-18T13:52:51Z</dcterms:created>
  <dcterms:modified xsi:type="dcterms:W3CDTF">2017-04-20T21:40:33Z</dcterms:modified>
</cp:coreProperties>
</file>