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tables/table4.xml" ContentType="application/vnd.openxmlformats-officedocument.spreadsheetml.tabl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5.xml" ContentType="application/vnd.openxmlformats-officedocument.spreadsheetml.table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tables/table6.xml" ContentType="application/vnd.openxmlformats-officedocument.spreadsheetml.table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tables/table7.xml" ContentType="application/vnd.openxmlformats-officedocument.spreadsheetml.table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 defaultThemeVersion="124226"/>
  <bookViews>
    <workbookView xWindow="390" yWindow="45" windowWidth="13380" windowHeight="7155"/>
  </bookViews>
  <sheets>
    <sheet name="Autodrive" sheetId="1" r:id="rId1"/>
    <sheet name="OF" sheetId="2" r:id="rId2"/>
    <sheet name="Wedge Factors" sheetId="3" r:id="rId3"/>
    <sheet name="MU Linearity" sheetId="4" r:id="rId4"/>
    <sheet name="Accelerator Details" sheetId="5" r:id="rId5"/>
  </sheets>
  <definedNames>
    <definedName name="A10E1OF" comment="">Autodrive!$L$65:$N$65</definedName>
    <definedName name="A10E2OF" comment="">Autodrive!$L$66:$N$66</definedName>
    <definedName name="A10E3OF" comment="">Autodrive!$L$67:$N$67</definedName>
    <definedName name="A10E4OF" comment="">Autodrive!$L$68:$N$68</definedName>
    <definedName name="A10E5OF" comment="">Autodrive!$L$69:$N$69</definedName>
    <definedName name="A15E1OF" comment="">Autodrive!$L$70:$N$70</definedName>
    <definedName name="A15E2OF" comment="">Autodrive!$L$71:$N$71</definedName>
    <definedName name="A15E3OF" comment="">Autodrive!$L$72:$N$72</definedName>
    <definedName name="A15E4OF" comment="">Autodrive!$L$73:$N$73</definedName>
    <definedName name="A15E5OF" comment="">Autodrive!$L$74:$N$74</definedName>
    <definedName name="A20E1OF" comment="">Autodrive!$L$75:$N$75</definedName>
    <definedName name="A20E2OF" comment="">Autodrive!$L$61:$N$76</definedName>
    <definedName name="A20E3OF" comment="">Autodrive!$L$77:$N$77</definedName>
    <definedName name="A20E4OF" comment="">Autodrive!$L$78:$N$78</definedName>
    <definedName name="A20E5OF" comment="">Autodrive!$L$79:$N$79</definedName>
    <definedName name="A25E1OF" comment="">Autodrive!$L$80:$N$80</definedName>
    <definedName name="A25E2OF" comment="">Autodrive!$L$81:$N$81</definedName>
    <definedName name="A25E3OF" comment="">Autodrive!$L$82:$N$82</definedName>
    <definedName name="A25E4OF" comment="">Autodrive!$L$83:$N$83</definedName>
    <definedName name="A25E5OF" comment="">Autodrive!$L$84:$N$84</definedName>
    <definedName name="A6E1OF" comment="">Autodrive!$L$60:$N$60</definedName>
    <definedName name="A6E2OF" comment="">Autodrive!$L$61:$N$61</definedName>
    <definedName name="A6E3OF" comment="">Autodrive!$L$62:$N$62</definedName>
    <definedName name="A6E4OF" comment="">Autodrive!$L$63:$N$63</definedName>
    <definedName name="A6E5OF" comment="">Autodrive!$L$64:$N$64</definedName>
    <definedName name="BLANK" comment="">'Accelerator Details'!$A$182</definedName>
    <definedName name="Elec1" comment="">'Accelerator Details'!$A$29</definedName>
    <definedName name="Elec1_10x10" comment="">'Accelerator Details'!$E$29</definedName>
    <definedName name="Elec1_15x15" comment="">'Accelerator Details'!$F$29</definedName>
    <definedName name="Elec1_20x20" comment="">'Accelerator Details'!$G$29</definedName>
    <definedName name="Elec1_25x25" comment="">'Accelerator Details'!$H$29</definedName>
    <definedName name="Elec1_6x6" comment="">'Accelerator Details'!$D$29</definedName>
    <definedName name="Elec2" comment="">'Accelerator Details'!$A$30</definedName>
    <definedName name="Elec2_10x10" comment="">'Accelerator Details'!$E$30</definedName>
    <definedName name="Elec2_15x15" comment="">'Accelerator Details'!$F$30</definedName>
    <definedName name="Elec2_20x20" comment="">'Accelerator Details'!$G$30</definedName>
    <definedName name="Elec2_25x25" comment="">'Accelerator Details'!$H$30</definedName>
    <definedName name="Elec2_6x6" comment="">'Accelerator Details'!$D$30</definedName>
    <definedName name="Elec3" comment="">'Accelerator Details'!$A$31</definedName>
    <definedName name="Elec3_10x10" comment="">'Accelerator Details'!$E$31</definedName>
    <definedName name="Elec3_15x15" comment="">'Accelerator Details'!$F$31</definedName>
    <definedName name="Elec3_20x20" comment="">'Accelerator Details'!$G$31</definedName>
    <definedName name="Elec3_25x25" comment="">'Accelerator Details'!$H$31</definedName>
    <definedName name="Elec3_6x6" comment="">'Accelerator Details'!$D$31</definedName>
    <definedName name="Elec4" comment="">'Accelerator Details'!$A$32</definedName>
    <definedName name="Elec4_10x10" comment="">'Accelerator Details'!$E$32</definedName>
    <definedName name="Elec4_15x15" comment="">'Accelerator Details'!$F$32</definedName>
    <definedName name="Elec4_20x20" comment="">'Accelerator Details'!$G$32</definedName>
    <definedName name="Elec4_25x25" comment="">'Accelerator Details'!$H$32</definedName>
    <definedName name="Elec4_6x6" comment="">'Accelerator Details'!$D$32</definedName>
    <definedName name="Elec5" comment="">'Accelerator Details'!$A$33</definedName>
    <definedName name="Elec5_10x10" comment="">'Accelerator Details'!$E$33</definedName>
    <definedName name="Elec5_15x15" comment="">'Accelerator Details'!$F$33</definedName>
    <definedName name="Elec5_20x20" comment="">'Accelerator Details'!$G$33</definedName>
    <definedName name="Elec5_25x25" comment="">'Accelerator Details'!$H$33</definedName>
    <definedName name="Elec5_6x6" comment="">'Accelerator Details'!$D$33</definedName>
    <definedName name="HighX" comment="">'Accelerator Details'!$A$6</definedName>
    <definedName name="HighX_10EDW" comment="">'Accelerator Details'!$A$10</definedName>
    <definedName name="HighX_10x10" comment="">'Accelerator Details'!$C$14</definedName>
    <definedName name="HighX_15EDW" comment="">'Accelerator Details'!$B$10</definedName>
    <definedName name="HighX_15x15" comment="">'Accelerator Details'!$D$14</definedName>
    <definedName name="HighX_20EDW" comment="">'Accelerator Details'!$C$10</definedName>
    <definedName name="HighX_20x20" comment="">'Accelerator Details'!$E$14</definedName>
    <definedName name="HighX_25EDW" comment="">'Accelerator Details'!$D$10</definedName>
    <definedName name="HighX_25x25" comment="">'Accelerator Details'!$F$14</definedName>
    <definedName name="HighX_30EDW" comment="">'Accelerator Details'!$E$10</definedName>
    <definedName name="HighX_30x30" comment="">'Accelerator Details'!$G$14</definedName>
    <definedName name="HighX_40x40" comment="">'Accelerator Details'!$H$14</definedName>
    <definedName name="HighX_45EDW" comment="">'Accelerator Details'!$F$10</definedName>
    <definedName name="HighX_4x4" comment="">'Accelerator Details'!$A$14</definedName>
    <definedName name="HighX_5x5" comment="">'Accelerator Details'!$B$14</definedName>
    <definedName name="HighX_60EDW" comment="">'Accelerator Details'!$G$10</definedName>
    <definedName name="HighX_dmax" comment="">'Accelerator Details'!$C$6</definedName>
    <definedName name="LowX" comment="">'Accelerator Details'!$A$5</definedName>
    <definedName name="LowX_10EDW" comment="">'Accelerator Details'!$A$9</definedName>
    <definedName name="LowX_10x10" comment="">'Accelerator Details'!$C$13</definedName>
    <definedName name="LowX_15EDW" comment="">'Accelerator Details'!$B$9</definedName>
    <definedName name="LowX_15x15" comment="">'Accelerator Details'!$D$13</definedName>
    <definedName name="LowX_20EDW" comment="">'Accelerator Details'!$C$9</definedName>
    <definedName name="LowX_20x20" comment="">'Accelerator Details'!$E$13</definedName>
    <definedName name="LowX_25EDW" comment="">'Accelerator Details'!$D$9</definedName>
    <definedName name="LowX_25x25" comment="">'Accelerator Details'!$F$13</definedName>
    <definedName name="LowX_30EDW" comment="">'Accelerator Details'!$E$9</definedName>
    <definedName name="LowX_30x30" comment="">'Accelerator Details'!$G$13</definedName>
    <definedName name="LowX_40x40" comment="">'Accelerator Details'!$H$13</definedName>
    <definedName name="LowX_45EDW" comment="">'Accelerator Details'!$F$9</definedName>
    <definedName name="LowX_4x4" comment="">'Accelerator Details'!$A$13</definedName>
    <definedName name="LowX_5x5" comment="">'Accelerator Details'!$B$13</definedName>
    <definedName name="LowX_60EDW" comment="">'Accelerator Details'!$G$9</definedName>
    <definedName name="LowX_dmax" comment="">'Accelerator Details'!$C$5</definedName>
    <definedName name="X1EDW" comment="">Autodrive!$L$16:$N$30</definedName>
    <definedName name="X1MULIN" comment="">Autodrive!$L$47:$N$52</definedName>
    <definedName name="X1OF" comment="">Autodrive!$L$3:$N$8</definedName>
    <definedName name="X2EDW" comment="">Autodrive!$L$31:$N$45</definedName>
    <definedName name="X2MULIN" comment="">Autodrive!$L$53:$N$58</definedName>
    <definedName name="X2OF" comment="">Autodrive!$L$9:$N$14</definedName>
  </definedNames>
  <calcPr fullPrecision="1" calcId="162913"/>
</workbook>
</file>

<file path=xl/sharedStrings.xml><?xml version="1.0" encoding="utf-8"?>
<sst xmlns="http://schemas.openxmlformats.org/spreadsheetml/2006/main" uniqueCount="105" count="418">
  <si>
    <t>Energy</t>
  </si>
  <si>
    <t>Mode</t>
  </si>
  <si>
    <t>MU</t>
  </si>
  <si>
    <t>Accessory</t>
  </si>
  <si>
    <t>X1</t>
  </si>
  <si>
    <t>X2</t>
  </si>
  <si>
    <t>Y1</t>
  </si>
  <si>
    <t>Y2</t>
  </si>
  <si>
    <t>Rate</t>
  </si>
  <si>
    <t>N</t>
  </si>
  <si>
    <t>M1</t>
  </si>
  <si>
    <t>//Photon Output Factors</t>
  </si>
  <si>
    <t>6X</t>
  </si>
  <si>
    <t>Fixed</t>
  </si>
  <si>
    <t>15X</t>
  </si>
  <si>
    <t>//EDW Output Factors</t>
  </si>
  <si>
    <t>EDW</t>
  </si>
  <si>
    <t>Y1IN10</t>
  </si>
  <si>
    <t>Y2OUT10</t>
  </si>
  <si>
    <t>Y1IN15</t>
  </si>
  <si>
    <t>Y2OUT15</t>
  </si>
  <si>
    <t>Y1IN20</t>
  </si>
  <si>
    <t>Y2OUT20</t>
  </si>
  <si>
    <t>Y1IN25</t>
  </si>
  <si>
    <t>Y2OUT25</t>
  </si>
  <si>
    <t>Y1IN30</t>
  </si>
  <si>
    <t>Y2OUT30</t>
  </si>
  <si>
    <t>Y1IN45</t>
  </si>
  <si>
    <t>Y2OUT45</t>
  </si>
  <si>
    <t>Y1IN60</t>
  </si>
  <si>
    <t>Y2OUT60</t>
  </si>
  <si>
    <t>//MU LINEARITY</t>
  </si>
  <si>
    <t>//Electron Output Factors</t>
  </si>
  <si>
    <t>6E</t>
  </si>
  <si>
    <t>A6</t>
  </si>
  <si>
    <t>9E</t>
  </si>
  <si>
    <t>12E</t>
  </si>
  <si>
    <t>15E</t>
  </si>
  <si>
    <t>18E</t>
  </si>
  <si>
    <t>A10</t>
  </si>
  <si>
    <t>A15</t>
  </si>
  <si>
    <t>A20</t>
  </si>
  <si>
    <t>A25</t>
  </si>
  <si>
    <t>Depth mm</t>
  </si>
  <si>
    <t>Notification</t>
  </si>
  <si>
    <t>Change To A6 Cone</t>
  </si>
  <si>
    <t>Change To A10 Cone</t>
  </si>
  <si>
    <t>Change To A15 Cone</t>
  </si>
  <si>
    <t>Change To A20 Cone</t>
  </si>
  <si>
    <t>Change To A25 Cone</t>
  </si>
  <si>
    <t>OUTPUT FACTORS</t>
  </si>
  <si>
    <t>Photons</t>
  </si>
  <si>
    <t xml:space="preserve">       Field Size</t>
  </si>
  <si>
    <t>OK?</t>
  </si>
  <si>
    <t>Rdg1</t>
  </si>
  <si>
    <t>Rdg2</t>
  </si>
  <si>
    <t>Rdg3</t>
  </si>
  <si>
    <t>Average</t>
  </si>
  <si>
    <t>OF</t>
  </si>
  <si>
    <t>Book OF</t>
  </si>
  <si>
    <t>% Difference</t>
  </si>
  <si>
    <t>Electrons</t>
  </si>
  <si>
    <t>Conditions : Depth = dmax + 0.5rcav</t>
  </si>
  <si>
    <t xml:space="preserve">rcav (mm)= </t>
  </si>
  <si>
    <t>6e</t>
  </si>
  <si>
    <t>6x6</t>
  </si>
  <si>
    <t>10x10</t>
  </si>
  <si>
    <t>15x15</t>
  </si>
  <si>
    <t>20x20</t>
  </si>
  <si>
    <t>25x25</t>
  </si>
  <si>
    <t>Continued On Next Page</t>
  </si>
  <si>
    <t>9e</t>
  </si>
  <si>
    <t>12e</t>
  </si>
  <si>
    <t>15e</t>
  </si>
  <si>
    <t>18e</t>
  </si>
  <si>
    <t>M2</t>
  </si>
  <si>
    <t>M3</t>
  </si>
  <si>
    <t>WEDGE FACTORS</t>
  </si>
  <si>
    <t>EDW Wedges Factors</t>
  </si>
  <si>
    <t xml:space="preserve">     Wedge</t>
  </si>
  <si>
    <t>Open</t>
  </si>
  <si>
    <t>In</t>
  </si>
  <si>
    <t>Out</t>
  </si>
  <si>
    <t>MU LINEARITY</t>
  </si>
  <si>
    <t>% Difference (vs 100 MU)</t>
  </si>
  <si>
    <r>
      <t xml:space="preserve">BOOK VALUES AND </t>
    </r>
    <r>
      <rPr>
        <b/>
        <sz val="22"/>
        <color theme="6"/>
        <rFont val="Cambria"/>
        <family val="2"/>
        <charset val="0"/>
        <scheme val="major"/>
      </rPr>
      <t>21EX</t>
    </r>
    <r>
      <rPr>
        <b/>
        <sz val="22"/>
        <color theme="1"/>
        <rFont val="Cambria"/>
        <family val="2"/>
        <charset val="0"/>
        <scheme val="major"/>
      </rPr>
      <t xml:space="preserve"> DETAILS</t>
    </r>
  </si>
  <si>
    <t>PHOTONS</t>
  </si>
  <si>
    <t>Energies</t>
  </si>
  <si>
    <t>dmax (cm)</t>
  </si>
  <si>
    <t>EDW WEDGE FACTORS (10x10, 5cm)</t>
  </si>
  <si>
    <t>4x4</t>
  </si>
  <si>
    <t>5x5</t>
  </si>
  <si>
    <t>30x30</t>
  </si>
  <si>
    <t>40x40</t>
  </si>
  <si>
    <t>Depth</t>
  </si>
  <si>
    <t>ELECTRONS</t>
  </si>
  <si>
    <t>Scan Depth (cm)</t>
  </si>
  <si>
    <t>ELECTRON DEPTH DOSES</t>
  </si>
  <si>
    <t>PDD CONE</t>
  </si>
  <si>
    <t>R100(mm)</t>
  </si>
  <si>
    <t>R90(mm)</t>
  </si>
  <si>
    <t>R80(mm)</t>
  </si>
  <si>
    <t>R50(mm)</t>
  </si>
  <si>
    <t>Rp(mm)</t>
  </si>
  <si>
    <t>NaN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</si>
</sst>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E+00"/>
    <numFmt numFmtId="165" formatCode="0.000"/>
  </numFmts>
  <fonts count="23"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  <font>
      <sz val="11"/>
      <color rgb="FF9C65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22"/>
      <color theme="1"/>
      <name val="Cambria"/>
      <family val="2"/>
      <charset val="0"/>
      <scheme val="major"/>
    </font>
    <font>
      <b/>
      <sz val="14"/>
      <color theme="0"/>
      <name val="Cambria"/>
      <family val="1"/>
      <charset val="0"/>
      <scheme val="major"/>
    </font>
    <font>
      <b/>
      <sz val="12"/>
      <color theme="0"/>
      <name val="Cambria"/>
      <family val="1"/>
      <charset val="0"/>
      <scheme val="major"/>
    </font>
    <font>
      <b/>
      <sz val="12"/>
      <color theme="0"/>
      <name val="Calibri"/>
      <family val="2"/>
      <charset val="0"/>
      <scheme val="minor"/>
    </font>
    <font>
      <b/>
      <sz val="22"/>
      <color theme="6"/>
      <name val="Cambria"/>
      <family val="2"/>
      <charset val="0"/>
      <scheme val="major"/>
    </font>
    <font>
      <sz val="14"/>
      <color theme="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indexed="64"/>
      <name val="Calibri"/>
      <family val="2"/>
      <charset val="0"/>
    </font>
    <font>
      <sz val="11"/>
      <color rgb="FF9BBB59"/>
      <name val="Calibri"/>
      <family val="2"/>
      <charset val="0"/>
    </font>
    <font>
      <sz val="12"/>
      <color rgb="FF9BBB59"/>
      <name val="Calibri"/>
      <family val="2"/>
      <charset val="0"/>
    </font>
    <font>
      <b/>
      <sz val="12"/>
      <color rgb="FF9BBB59"/>
      <name val="Calibri"/>
      <family val="2"/>
      <charset val="0"/>
    </font>
    <font>
      <b/>
      <sz val="12"/>
      <color indexed="64"/>
      <name val="Calibri"/>
      <family val="2"/>
      <charset val="0"/>
    </font>
    <font>
      <sz val="12"/>
      <color indexed="64"/>
      <name val="Calibri"/>
      <family val="2"/>
      <charset val="0"/>
    </font>
  </fonts>
  <fills count="1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BF1D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EB9C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gradientFill degree="90">
        <stop position="0">
          <color theme="6" tint="-0.25098422193060094"/>
        </stop>
        <stop position="1">
          <color theme="6" tint="-0.49803155613879818"/>
        </stop>
      </gradientFill>
    </fill>
    <fill>
      <gradientFill degree="90">
        <stop position="0">
          <color theme="6" tint="0.40000610370189521"/>
        </stop>
        <stop position="1">
          <color theme="6" tint="-0.25098422193060094"/>
        </stop>
      </gradientFill>
    </fill>
    <fill>
      <patternFill patternType="solid">
        <fgColor theme="0" tint="-0.0499893185216834"/>
        <bgColor indexed="64"/>
      </patternFill>
    </fill>
    <fill>
      <gradientFill degree="90">
        <stop position="0">
          <color rgb="FF71E462"/>
        </stop>
        <stop position="1">
          <color rgb="FF71E462"/>
        </stop>
      </gradientFill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</fills>
  <borders count="67">
    <border>
      <left/>
      <right/>
      <top/>
      <bottom/>
      <diagonal/>
    </border>
    <border diagonalDown="1">
      <left/>
      <right style="thin">
        <color rgb="FFEDEDED"/>
      </right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rgb="FFB2B2B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medium">
        <color theme="0" tint="-0.249977111117893"/>
      </top>
      <bottom/>
      <diagonal/>
    </border>
    <border>
      <left/>
      <right/>
      <top/>
      <bottom style="medium">
        <color theme="0" tint="-0.249977111117893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44DC3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2" tint="-0.499984740745262"/>
      </right>
      <top style="thin">
        <color theme="0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0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2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rgb="FF3F3F3F"/>
      </right>
      <top style="thin">
        <color rgb="FF3F3F3F"/>
      </top>
      <bottom style="thin">
        <color theme="0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theme="0" tint="-0.499984740745262"/>
      </bottom>
      <diagonal/>
    </border>
    <border>
      <left style="thin">
        <color rgb="FF3F3F3F"/>
      </left>
      <right/>
      <top style="thin">
        <color rgb="FF3F3F3F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rgb="FFB2B2B2"/>
      </bottom>
      <diagonal/>
    </border>
    <border>
      <left/>
      <right/>
      <top style="thin">
        <color theme="0" tint="-0.499984740745262"/>
      </top>
      <bottom style="thin">
        <color rgb="FFB2B2B2"/>
      </bottom>
      <diagonal/>
    </border>
    <border>
      <left/>
      <right style="thin">
        <color rgb="FF3F3F3F"/>
      </right>
      <top style="thin">
        <color indexed="64"/>
      </top>
      <bottom/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indexed="64"/>
      </right>
      <top style="medium">
        <color theme="0" tint="-0.249977111117893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medium">
        <color theme="0" tint="-0.249977111117893"/>
      </bottom>
      <diagonal/>
    </border>
    <border>
      <left style="thin">
        <color indexed="64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medium">
        <color theme="0" tint="-0.249977111117893"/>
      </bottom>
      <diagonal/>
    </border>
    <border>
      <left/>
      <right style="thin">
        <color rgb="FF7F7F7F"/>
      </right>
      <top style="thin">
        <color rgb="FF7F7F7F"/>
      </top>
      <bottom style="medium">
        <color theme="0" tint="-0.249977111117893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theme="6"/>
      </right>
      <top/>
      <bottom/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</borders>
  <cellStyleXfs count="137">
    <xf numFmtId="0" fontId="0" fillId="0" borderId="0"/>
    <xf numFmtId="0" fontId="18" fillId="2" borderId="1"/>
    <xf numFmtId="0" fontId="1" fillId="3" borderId="2">
      <alignment horizontal="center" vertical="center"/>
    </xf>
    <xf numFmtId="0" fontId="2" fillId="4" borderId="0" applyAlignment="0" applyBorder="0" applyNumberFormat="0" applyProtection="0"/>
    <xf numFmtId="0" fontId="3" fillId="5" borderId="3" applyAlignment="0" applyNumberFormat="0" applyProtection="0"/>
    <xf numFmtId="0" fontId="5" fillId="5" borderId="4" applyAlignment="0" applyNumberFormat="0" applyProtection="0"/>
    <xf numFmtId="0" fontId="0" fillId="6" borderId="5" applyAlignment="0" applyFont="0" applyNumberFormat="0" applyProtection="0"/>
    <xf numFmtId="0" fontId="7" fillId="7" borderId="0" applyAlignment="0" applyBorder="0" applyNumberFormat="0" applyProtection="0"/>
    <xf numFmtId="0" fontId="7" fillId="8" borderId="0" applyAlignment="0" applyBorder="0" applyNumberFormat="0" applyProtection="0"/>
    <xf numFmtId="0" fontId="0" fillId="9" borderId="0" applyAlignment="0" applyBorder="0" applyNumberFormat="0" applyProtection="0"/>
    <xf numFmtId="0" fontId="0" fillId="10" borderId="0" applyAlignment="0" applyBorder="0" applyNumberFormat="0" applyProtection="0"/>
    <xf numFmtId="0" fontId="7" fillId="11" borderId="0" applyAlignment="0" applyBorder="0" applyNumberFormat="0" applyProtection="0"/>
    <xf numFmtId="49" fontId="8" fillId="0" borderId="0">
      <alignment horizontal="center" vertical="center"/>
    </xf>
    <xf numFmtId="0" fontId="9" fillId="12" borderId="6">
      <alignment horizontal="center" vertical="center"/>
    </xf>
    <xf numFmtId="0" fontId="10" fillId="13" borderId="7">
      <alignment horizontal="center"/>
    </xf>
    <xf numFmtId="0" fontId="0" fillId="6" borderId="8">
      <alignment horizontal="center"/>
    </xf>
    <xf numFmtId="0" fontId="7" fillId="11" borderId="0"/>
    <xf numFmtId="0" fontId="0" fillId="14" borderId="0"/>
    <xf numFmtId="165" fontId="2" fillId="4" borderId="4"/>
    <xf numFmtId="0" fontId="0" fillId="10" borderId="9"/>
    <xf numFmtId="0" fontId="16" fillId="0" borderId="0" applyAlignment="0" applyBorder="0" applyNumberFormat="0" applyProtection="0"/>
  </cellStyleXfs>
  <cellXfs>
    <xf numFmtId="0" fontId="0" fillId="0" borderId="0" xfId="0"/>
    <xf numFmtId="49" fontId="8" fillId="0" borderId="10" xfId="12" applyAlignment="1" applyBorder="1" applyFont="1" applyNumberFormat="1" applyFill="1">
      <alignment horizontal="center" vertical="center"/>
    </xf>
    <xf numFmtId="0" fontId="0" fillId="0" borderId="0" xfId="0" applyBorder="1" applyFont="1" applyFill="1"/>
    <xf numFmtId="49" fontId="8" fillId="0" borderId="11" xfId="12" applyAlignment="1" applyBorder="1" applyFont="1" applyNumberFormat="1" applyFill="1">
      <alignment horizontal="center" vertical="center"/>
    </xf>
    <xf numFmtId="0" fontId="9" fillId="12" borderId="12" xfId="13" applyAlignment="1" applyBorder="1" applyFont="1" applyFill="1">
      <alignment horizontal="center" vertical="center"/>
    </xf>
    <xf numFmtId="0" fontId="10" fillId="13" borderId="0" xfId="14" applyAlignment="1" applyBorder="1" applyFont="1" applyFill="1">
      <alignment horizontal="center"/>
    </xf>
    <xf numFmtId="0" fontId="0" fillId="6" borderId="9" xfId="15" applyAlignment="1" applyBorder="1" applyFont="1" applyFill="1">
      <alignment horizontal="center"/>
    </xf>
    <xf numFmtId="0" fontId="0" fillId="6" borderId="13" xfId="15" applyAlignment="1" applyBorder="1" applyFont="1" applyFill="1">
      <alignment horizontal="center"/>
    </xf>
    <xf numFmtId="0" fontId="0" fillId="6" borderId="14" xfId="15" applyAlignment="1" applyBorder="1" applyFont="1" applyFill="1">
      <alignment horizontal="center"/>
    </xf>
    <xf numFmtId="0" fontId="11" fillId="11" borderId="7" xfId="11" applyBorder="1" applyFont="1" applyFill="1"/>
    <xf numFmtId="0" fontId="10" fillId="11" borderId="7" xfId="16" applyAlignment="1" applyBorder="1" applyFont="1" applyFill="1">
      <alignment horizontal="center"/>
    </xf>
    <xf numFmtId="0" fontId="9" fillId="12" borderId="6" xfId="13" applyAlignment="1" applyBorder="1" applyFont="1" applyFill="1">
      <alignment horizontal="center" vertical="center"/>
    </xf>
    <xf numFmtId="0" fontId="0" fillId="10" borderId="0" xfId="10" applyBorder="1" applyFont="1" applyFill="1"/>
    <xf numFmtId="0" fontId="0" fillId="14" borderId="15" xfId="17" applyBorder="1" applyFont="1" applyFill="1"/>
    <xf numFmtId="164" fontId="2" fillId="4" borderId="4" xfId="3" applyBorder="1" applyFont="1" applyNumberFormat="1" applyFill="1"/>
    <xf numFmtId="164" fontId="0" fillId="9" borderId="16" xfId="9" applyBorder="1" applyFont="1" applyNumberFormat="1" applyFill="1"/>
    <xf numFmtId="165" fontId="0" fillId="9" borderId="0" xfId="9" applyBorder="1" applyFont="1" applyNumberFormat="1" applyFill="1"/>
    <xf numFmtId="165" fontId="0" fillId="9" borderId="17" xfId="9" applyBorder="1" applyFont="1" applyNumberFormat="1" applyFill="1"/>
    <xf numFmtId="10" fontId="3" fillId="5" borderId="3" xfId="4" applyBorder="1" applyFont="1" applyNumberFormat="1" applyFill="1"/>
    <xf numFmtId="10" fontId="3" fillId="5" borderId="18" xfId="4" applyBorder="1" applyFont="1" applyNumberFormat="1" applyFill="1"/>
    <xf numFmtId="0" fontId="6" fillId="15" borderId="19" xfId="5" applyBorder="1" applyFont="1" applyFill="1"/>
    <xf numFmtId="0" fontId="10" fillId="13" borderId="7" xfId="14" applyAlignment="1" applyBorder="1" applyFont="1" applyFill="1">
      <alignment horizontal="center"/>
    </xf>
    <xf numFmtId="0" fontId="9" fillId="12" borderId="6" xfId="13" applyAlignment="1" applyBorder="1" applyFont="1" applyFill="1">
      <alignment horizontal="center" vertical="center"/>
    </xf>
    <xf numFmtId="0" fontId="0" fillId="6" borderId="20" xfId="6" applyAlignment="1" applyBorder="1" applyFont="1" applyFill="1">
      <alignment horizontal="center"/>
    </xf>
    <xf numFmtId="165" fontId="2" fillId="4" borderId="21" xfId="18" applyBorder="1" applyFont="1" applyNumberFormat="1" applyFill="1"/>
    <xf numFmtId="0" fontId="0" fillId="6" borderId="22" xfId="15" applyAlignment="1" applyBorder="1" applyFont="1" applyFill="1">
      <alignment horizontal="center"/>
    </xf>
    <xf numFmtId="0" fontId="11" fillId="11" borderId="7" xfId="11" applyAlignment="1" applyBorder="1" applyFont="1" applyFill="1">
      <alignment horizontal="center"/>
    </xf>
    <xf numFmtId="0" fontId="0" fillId="14" borderId="0" xfId="17" applyBorder="1" applyFont="1" applyFill="1"/>
    <xf numFmtId="0" fontId="0" fillId="0" borderId="0" xfId="0" applyAlignment="1" applyBorder="1" applyFont="1" applyFill="1">
      <alignment horizontal="center"/>
    </xf>
    <xf numFmtId="164" fontId="2" fillId="4" borderId="23" xfId="3" applyBorder="1" applyFont="1" applyNumberFormat="1" applyFill="1"/>
    <xf numFmtId="0" fontId="9" fillId="12" borderId="24" xfId="13" applyAlignment="1" applyBorder="1" applyFont="1" applyFill="1">
      <alignment horizontal="center" vertical="center"/>
    </xf>
    <xf numFmtId="0" fontId="9" fillId="12" borderId="25" xfId="13" applyAlignment="1" applyBorder="1" applyFont="1" applyFill="1">
      <alignment horizontal="center" vertical="center"/>
    </xf>
    <xf numFmtId="0" fontId="9" fillId="12" borderId="26" xfId="13" applyAlignment="1" applyBorder="1" applyFont="1" applyFill="1">
      <alignment horizontal="center" vertical="center"/>
    </xf>
    <xf numFmtId="0" fontId="10" fillId="13" borderId="27" xfId="14" applyAlignment="1" applyBorder="1" applyFont="1" applyFill="1">
      <alignment horizontal="center"/>
    </xf>
    <xf numFmtId="0" fontId="10" fillId="13" borderId="28" xfId="14" applyAlignment="1" applyBorder="1" applyFont="1" applyFill="1">
      <alignment horizontal="center"/>
    </xf>
    <xf numFmtId="0" fontId="10" fillId="11" borderId="9" xfId="16" applyAlignment="1" applyBorder="1" applyFont="1" applyFill="1">
      <alignment horizontal="center"/>
    </xf>
    <xf numFmtId="0" fontId="10" fillId="11" borderId="13" xfId="16" applyAlignment="1" applyBorder="1" applyFont="1" applyFill="1">
      <alignment horizontal="center"/>
    </xf>
    <xf numFmtId="0" fontId="0" fillId="10" borderId="27" xfId="19" applyBorder="1" applyFont="1" applyFill="1"/>
    <xf numFmtId="0" fontId="0" fillId="10" borderId="0" xfId="10" applyAlignment="1" applyBorder="1" applyFont="1" applyFill="1">
      <alignment horizontal="left"/>
    </xf>
    <xf numFmtId="0" fontId="0" fillId="10" borderId="27" xfId="10" applyBorder="1" applyFont="1" applyFill="1"/>
    <xf numFmtId="164" fontId="2" fillId="4" borderId="29" xfId="3" applyBorder="1" applyFont="1" applyNumberFormat="1" applyFill="1"/>
    <xf numFmtId="164" fontId="0" fillId="9" borderId="30" xfId="9" applyBorder="1" applyFont="1" applyNumberFormat="1" applyFill="1"/>
    <xf numFmtId="0" fontId="0" fillId="14" borderId="30" xfId="17" applyBorder="1" applyFont="1" applyFill="1"/>
    <xf numFmtId="0" fontId="0" fillId="10" borderId="31" xfId="10" applyBorder="1" applyFont="1" applyFill="1"/>
    <xf numFmtId="0" fontId="0" fillId="14" borderId="32" xfId="17" applyBorder="1" applyFont="1" applyFill="1"/>
    <xf numFmtId="10" fontId="3" fillId="5" borderId="33" xfId="4" applyBorder="1" applyFont="1" applyNumberFormat="1" applyFill="1"/>
    <xf numFmtId="10" fontId="3" fillId="5" borderId="34" xfId="4" applyBorder="1" applyFont="1" applyNumberFormat="1" applyFill="1"/>
    <xf numFmtId="10" fontId="3" fillId="5" borderId="35" xfId="4" applyBorder="1" applyFont="1" applyNumberFormat="1" applyFill="1"/>
    <xf numFmtId="0" fontId="0" fillId="0" borderId="31" xfId="0" applyBorder="1" applyFont="1" applyFill="1"/>
    <xf numFmtId="0" fontId="0" fillId="0" borderId="36" xfId="0" applyBorder="1" applyFont="1" applyFill="1"/>
    <xf numFmtId="0" fontId="0" fillId="0" borderId="37" xfId="0" applyBorder="1" applyFont="1" applyFill="1"/>
    <xf numFmtId="0" fontId="10" fillId="11" borderId="38" xfId="16" applyAlignment="1" applyBorder="1" applyFont="1" applyFill="1">
      <alignment horizontal="center"/>
    </xf>
    <xf numFmtId="0" fontId="10" fillId="11" borderId="39" xfId="16" applyAlignment="1" applyBorder="1" applyFont="1" applyFill="1">
      <alignment horizontal="center"/>
    </xf>
    <xf numFmtId="49" fontId="0" fillId="10" borderId="40" xfId="10" applyAlignment="1" applyBorder="1" applyFont="1" applyNumberFormat="1" applyFill="1">
      <alignment vertical="center" wrapText="1"/>
    </xf>
    <xf numFmtId="49" fontId="8" fillId="0" borderId="10" xfId="12" applyAlignment="1" applyBorder="1" applyFont="1" applyNumberFormat="1">
      <alignment horizontal="center" vertical="center"/>
    </xf>
    <xf numFmtId="49" fontId="8" fillId="0" borderId="11" xfId="12" applyAlignment="1" applyBorder="1" applyFont="1" applyNumberFormat="1">
      <alignment horizontal="center" vertical="center"/>
    </xf>
    <xf numFmtId="0" fontId="13" fillId="8" borderId="41" xfId="8" applyAlignment="1" applyBorder="1" applyFont="1" applyFill="1">
      <alignment horizontal="center"/>
    </xf>
    <xf numFmtId="0" fontId="13" fillId="8" borderId="16" xfId="8" applyAlignment="1" applyBorder="1" applyFont="1" applyFill="1">
      <alignment horizontal="center"/>
    </xf>
    <xf numFmtId="0" fontId="13" fillId="8" borderId="42" xfId="8" applyAlignment="1" applyBorder="1" applyFont="1" applyFill="1">
      <alignment horizontal="center"/>
    </xf>
    <xf numFmtId="0" fontId="0" fillId="10" borderId="43" xfId="19" applyBorder="1" applyFill="1"/>
    <xf numFmtId="0" fontId="0" fillId="14" borderId="14" xfId="17" applyBorder="1" applyFill="1"/>
    <xf numFmtId="0" fontId="0" fillId="10" borderId="0" xfId="19" applyBorder="1" applyFill="1"/>
    <xf numFmtId="1" fontId="2" fillId="4" borderId="44" xfId="3" applyBorder="1" applyFont="1" applyNumberFormat="1" applyFill="1"/>
    <xf numFmtId="0" fontId="0" fillId="14" borderId="28" xfId="17" applyBorder="1" applyFill="1"/>
    <xf numFmtId="165" fontId="2" fillId="4" borderId="21" xfId="3" applyBorder="1" applyFont="1" applyNumberFormat="1" applyFill="1"/>
    <xf numFmtId="1" fontId="2" fillId="4" borderId="45" xfId="3" applyBorder="1" applyFont="1" applyNumberFormat="1" applyFill="1"/>
    <xf numFmtId="0" fontId="0" fillId="14" borderId="37" xfId="17" applyBorder="1" applyFill="1"/>
    <xf numFmtId="0" fontId="13" fillId="8" borderId="46" xfId="8" applyAlignment="1" applyBorder="1" applyFont="1" applyFill="1">
      <alignment horizontal="center"/>
    </xf>
    <xf numFmtId="165" fontId="2" fillId="4" borderId="4" xfId="3" applyBorder="1" applyFont="1" applyNumberFormat="1" applyFill="1"/>
    <xf numFmtId="0" fontId="13" fillId="8" borderId="47" xfId="8" applyAlignment="1" applyBorder="1" applyFont="1" applyFill="1">
      <alignment horizontal="center"/>
    </xf>
    <xf numFmtId="0" fontId="13" fillId="8" borderId="0" xfId="8" applyAlignment="1" applyBorder="1" applyFont="1" applyFill="1">
      <alignment horizontal="center"/>
    </xf>
    <xf numFmtId="0" fontId="13" fillId="8" borderId="48" xfId="8" applyAlignment="1" applyBorder="1" applyFont="1" applyFill="1">
      <alignment horizontal="center"/>
    </xf>
    <xf numFmtId="0" fontId="13" fillId="8" borderId="49" xfId="8" applyAlignment="1" applyBorder="1" applyFont="1" applyFill="1">
      <alignment horizontal="center"/>
    </xf>
    <xf numFmtId="0" fontId="13" fillId="8" borderId="50" xfId="8" applyAlignment="1" applyBorder="1" applyFont="1" applyFill="1">
      <alignment horizontal="center"/>
    </xf>
    <xf numFmtId="0" fontId="13" fillId="7" borderId="41" xfId="7" applyAlignment="1" applyBorder="1" applyFont="1" applyFill="1">
      <alignment horizontal="center"/>
    </xf>
    <xf numFmtId="0" fontId="13" fillId="7" borderId="42" xfId="7" applyAlignment="1" applyBorder="1" applyFont="1" applyFill="1">
      <alignment horizontal="center"/>
    </xf>
    <xf numFmtId="0" fontId="13" fillId="7" borderId="51" xfId="7" applyAlignment="1" applyBorder="1" applyFont="1" applyFill="1"/>
    <xf numFmtId="0" fontId="13" fillId="7" borderId="16" xfId="7" applyAlignment="1" applyBorder="1" applyFont="1" applyFill="1"/>
    <xf numFmtId="0" fontId="13" fillId="7" borderId="52" xfId="7" applyAlignment="1" applyBorder="1" applyFont="1" applyFill="1">
      <alignment horizontal="center"/>
    </xf>
    <xf numFmtId="0" fontId="13" fillId="7" borderId="53" xfId="7" applyAlignment="1" applyBorder="1" applyFont="1" applyFill="1">
      <alignment horizontal="center"/>
    </xf>
    <xf numFmtId="0" fontId="0" fillId="10" borderId="54" xfId="19" applyBorder="1" applyFill="1"/>
    <xf numFmtId="0" fontId="0" fillId="10" borderId="55" xfId="19" applyAlignment="1" applyBorder="1" applyFont="1" applyFill="1">
      <alignment horizontal="center"/>
    </xf>
    <xf numFmtId="0" fontId="0" fillId="10" borderId="56" xfId="19" applyAlignment="1" applyBorder="1" applyFont="1" applyFill="1">
      <alignment horizontal="center"/>
    </xf>
    <xf numFmtId="165" fontId="2" fillId="4" borderId="57" xfId="3" applyAlignment="1" applyBorder="1" applyFont="1" applyNumberFormat="1" applyFill="1">
      <alignment horizontal="center"/>
    </xf>
    <xf numFmtId="165" fontId="2" fillId="4" borderId="21" xfId="3" applyAlignment="1" applyBorder="1" applyFont="1" applyNumberFormat="1" applyFill="1">
      <alignment horizontal="center"/>
    </xf>
    <xf numFmtId="165" fontId="2" fillId="4" borderId="58" xfId="3" applyAlignment="1" applyBorder="1" applyFont="1" applyNumberFormat="1" applyFill="1">
      <alignment horizontal="center"/>
    </xf>
    <xf numFmtId="165" fontId="2" fillId="4" borderId="59" xfId="3" applyAlignment="1" applyBorder="1" applyFont="1" applyNumberFormat="1" applyFill="1">
      <alignment horizontal="center"/>
    </xf>
    <xf numFmtId="0" fontId="13" fillId="7" borderId="51" xfId="7" applyAlignment="1" applyBorder="1" applyFont="1" applyFill="1">
      <alignment horizontal="center"/>
    </xf>
    <xf numFmtId="0" fontId="13" fillId="7" borderId="16" xfId="7" applyAlignment="1" applyBorder="1" applyFont="1" applyFill="1">
      <alignment horizontal="center"/>
    </xf>
    <xf numFmtId="0" fontId="0" fillId="10" borderId="0" xfId="10" applyFont="1" applyFill="1"/>
    <xf numFmtId="165" fontId="2" fillId="4" borderId="23" xfId="3" applyAlignment="1" applyBorder="1" applyFont="1" applyNumberFormat="1" applyFill="1">
      <alignment horizontal="center"/>
    </xf>
    <xf numFmtId="165" fontId="2" fillId="4" borderId="60" xfId="3" applyAlignment="1" applyBorder="1" applyFont="1" applyNumberFormat="1" applyFill="1">
      <alignment horizontal="center"/>
    </xf>
    <xf numFmtId="0" fontId="0" fillId="10" borderId="0" xfId="10" applyAlignment="1" applyFont="1" applyFill="1">
      <alignment horizontal="right"/>
    </xf>
    <xf numFmtId="165" fontId="2" fillId="4" borderId="23" xfId="3" applyBorder="1" applyFont="1" applyNumberFormat="1" applyFill="1"/>
    <xf numFmtId="49" fontId="0" fillId="0" borderId="0" xfId="0" applyNumberFormat="1"/>
    <xf numFmtId="0" fontId="14" fillId="0" borderId="0" xfId="0" applyFont="1"/>
    <xf numFmtId="0" fontId="0" fillId="0" borderId="0" xfId="0" applyBorder="1"/>
    <xf numFmtId="49" fontId="0" fillId="0" borderId="0" xfId="0" applyAlignment="1" applyNumberFormat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16" borderId="0" xfId="0" applyFill="1"/>
    <xf numFmtId="0" fontId="0" fillId="16" borderId="65" xfId="0" applyBorder="1" applyFill="1"/>
    <xf numFmtId="0" fontId="0" fillId="16" borderId="0" xfId="0" applyBorder="1" applyFill="1"/>
    <xf numFmtId="0" fontId="0" fillId="16" borderId="66" xfId="0" applyBorder="1" applyFill="1"/>
    <xf numFmtId="49" fontId="0" fillId="16" borderId="0" xfId="0" applyAlignment="1" applyNumberFormat="1" applyFill="1"/>
    <xf numFmtId="0" fontId="0" fillId="17" borderId="0" xfId="0" applyFill="1"/>
    <xf numFmtId="0" fontId="0" fillId="17" borderId="65" xfId="0" applyBorder="1" applyFill="1"/>
    <xf numFmtId="0" fontId="0" fillId="17" borderId="0" xfId="0" applyBorder="1" applyFill="1"/>
    <xf numFmtId="0" fontId="0" fillId="17" borderId="66" xfId="0" applyBorder="1" applyFill="1"/>
    <xf numFmtId="49" fontId="0" fillId="17" borderId="0" xfId="0" applyAlignment="1" applyNumberFormat="1" applyFill="1"/>
    <xf numFmtId="0" fontId="0" fillId="16" borderId="61" xfId="0" applyBorder="1" applyFill="1"/>
    <xf numFmtId="0" fontId="0" fillId="17" borderId="61" xfId="0" applyBorder="1" applyFill="1"/>
  </cellXfs>
  <cellStyles count="21">
    <cellStyle name="20% - Accent3" xfId="9" builtinId="38"/>
    <cellStyle name="40% - Accent3" xfId="10" builtinId="39"/>
    <cellStyle name="60% - Accent3" xfId="11" builtinId="40"/>
    <cellStyle name="Accent1" xfId="7" builtinId="29"/>
    <cellStyle name="Accent3" xfId="8" builtinId="37"/>
    <cellStyle name="Calculation" xfId="5" builtinId="22"/>
    <cellStyle name="ConditionalFormatStyle" xfId="1"/>
    <cellStyle name="Conditions" xfId="15"/>
    <cellStyle name="Header 3" xfId="16"/>
    <cellStyle name="HeaderStyle" xfId="2"/>
    <cellStyle name="MainHeader" xfId="13"/>
    <cellStyle name="Neutral" xfId="3" builtinId="28"/>
    <cellStyle name="Normal" xfId="0" builtinId="0"/>
    <cellStyle name="Note" xfId="6" builtinId="10"/>
    <cellStyle name="Null" xfId="17"/>
    <cellStyle name="NumberInput" xfId="18"/>
    <cellStyle name="Output" xfId="4" builtinId="21"/>
    <cellStyle name="Subheader" xfId="14"/>
    <cellStyle name="SubMenu" xfId="19"/>
    <cellStyle name="TEXT TITLE" xfId="12"/>
    <cellStyle name="Hyperlink" xfId="20" builtinId="8"/>
  </cellStyles>
  <dxfs>
    <dxf>
      <fill>
        <patternFill>
          <bgColor theme="5" tint="0.39994506668294322"/>
        </patternFill>
      </fill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ont>
        <b/>
        <i/>
        <color theme="0"/>
      </font>
      <fill>
        <patternFill>
          <fgColor rgb="FFFF0000"/>
          <bgColor rgb="FFFF3B3B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6" Type="http://schemas.openxmlformats.org/officeDocument/2006/relationships/theme" Target="theme/theme1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9" Type="http://schemas.openxmlformats.org/officeDocument/2006/relationships/customXml" Target="../customXml/item1.xml" /><Relationship Id="rId10" Type="http://schemas.openxmlformats.org/officeDocument/2006/relationships/customXml" Target="../customXml/item1.xml" /><Relationship Id="rId11" Type="http://schemas.openxmlformats.org/officeDocument/2006/relationships/customXml" Target="../customXml/item1.xml" /><Relationship Id="rId12" Type="http://schemas.openxmlformats.org/officeDocument/2006/relationships/customXml" Target="../customXml/item1.xml" /><Relationship Id="rId13" Type="http://schemas.openxmlformats.org/officeDocument/2006/relationships/customXml" Target="../customXml/item1.xml" /><Relationship Id="rId14" Type="http://schemas.openxmlformats.org/officeDocument/2006/relationships/customXml" Target="../customXml/item1.xml" /><Relationship Id="rId15" Type="http://schemas.openxmlformats.org/officeDocument/2006/relationships/customXml" Target="../customXml/item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239999</xdr:colOff>
      <xdr:row>0</xdr:row>
      <xdr:rowOff>50006</xdr:rowOff>
    </xdr:from>
    <xdr:to>
      <xdr:col>1</xdr:col>
      <xdr:colOff>571649</xdr:colOff>
      <xdr:row>2</xdr:row>
      <xdr:rowOff>952</xdr:rowOff>
    </xdr:to>
    <xdr:pic>
      <xdr:nvPicPr>
        <xdr:cNvPr id="3" name="Pictur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849797" y="49696"/>
          <a:ext cx="331304" cy="341395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276765</xdr:colOff>
      <xdr:row>0</xdr:row>
      <xdr:rowOff>104298</xdr:rowOff>
    </xdr:from>
    <xdr:to>
      <xdr:col>2</xdr:col>
      <xdr:colOff>700813</xdr:colOff>
      <xdr:row>2</xdr:row>
      <xdr:rowOff>156210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667741" y="103910"/>
          <a:ext cx="424065" cy="43359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399743</xdr:colOff>
      <xdr:row>0</xdr:row>
      <xdr:rowOff>57150</xdr:rowOff>
    </xdr:from>
    <xdr:to>
      <xdr:col>1</xdr:col>
      <xdr:colOff>822582</xdr:colOff>
      <xdr:row>2</xdr:row>
      <xdr:rowOff>108108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485900" y="57150"/>
          <a:ext cx="422333" cy="431858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371652</xdr:colOff>
      <xdr:row>0</xdr:row>
      <xdr:rowOff>67151</xdr:rowOff>
    </xdr:from>
    <xdr:to>
      <xdr:col>1</xdr:col>
      <xdr:colOff>183970</xdr:colOff>
      <xdr:row>1</xdr:row>
      <xdr:rowOff>299085</xdr:rowOff>
    </xdr:to>
    <xdr:pic>
      <xdr:nvPicPr>
        <x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371475" y="66675"/>
          <a:ext cx="422333" cy="422333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239999</xdr:colOff>
      <xdr:row>0</xdr:row>
      <xdr:rowOff>50006</xdr:rowOff>
    </xdr:from>
    <xdr:to>
      <xdr:col>1</xdr:col>
      <xdr:colOff>571649</xdr:colOff>
      <xdr:row>2</xdr:row>
      <xdr:rowOff>952</xdr:rowOff>
    </xdr:to>
    <xdr:pic>
      <xdr:nvPicPr>
        <xdr:cNvPr id="3" name="Pictur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849797" y="49696"/>
          <a:ext cx="331304" cy="341395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276765</xdr:colOff>
      <xdr:row>0</xdr:row>
      <xdr:rowOff>104298</xdr:rowOff>
    </xdr:from>
    <xdr:to>
      <xdr:col>2</xdr:col>
      <xdr:colOff>700813</xdr:colOff>
      <xdr:row>2</xdr:row>
      <xdr:rowOff>156210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667741" y="103910"/>
          <a:ext cx="424065" cy="43359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399743</xdr:colOff>
      <xdr:row>0</xdr:row>
      <xdr:rowOff>57150</xdr:rowOff>
    </xdr:from>
    <xdr:to>
      <xdr:col>1</xdr:col>
      <xdr:colOff>822582</xdr:colOff>
      <xdr:row>2</xdr:row>
      <xdr:rowOff>108108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485900" y="57150"/>
          <a:ext cx="422333" cy="431858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371652</xdr:colOff>
      <xdr:row>0</xdr:row>
      <xdr:rowOff>67151</xdr:rowOff>
    </xdr:from>
    <xdr:to>
      <xdr:col>1</xdr:col>
      <xdr:colOff>183970</xdr:colOff>
      <xdr:row>1</xdr:row>
      <xdr:rowOff>299085</xdr:rowOff>
    </xdr:to>
    <xdr:pic>
      <xdr:nvPicPr>
        <x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371475" y="66675"/>
          <a:ext cx="422333" cy="422333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239999</xdr:colOff>
      <xdr:row>0</xdr:row>
      <xdr:rowOff>50006</xdr:rowOff>
    </xdr:from>
    <xdr:to>
      <xdr:col>1</xdr:col>
      <xdr:colOff>571649</xdr:colOff>
      <xdr:row>2</xdr:row>
      <xdr:rowOff>952</xdr:rowOff>
    </xdr:to>
    <xdr:pic>
      <xdr:nvPicPr>
        <xdr:cNvPr id="3" name="Pictur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849797" y="49696"/>
          <a:ext cx="331304" cy="341395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276765</xdr:colOff>
      <xdr:row>0</xdr:row>
      <xdr:rowOff>104298</xdr:rowOff>
    </xdr:from>
    <xdr:to>
      <xdr:col>2</xdr:col>
      <xdr:colOff>700813</xdr:colOff>
      <xdr:row>2</xdr:row>
      <xdr:rowOff>156210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667741" y="103910"/>
          <a:ext cx="424065" cy="43359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399743</xdr:colOff>
      <xdr:row>0</xdr:row>
      <xdr:rowOff>57150</xdr:rowOff>
    </xdr:from>
    <xdr:to>
      <xdr:col>1</xdr:col>
      <xdr:colOff>822582</xdr:colOff>
      <xdr:row>2</xdr:row>
      <xdr:rowOff>108108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485900" y="57150"/>
          <a:ext cx="422333" cy="431858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371652</xdr:colOff>
      <xdr:row>0</xdr:row>
      <xdr:rowOff>67151</xdr:rowOff>
    </xdr:from>
    <xdr:to>
      <xdr:col>1</xdr:col>
      <xdr:colOff>183970</xdr:colOff>
      <xdr:row>1</xdr:row>
      <xdr:rowOff>299085</xdr:rowOff>
    </xdr:to>
    <xdr:pic>
      <xdr:nvPicPr>
        <x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371475" y="66675"/>
          <a:ext cx="422333" cy="422333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239999</xdr:colOff>
      <xdr:row>0</xdr:row>
      <xdr:rowOff>50006</xdr:rowOff>
    </xdr:from>
    <xdr:to>
      <xdr:col>1</xdr:col>
      <xdr:colOff>571649</xdr:colOff>
      <xdr:row>2</xdr:row>
      <xdr:rowOff>952</xdr:rowOff>
    </xdr:to>
    <xdr:pic>
      <xdr:nvPicPr>
        <xdr:cNvPr id="3" name="Pictur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849797" y="49696"/>
          <a:ext cx="331304" cy="341395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276765</xdr:colOff>
      <xdr:row>0</xdr:row>
      <xdr:rowOff>104298</xdr:rowOff>
    </xdr:from>
    <xdr:to>
      <xdr:col>2</xdr:col>
      <xdr:colOff>700813</xdr:colOff>
      <xdr:row>2</xdr:row>
      <xdr:rowOff>156210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667741" y="103910"/>
          <a:ext cx="424065" cy="43359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399743</xdr:colOff>
      <xdr:row>0</xdr:row>
      <xdr:rowOff>57150</xdr:rowOff>
    </xdr:from>
    <xdr:to>
      <xdr:col>1</xdr:col>
      <xdr:colOff>822582</xdr:colOff>
      <xdr:row>2</xdr:row>
      <xdr:rowOff>108108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485900" y="57150"/>
          <a:ext cx="422333" cy="431858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371652</xdr:colOff>
      <xdr:row>0</xdr:row>
      <xdr:rowOff>67151</xdr:rowOff>
    </xdr:from>
    <xdr:to>
      <xdr:col>1</xdr:col>
      <xdr:colOff>183970</xdr:colOff>
      <xdr:row>1</xdr:row>
      <xdr:rowOff>299085</xdr:rowOff>
    </xdr:to>
    <xdr:pic>
      <xdr:nvPicPr>
        <x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371475" y="66675"/>
          <a:ext cx="422333" cy="422333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239999</xdr:colOff>
      <xdr:row>0</xdr:row>
      <xdr:rowOff>50006</xdr:rowOff>
    </xdr:from>
    <xdr:to>
      <xdr:col>1</xdr:col>
      <xdr:colOff>571649</xdr:colOff>
      <xdr:row>2</xdr:row>
      <xdr:rowOff>952</xdr:rowOff>
    </xdr:to>
    <xdr:pic>
      <xdr:nvPicPr>
        <xdr:cNvPr id="3" name="Pictur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849797" y="49696"/>
          <a:ext cx="331304" cy="341395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276765</xdr:colOff>
      <xdr:row>0</xdr:row>
      <xdr:rowOff>104298</xdr:rowOff>
    </xdr:from>
    <xdr:to>
      <xdr:col>2</xdr:col>
      <xdr:colOff>700813</xdr:colOff>
      <xdr:row>2</xdr:row>
      <xdr:rowOff>156210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667741" y="103910"/>
          <a:ext cx="424065" cy="43359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399743</xdr:colOff>
      <xdr:row>0</xdr:row>
      <xdr:rowOff>57150</xdr:rowOff>
    </xdr:from>
    <xdr:to>
      <xdr:col>1</xdr:col>
      <xdr:colOff>822582</xdr:colOff>
      <xdr:row>2</xdr:row>
      <xdr:rowOff>108108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485900" y="57150"/>
          <a:ext cx="422333" cy="431858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371652</xdr:colOff>
      <xdr:row>0</xdr:row>
      <xdr:rowOff>67151</xdr:rowOff>
    </xdr:from>
    <xdr:to>
      <xdr:col>1</xdr:col>
      <xdr:colOff>183970</xdr:colOff>
      <xdr:row>1</xdr:row>
      <xdr:rowOff>299085</xdr:rowOff>
    </xdr:to>
    <xdr:pic>
      <xdr:nvPicPr>
        <x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371475" y="66675"/>
          <a:ext cx="422333" cy="422333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239999</xdr:colOff>
      <xdr:row>0</xdr:row>
      <xdr:rowOff>50006</xdr:rowOff>
    </xdr:from>
    <xdr:to>
      <xdr:col>1</xdr:col>
      <xdr:colOff>571649</xdr:colOff>
      <xdr:row>2</xdr:row>
      <xdr:rowOff>952</xdr:rowOff>
    </xdr:to>
    <xdr:pic>
      <xdr:nvPicPr>
        <xdr:cNvPr id="3" name="Pictur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849797" y="49696"/>
          <a:ext cx="331304" cy="341395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276765</xdr:colOff>
      <xdr:row>0</xdr:row>
      <xdr:rowOff>104298</xdr:rowOff>
    </xdr:from>
    <xdr:to>
      <xdr:col>2</xdr:col>
      <xdr:colOff>700813</xdr:colOff>
      <xdr:row>2</xdr:row>
      <xdr:rowOff>156210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667741" y="103910"/>
          <a:ext cx="424065" cy="43359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399743</xdr:colOff>
      <xdr:row>0</xdr:row>
      <xdr:rowOff>57150</xdr:rowOff>
    </xdr:from>
    <xdr:to>
      <xdr:col>1</xdr:col>
      <xdr:colOff>822582</xdr:colOff>
      <xdr:row>2</xdr:row>
      <xdr:rowOff>108108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485900" y="57150"/>
          <a:ext cx="422333" cy="431858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371652</xdr:colOff>
      <xdr:row>0</xdr:row>
      <xdr:rowOff>67151</xdr:rowOff>
    </xdr:from>
    <xdr:to>
      <xdr:col>1</xdr:col>
      <xdr:colOff>183970</xdr:colOff>
      <xdr:row>1</xdr:row>
      <xdr:rowOff>299085</xdr:rowOff>
    </xdr:to>
    <xdr:pic>
      <xdr:nvPicPr>
        <x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371475" y="66675"/>
          <a:ext cx="422333" cy="422333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239999</xdr:colOff>
      <xdr:row>0</xdr:row>
      <xdr:rowOff>50006</xdr:rowOff>
    </xdr:from>
    <xdr:to>
      <xdr:col>1</xdr:col>
      <xdr:colOff>571649</xdr:colOff>
      <xdr:row>2</xdr:row>
      <xdr:rowOff>952</xdr:rowOff>
    </xdr:to>
    <xdr:pic>
      <xdr:nvPicPr>
        <xdr:cNvPr id="3" name="Pictur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849797" y="49696"/>
          <a:ext cx="331304" cy="341395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276765</xdr:colOff>
      <xdr:row>0</xdr:row>
      <xdr:rowOff>104298</xdr:rowOff>
    </xdr:from>
    <xdr:to>
      <xdr:col>2</xdr:col>
      <xdr:colOff>700813</xdr:colOff>
      <xdr:row>2</xdr:row>
      <xdr:rowOff>156210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667741" y="103910"/>
          <a:ext cx="424065" cy="43359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399743</xdr:colOff>
      <xdr:row>0</xdr:row>
      <xdr:rowOff>57150</xdr:rowOff>
    </xdr:from>
    <xdr:to>
      <xdr:col>1</xdr:col>
      <xdr:colOff>822582</xdr:colOff>
      <xdr:row>2</xdr:row>
      <xdr:rowOff>108108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1485900" y="57150"/>
          <a:ext cx="422333" cy="431858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371652</xdr:colOff>
      <xdr:row>0</xdr:row>
      <xdr:rowOff>67151</xdr:rowOff>
    </xdr:from>
    <xdr:to>
      <xdr:col>1</xdr:col>
      <xdr:colOff>183970</xdr:colOff>
      <xdr:row>1</xdr:row>
      <xdr:rowOff>299085</xdr:rowOff>
    </xdr:to>
    <xdr:pic>
      <xdr:nvPicPr>
        <x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371475" y="66675"/>
          <a:ext cx="422333" cy="422333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O1048576" totalsRowShown="0">
  <autoFilter xmlns="http://schemas.openxmlformats.org/spreadsheetml/2006/main" ref="A1:O1048576"/>
  <tableColumns>
    <tableColumn id="1" name="Energy"/>
    <tableColumn id="2" name="Mode"/>
    <tableColumn id="3" name="MU"/>
    <tableColumn id="4" name="Accessory"/>
    <tableColumn id="5" name="X1"/>
    <tableColumn id="6" name="X2"/>
    <tableColumn id="7" name="Y1"/>
    <tableColumn id="8" name="Y2"/>
    <tableColumn id="9" name="Rate"/>
    <tableColumn id="10" name="Depth mm"/>
    <tableColumn id="11" name="N"/>
    <tableColumn id="12" name="M1"/>
    <tableColumn id="13" name="M2"/>
    <tableColumn id="14" name="M3"/>
    <tableColumn id="15" name="Notification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O1048576" totalsRowShown="0">
  <autoFilter xmlns="http://schemas.openxmlformats.org/spreadsheetml/2006/main" ref="A1:O1048576"/>
  <tableColumns>
    <tableColumn id="1" name="Energy"/>
    <tableColumn id="2" name="Mode"/>
    <tableColumn id="3" name="MU"/>
    <tableColumn id="4" name="Accessory"/>
    <tableColumn id="5" name="X1"/>
    <tableColumn id="6" name="X2"/>
    <tableColumn id="7" name="Y1"/>
    <tableColumn id="8" name="Y2"/>
    <tableColumn id="9" name="Rate"/>
    <tableColumn id="10" name="Depth mm"/>
    <tableColumn id="11" name="N"/>
    <tableColumn id="12" name="M1"/>
    <tableColumn id="13" name="M2"/>
    <tableColumn id="14" name="M3"/>
    <tableColumn id="15" name="Notification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O1048576" totalsRowShown="0">
  <autoFilter xmlns="http://schemas.openxmlformats.org/spreadsheetml/2006/main" ref="A1:O1048576"/>
  <tableColumns>
    <tableColumn id="1" name="Energy"/>
    <tableColumn id="2" name="Mode"/>
    <tableColumn id="3" name="MU"/>
    <tableColumn id="4" name="Accessory"/>
    <tableColumn id="5" name="X1"/>
    <tableColumn id="6" name="X2"/>
    <tableColumn id="7" name="Y1"/>
    <tableColumn id="8" name="Y2"/>
    <tableColumn id="9" name="Rate"/>
    <tableColumn id="10" name="Depth mm"/>
    <tableColumn id="11" name="N"/>
    <tableColumn id="12" name="M1"/>
    <tableColumn id="13" name="M2"/>
    <tableColumn id="14" name="M3"/>
    <tableColumn id="15" name="Notification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O1048576" totalsRowShown="0">
  <autoFilter xmlns="http://schemas.openxmlformats.org/spreadsheetml/2006/main" ref="A1:O1048576"/>
  <tableColumns>
    <tableColumn id="1" name="Energy"/>
    <tableColumn id="2" name="Mode"/>
    <tableColumn id="3" name="MU"/>
    <tableColumn id="4" name="Accessory"/>
    <tableColumn id="5" name="X1"/>
    <tableColumn id="6" name="X2"/>
    <tableColumn id="7" name="Y1"/>
    <tableColumn id="8" name="Y2"/>
    <tableColumn id="9" name="Rate"/>
    <tableColumn id="10" name="Depth mm"/>
    <tableColumn id="11" name="N"/>
    <tableColumn id="12" name="M1"/>
    <tableColumn id="13" name="M2"/>
    <tableColumn id="14" name="M3"/>
    <tableColumn id="15" name="Notification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O1048576" totalsRowShown="0">
  <autoFilter xmlns="http://schemas.openxmlformats.org/spreadsheetml/2006/main" ref="A1:O1048576"/>
  <tableColumns>
    <tableColumn id="1" name="Energy"/>
    <tableColumn id="2" name="Mode"/>
    <tableColumn id="3" name="MU"/>
    <tableColumn id="4" name="Accessory"/>
    <tableColumn id="5" name="X1"/>
    <tableColumn id="6" name="X2"/>
    <tableColumn id="7" name="Y1"/>
    <tableColumn id="8" name="Y2"/>
    <tableColumn id="9" name="Rate"/>
    <tableColumn id="10" name="Depth mm"/>
    <tableColumn id="11" name="N"/>
    <tableColumn id="12" name="M1"/>
    <tableColumn id="13" name="M2"/>
    <tableColumn id="14" name="M3"/>
    <tableColumn id="15" name="Notification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1:O1048576" totalsRowShown="0">
  <autoFilter xmlns="http://schemas.openxmlformats.org/spreadsheetml/2006/main" ref="A1:O1048576"/>
  <tableColumns>
    <tableColumn id="1" name="Energy"/>
    <tableColumn id="2" name="Mode"/>
    <tableColumn id="3" name="MU"/>
    <tableColumn id="4" name="Accessory"/>
    <tableColumn id="5" name="X1"/>
    <tableColumn id="6" name="X2"/>
    <tableColumn id="7" name="Y1"/>
    <tableColumn id="8" name="Y2"/>
    <tableColumn id="9" name="Rate"/>
    <tableColumn id="10" name="Depth mm"/>
    <tableColumn id="11" name="N"/>
    <tableColumn id="12" name="M1"/>
    <tableColumn id="13" name="M2"/>
    <tableColumn id="14" name="M3"/>
    <tableColumn id="15" name="Notification"/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O1048576" totalsRowShown="0">
  <autoFilter xmlns="http://schemas.openxmlformats.org/spreadsheetml/2006/main" ref="A1:O1048576"/>
  <tableColumns>
    <tableColumn id="1" name="Energy"/>
    <tableColumn id="2" name="Mode"/>
    <tableColumn id="3" name="MU"/>
    <tableColumn id="4" name="Accessory"/>
    <tableColumn id="5" name="X1"/>
    <tableColumn id="6" name="X2"/>
    <tableColumn id="7" name="Y1"/>
    <tableColumn id="8" name="Y2"/>
    <tableColumn id="9" name="Rate"/>
    <tableColumn id="10" name="Depth mm"/>
    <tableColumn id="11" name="N"/>
    <tableColumn id="12" name="M1"/>
    <tableColumn id="13" name="M2"/>
    <tableColumn id="14" name="M3"/>
    <tableColumn id="15" name="Notification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3" Type="http://schemas.openxmlformats.org/officeDocument/2006/relationships/table" Target="/xl/tables/table2.xml" /><Relationship Id="rId4" Type="http://schemas.openxmlformats.org/officeDocument/2006/relationships/table" Target="/xl/tables/table3.xml" /><Relationship Id="rId5" Type="http://schemas.openxmlformats.org/officeDocument/2006/relationships/table" Target="/xl/tables/table4.xml" /><Relationship Id="rId6" Type="http://schemas.openxmlformats.org/officeDocument/2006/relationships/table" Target="/xl/tables/table5.xml" /><Relationship Id="rId7" Type="http://schemas.openxmlformats.org/officeDocument/2006/relationships/table" Target="/xl/tables/table6.xml" /><Relationship Id="rId8" Type="http://schemas.openxmlformats.org/officeDocument/2006/relationships/table" Target="/xl/tables/table7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5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6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7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8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S100"/>
  <sheetViews>
    <sheetView view="normal" tabSelected="1" workbookViewId="0">
      <selection pane="topLeft" activeCell="R22" sqref="R22"/>
    </sheetView>
  </sheetViews>
  <sheetFormatPr defaultColWidth="9.140625" defaultRowHeight="15" baseColWidth="0"/>
  <cols>
    <col min="4" max="4" width="11.859375" customWidth="1"/>
    <col min="10" max="10" width="12.3984375" customWidth="1"/>
    <col min="12" max="12" width="12" style="102" customWidth="1"/>
    <col min="13" max="13" width="13.3984375" style="96" customWidth="1"/>
    <col min="14" max="14" width="13" style="103" customWidth="1"/>
    <col min="15" max="15" width="32.73046875" style="9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9</v>
      </c>
      <c r="L1" s="99" t="s">
        <v>10</v>
      </c>
      <c r="M1" s="100" t="s">
        <v>75</v>
      </c>
      <c r="N1" s="101" t="s">
        <v>76</v>
      </c>
      <c r="O1" s="97" t="s">
        <v>44</v>
      </c>
    </row>
    <row r="2" spans="1:11" ht="15.75">
      <c r="A2" s="95" t="s">
        <v>11</v>
      </c>
      <c r="K2"/>
    </row>
    <row r="3" spans="1:19">
      <c r="A3" s="109" t="s">
        <v>12</v>
      </c>
      <c r="B3" s="109" t="s">
        <v>13</v>
      </c>
      <c r="C3" s="109">
        <v>200</v>
      </c>
      <c r="D3" s="109"/>
      <c r="E3" s="109">
        <v>2</v>
      </c>
      <c r="F3" s="109">
        <v>2</v>
      </c>
      <c r="G3" s="109">
        <v>2</v>
      </c>
      <c r="H3" s="109">
        <v>2</v>
      </c>
      <c r="I3" s="109">
        <v>600</v>
      </c>
      <c r="J3" s="109">
        <v>15</v>
      </c>
      <c r="K3" s="109">
        <v>2</v>
      </c>
      <c r="L3" s="110">
        <v>-3.605E-07</v>
      </c>
      <c r="M3" s="111">
        <v>-3.603E-07</v>
      </c>
      <c r="N3" s="112"/>
      <c r="O3" s="113"/>
      <c r="P3" s="109"/>
      <c r="Q3" s="109"/>
      <c r="R3" s="109"/>
      <c r="S3" s="109"/>
    </row>
    <row r="4" spans="1:19">
      <c r="A4" s="109" t="s">
        <v>12</v>
      </c>
      <c r="B4" s="109" t="s">
        <v>13</v>
      </c>
      <c r="C4" s="109">
        <v>200</v>
      </c>
      <c r="D4" s="109"/>
      <c r="E4" s="109">
        <v>5</v>
      </c>
      <c r="F4" s="109">
        <v>5</v>
      </c>
      <c r="G4" s="109">
        <v>5</v>
      </c>
      <c r="H4" s="109">
        <v>5</v>
      </c>
      <c r="I4" s="109">
        <v>600</v>
      </c>
      <c r="J4" s="109">
        <v>15</v>
      </c>
      <c r="K4" s="109">
        <v>2</v>
      </c>
      <c r="L4" s="110">
        <v>-3.91E-07</v>
      </c>
      <c r="M4" s="111">
        <v>-3.911E-07</v>
      </c>
      <c r="N4" s="112"/>
      <c r="O4" s="113"/>
      <c r="P4" s="109"/>
      <c r="Q4" s="109"/>
      <c r="R4" s="109"/>
      <c r="S4" s="109"/>
    </row>
    <row r="5" spans="1:19">
      <c r="A5" s="109" t="s">
        <v>12</v>
      </c>
      <c r="B5" s="109" t="s">
        <v>13</v>
      </c>
      <c r="C5" s="109">
        <v>200</v>
      </c>
      <c r="D5" s="109"/>
      <c r="E5" s="109">
        <v>7.5</v>
      </c>
      <c r="F5" s="109">
        <v>7.5</v>
      </c>
      <c r="G5" s="109">
        <v>7.5</v>
      </c>
      <c r="H5" s="109">
        <v>7.5</v>
      </c>
      <c r="I5" s="109">
        <v>600</v>
      </c>
      <c r="J5" s="109">
        <v>15</v>
      </c>
      <c r="K5" s="109">
        <v>2</v>
      </c>
      <c r="L5" s="110">
        <v>-4.041E-07</v>
      </c>
      <c r="M5" s="111">
        <v>-4.042E-07</v>
      </c>
      <c r="N5" s="112"/>
      <c r="O5" s="113"/>
      <c r="P5" s="109"/>
      <c r="Q5" s="109"/>
      <c r="R5" s="109"/>
      <c r="S5" s="109"/>
    </row>
    <row r="6" spans="1:19">
      <c r="A6" s="109" t="s">
        <v>12</v>
      </c>
      <c r="B6" s="109" t="s">
        <v>13</v>
      </c>
      <c r="C6" s="109">
        <v>200</v>
      </c>
      <c r="D6" s="109"/>
      <c r="E6" s="109">
        <v>10</v>
      </c>
      <c r="F6" s="109">
        <v>10</v>
      </c>
      <c r="G6" s="109">
        <v>10</v>
      </c>
      <c r="H6" s="109">
        <v>10</v>
      </c>
      <c r="I6" s="109">
        <v>600</v>
      </c>
      <c r="J6" s="109">
        <v>15</v>
      </c>
      <c r="K6" s="109">
        <v>2</v>
      </c>
      <c r="L6" s="110">
        <v>-4.127E-07</v>
      </c>
      <c r="M6" s="111">
        <v>-4.127E-07</v>
      </c>
      <c r="N6" s="112"/>
      <c r="O6" s="113"/>
      <c r="P6" s="109"/>
      <c r="Q6" s="109"/>
      <c r="R6" s="109"/>
      <c r="S6" s="109"/>
    </row>
    <row r="7" spans="1:19">
      <c r="A7" s="109" t="s">
        <v>12</v>
      </c>
      <c r="B7" s="109" t="s">
        <v>13</v>
      </c>
      <c r="C7" s="109">
        <v>200</v>
      </c>
      <c r="D7" s="109"/>
      <c r="E7" s="109">
        <v>15</v>
      </c>
      <c r="F7" s="109">
        <v>15</v>
      </c>
      <c r="G7" s="109">
        <v>15</v>
      </c>
      <c r="H7" s="109">
        <v>15</v>
      </c>
      <c r="I7" s="109">
        <v>600</v>
      </c>
      <c r="J7" s="109">
        <v>15</v>
      </c>
      <c r="K7" s="109">
        <v>2</v>
      </c>
      <c r="L7" s="110">
        <v>-4.245E-07</v>
      </c>
      <c r="M7" s="111">
        <v>-4.245E-07</v>
      </c>
      <c r="N7" s="112"/>
      <c r="O7" s="113"/>
      <c r="P7" s="109"/>
      <c r="Q7" s="109"/>
      <c r="R7" s="109"/>
      <c r="S7" s="109"/>
    </row>
    <row r="8" spans="1:19">
      <c r="A8" s="109" t="s">
        <v>12</v>
      </c>
      <c r="B8" s="109" t="s">
        <v>13</v>
      </c>
      <c r="C8" s="109">
        <v>200</v>
      </c>
      <c r="D8" s="109"/>
      <c r="E8" s="109">
        <v>20</v>
      </c>
      <c r="F8" s="109">
        <v>20</v>
      </c>
      <c r="G8" s="109">
        <v>20</v>
      </c>
      <c r="H8" s="109">
        <v>20</v>
      </c>
      <c r="I8" s="109">
        <v>600</v>
      </c>
      <c r="J8" s="109">
        <v>15</v>
      </c>
      <c r="K8" s="109">
        <v>2</v>
      </c>
      <c r="L8" s="110">
        <v>-4.303E-07</v>
      </c>
      <c r="M8" s="111">
        <v>-4.303E-07</v>
      </c>
      <c r="N8" s="112"/>
      <c r="O8" s="113"/>
      <c r="P8" s="109"/>
      <c r="Q8" s="109"/>
      <c r="R8" s="109"/>
      <c r="S8" s="109"/>
    </row>
    <row r="9" spans="1:19">
      <c r="A9" s="109" t="s">
        <v>14</v>
      </c>
      <c r="B9" s="109" t="s">
        <v>13</v>
      </c>
      <c r="C9" s="109">
        <v>200</v>
      </c>
      <c r="D9" s="109"/>
      <c r="E9" s="109">
        <v>2</v>
      </c>
      <c r="F9" s="109">
        <v>2</v>
      </c>
      <c r="G9" s="109">
        <v>2</v>
      </c>
      <c r="H9" s="109">
        <v>2</v>
      </c>
      <c r="I9" s="109">
        <v>600</v>
      </c>
      <c r="J9" s="109">
        <v>27</v>
      </c>
      <c r="K9" s="109">
        <v>2</v>
      </c>
      <c r="L9" s="110">
        <v>-3.526E-07</v>
      </c>
      <c r="M9" s="111">
        <v>-3.524E-07</v>
      </c>
      <c r="N9" s="112"/>
      <c r="O9" s="113"/>
      <c r="P9" s="109"/>
      <c r="Q9" s="109"/>
      <c r="R9" s="109"/>
      <c r="S9" s="109"/>
    </row>
    <row r="10" spans="1:19">
      <c r="A10" s="109" t="s">
        <v>14</v>
      </c>
      <c r="B10" s="109" t="s">
        <v>13</v>
      </c>
      <c r="C10" s="109">
        <v>200</v>
      </c>
      <c r="D10" s="109"/>
      <c r="E10" s="109">
        <v>5</v>
      </c>
      <c r="F10" s="109">
        <v>5</v>
      </c>
      <c r="G10" s="109">
        <v>5</v>
      </c>
      <c r="H10" s="109">
        <v>5</v>
      </c>
      <c r="I10" s="109">
        <v>600</v>
      </c>
      <c r="J10" s="109">
        <v>27</v>
      </c>
      <c r="K10" s="109">
        <v>2</v>
      </c>
      <c r="L10" s="110">
        <v>-3.874E-07</v>
      </c>
      <c r="M10" s="111">
        <v>-3.874E-07</v>
      </c>
      <c r="N10" s="112"/>
      <c r="O10" s="113"/>
      <c r="P10" s="109"/>
      <c r="Q10" s="109"/>
      <c r="R10" s="109"/>
      <c r="S10" s="109"/>
    </row>
    <row r="11" spans="1:19">
      <c r="A11" s="109" t="s">
        <v>14</v>
      </c>
      <c r="B11" s="109" t="s">
        <v>13</v>
      </c>
      <c r="C11" s="109">
        <v>200</v>
      </c>
      <c r="D11" s="109"/>
      <c r="E11" s="109">
        <v>7.5</v>
      </c>
      <c r="F11" s="109">
        <v>7.5</v>
      </c>
      <c r="G11" s="109">
        <v>7.5</v>
      </c>
      <c r="H11" s="109">
        <v>7.5</v>
      </c>
      <c r="I11" s="109">
        <v>600</v>
      </c>
      <c r="J11" s="109">
        <v>27</v>
      </c>
      <c r="K11" s="109">
        <v>2</v>
      </c>
      <c r="L11" s="110">
        <v>-4.009E-07</v>
      </c>
      <c r="M11" s="111">
        <v>-4.008E-07</v>
      </c>
      <c r="N11" s="112"/>
      <c r="O11" s="113"/>
      <c r="P11" s="109"/>
      <c r="Q11" s="109"/>
      <c r="R11" s="109"/>
      <c r="S11" s="109"/>
    </row>
    <row r="12" spans="1:19">
      <c r="A12" s="109" t="s">
        <v>14</v>
      </c>
      <c r="B12" s="109" t="s">
        <v>13</v>
      </c>
      <c r="C12" s="109">
        <v>200</v>
      </c>
      <c r="D12" s="109"/>
      <c r="E12" s="109">
        <v>10</v>
      </c>
      <c r="F12" s="109">
        <v>10</v>
      </c>
      <c r="G12" s="109">
        <v>10</v>
      </c>
      <c r="H12" s="109">
        <v>10</v>
      </c>
      <c r="I12" s="109">
        <v>600</v>
      </c>
      <c r="J12" s="109">
        <v>27</v>
      </c>
      <c r="K12" s="109">
        <v>2</v>
      </c>
      <c r="L12" s="110">
        <v>-4.098E-07</v>
      </c>
      <c r="M12" s="111">
        <v>-4.098E-07</v>
      </c>
      <c r="N12" s="112"/>
      <c r="O12" s="113"/>
      <c r="P12" s="109"/>
      <c r="Q12" s="109"/>
      <c r="R12" s="109"/>
      <c r="S12" s="109"/>
    </row>
    <row r="13" spans="1:19">
      <c r="A13" s="109" t="s">
        <v>14</v>
      </c>
      <c r="B13" s="109" t="s">
        <v>13</v>
      </c>
      <c r="C13" s="109">
        <v>200</v>
      </c>
      <c r="D13" s="109"/>
      <c r="E13" s="109">
        <v>15</v>
      </c>
      <c r="F13" s="109">
        <v>15</v>
      </c>
      <c r="G13" s="109">
        <v>15</v>
      </c>
      <c r="H13" s="109">
        <v>15</v>
      </c>
      <c r="I13" s="109">
        <v>600</v>
      </c>
      <c r="J13" s="109">
        <v>27</v>
      </c>
      <c r="K13" s="109">
        <v>2</v>
      </c>
      <c r="L13" s="110">
        <v>-4.212E-07</v>
      </c>
      <c r="M13" s="111">
        <v>-4.213E-07</v>
      </c>
      <c r="N13" s="112"/>
      <c r="O13" s="113"/>
      <c r="P13" s="109"/>
      <c r="Q13" s="109"/>
      <c r="R13" s="109"/>
      <c r="S13" s="109"/>
    </row>
    <row r="14" spans="1:19">
      <c r="A14" s="109" t="s">
        <v>14</v>
      </c>
      <c r="B14" s="109" t="s">
        <v>13</v>
      </c>
      <c r="C14" s="109">
        <v>200</v>
      </c>
      <c r="D14" s="109"/>
      <c r="E14" s="109">
        <v>20</v>
      </c>
      <c r="F14" s="109">
        <v>20</v>
      </c>
      <c r="G14" s="109">
        <v>20</v>
      </c>
      <c r="H14" s="109">
        <v>20</v>
      </c>
      <c r="I14" s="109">
        <v>600</v>
      </c>
      <c r="J14" s="109">
        <v>27</v>
      </c>
      <c r="K14" s="109">
        <v>2</v>
      </c>
      <c r="L14" s="110">
        <v>-4.268E-07</v>
      </c>
      <c r="M14" s="111">
        <v>-4.267E-07</v>
      </c>
      <c r="N14" s="112"/>
      <c r="O14" s="113"/>
      <c r="P14" s="109"/>
      <c r="Q14" s="109"/>
      <c r="R14" s="109"/>
      <c r="S14" s="109"/>
    </row>
    <row r="15" spans="1:12" ht="15.75">
      <c r="A15" s="95" t="s">
        <v>15</v>
      </c>
      <c r="K15"/>
      <c r="L15" s="102"/>
    </row>
    <row r="16" spans="1:19">
      <c r="A16" s="109" t="s">
        <v>12</v>
      </c>
      <c r="B16" s="109" t="s">
        <v>13</v>
      </c>
      <c r="C16" s="109">
        <v>200</v>
      </c>
      <c r="D16" s="109"/>
      <c r="E16" s="109">
        <v>5</v>
      </c>
      <c r="F16" s="109">
        <v>5</v>
      </c>
      <c r="G16" s="109">
        <v>5</v>
      </c>
      <c r="H16" s="109">
        <v>5</v>
      </c>
      <c r="I16" s="109">
        <v>600</v>
      </c>
      <c r="J16" s="109">
        <v>50</v>
      </c>
      <c r="K16" s="109">
        <v>1</v>
      </c>
      <c r="L16" s="110">
        <v>-3.386E-07</v>
      </c>
      <c r="M16" s="111"/>
      <c r="N16" s="112"/>
      <c r="O16" s="113"/>
      <c r="P16" s="109"/>
      <c r="Q16" s="109"/>
      <c r="R16" s="109"/>
      <c r="S16" s="109"/>
    </row>
    <row r="17" spans="1:19">
      <c r="A17" s="109" t="s">
        <v>12</v>
      </c>
      <c r="B17" s="109" t="s">
        <v>16</v>
      </c>
      <c r="C17" s="109">
        <v>200</v>
      </c>
      <c r="D17" s="109" t="s">
        <v>17</v>
      </c>
      <c r="E17" s="109">
        <v>5</v>
      </c>
      <c r="F17" s="109">
        <v>5</v>
      </c>
      <c r="G17" s="109">
        <v>5</v>
      </c>
      <c r="H17" s="109">
        <v>5</v>
      </c>
      <c r="I17" s="109">
        <v>600</v>
      </c>
      <c r="J17" s="109">
        <v>50</v>
      </c>
      <c r="K17" s="109">
        <v>1</v>
      </c>
      <c r="L17" s="110">
        <v>-3.208E-07</v>
      </c>
      <c r="M17" s="111"/>
      <c r="N17" s="112"/>
      <c r="O17" s="113"/>
      <c r="P17" s="109"/>
      <c r="Q17" s="109"/>
      <c r="R17" s="109"/>
      <c r="S17" s="109"/>
    </row>
    <row r="18" spans="1:19">
      <c r="A18" s="109" t="s">
        <v>12</v>
      </c>
      <c r="B18" s="109" t="s">
        <v>16</v>
      </c>
      <c r="C18" s="109">
        <v>200</v>
      </c>
      <c r="D18" s="109" t="s">
        <v>18</v>
      </c>
      <c r="E18" s="109">
        <v>5</v>
      </c>
      <c r="F18" s="109">
        <v>5</v>
      </c>
      <c r="G18" s="109">
        <v>5</v>
      </c>
      <c r="H18" s="109">
        <v>5</v>
      </c>
      <c r="I18" s="109">
        <v>600</v>
      </c>
      <c r="J18" s="109">
        <v>50</v>
      </c>
      <c r="K18" s="109">
        <v>1</v>
      </c>
      <c r="L18" s="110">
        <v>-3.218E-07</v>
      </c>
      <c r="M18" s="111"/>
      <c r="N18" s="112"/>
      <c r="O18" s="113"/>
      <c r="P18" s="109"/>
      <c r="Q18" s="109"/>
      <c r="R18" s="109"/>
      <c r="S18" s="109"/>
    </row>
    <row r="19" spans="1:19">
      <c r="A19" s="109" t="s">
        <v>12</v>
      </c>
      <c r="B19" s="109" t="s">
        <v>16</v>
      </c>
      <c r="C19" s="109">
        <v>200</v>
      </c>
      <c r="D19" s="109" t="s">
        <v>19</v>
      </c>
      <c r="E19" s="109">
        <v>5</v>
      </c>
      <c r="F19" s="109">
        <v>5</v>
      </c>
      <c r="G19" s="109">
        <v>5</v>
      </c>
      <c r="H19" s="109">
        <v>5</v>
      </c>
      <c r="I19" s="109">
        <v>600</v>
      </c>
      <c r="J19" s="109">
        <v>50</v>
      </c>
      <c r="K19" s="109">
        <v>1</v>
      </c>
      <c r="L19" s="110">
        <v>-3.126E-07</v>
      </c>
      <c r="M19" s="111"/>
      <c r="N19" s="112"/>
      <c r="O19" s="113"/>
      <c r="P19" s="109"/>
      <c r="Q19" s="109"/>
      <c r="R19" s="109"/>
      <c r="S19" s="109"/>
    </row>
    <row r="20" spans="1:19">
      <c r="A20" s="109" t="s">
        <v>12</v>
      </c>
      <c r="B20" s="109" t="s">
        <v>16</v>
      </c>
      <c r="C20" s="109">
        <v>200</v>
      </c>
      <c r="D20" s="109" t="s">
        <v>20</v>
      </c>
      <c r="E20" s="109">
        <v>5</v>
      </c>
      <c r="F20" s="109">
        <v>5</v>
      </c>
      <c r="G20" s="109">
        <v>5</v>
      </c>
      <c r="H20" s="109">
        <v>5</v>
      </c>
      <c r="I20" s="109">
        <v>600</v>
      </c>
      <c r="J20" s="109">
        <v>50</v>
      </c>
      <c r="K20" s="109">
        <v>1</v>
      </c>
      <c r="L20" s="110">
        <v>-3.138E-07</v>
      </c>
      <c r="M20" s="111"/>
      <c r="N20" s="112"/>
      <c r="O20" s="113"/>
      <c r="P20" s="109"/>
      <c r="Q20" s="109"/>
      <c r="R20" s="109"/>
      <c r="S20" s="109"/>
    </row>
    <row r="21" spans="1:19">
      <c r="A21" s="109" t="s">
        <v>12</v>
      </c>
      <c r="B21" s="109" t="s">
        <v>16</v>
      </c>
      <c r="C21" s="109">
        <v>200</v>
      </c>
      <c r="D21" s="109" t="s">
        <v>21</v>
      </c>
      <c r="E21" s="109">
        <v>5</v>
      </c>
      <c r="F21" s="109">
        <v>5</v>
      </c>
      <c r="G21" s="109">
        <v>5</v>
      </c>
      <c r="H21" s="109">
        <v>5</v>
      </c>
      <c r="I21" s="109">
        <v>600</v>
      </c>
      <c r="J21" s="109">
        <v>50</v>
      </c>
      <c r="K21" s="109">
        <v>1</v>
      </c>
      <c r="L21" s="110">
        <v>-3.043E-07</v>
      </c>
      <c r="M21" s="111"/>
      <c r="N21" s="112"/>
      <c r="O21" s="113"/>
      <c r="P21" s="109"/>
      <c r="Q21" s="109"/>
      <c r="R21" s="109"/>
      <c r="S21" s="115"/>
    </row>
    <row r="22" spans="1:19">
      <c r="A22" s="109" t="s">
        <v>12</v>
      </c>
      <c r="B22" s="109" t="s">
        <v>16</v>
      </c>
      <c r="C22" s="109">
        <v>200</v>
      </c>
      <c r="D22" s="109" t="s">
        <v>22</v>
      </c>
      <c r="E22" s="109">
        <v>5</v>
      </c>
      <c r="F22" s="109">
        <v>5</v>
      </c>
      <c r="G22" s="109">
        <v>5</v>
      </c>
      <c r="H22" s="109">
        <v>5</v>
      </c>
      <c r="I22" s="109">
        <v>600</v>
      </c>
      <c r="J22" s="109">
        <v>50</v>
      </c>
      <c r="K22" s="109">
        <v>1</v>
      </c>
      <c r="L22" s="110">
        <v>-3.059E-07</v>
      </c>
      <c r="M22" s="111"/>
      <c r="N22" s="112"/>
      <c r="O22" s="113"/>
      <c r="P22" s="109"/>
      <c r="Q22" s="109"/>
      <c r="R22" s="109"/>
      <c r="S22" s="109"/>
    </row>
    <row r="23" spans="1:19">
      <c r="A23" s="109" t="s">
        <v>12</v>
      </c>
      <c r="B23" s="109" t="s">
        <v>16</v>
      </c>
      <c r="C23" s="109">
        <v>200</v>
      </c>
      <c r="D23" s="109" t="s">
        <v>23</v>
      </c>
      <c r="E23" s="109">
        <v>5</v>
      </c>
      <c r="F23" s="109">
        <v>5</v>
      </c>
      <c r="G23" s="109">
        <v>5</v>
      </c>
      <c r="H23" s="109">
        <v>5</v>
      </c>
      <c r="I23" s="109">
        <v>600</v>
      </c>
      <c r="J23" s="109">
        <v>50</v>
      </c>
      <c r="K23" s="109">
        <v>1</v>
      </c>
      <c r="L23" s="110">
        <v>-2.958E-07</v>
      </c>
      <c r="M23" s="111"/>
      <c r="N23" s="112"/>
      <c r="O23" s="113"/>
      <c r="P23" s="109"/>
      <c r="Q23" s="109"/>
      <c r="R23" s="109"/>
      <c r="S23" s="109"/>
    </row>
    <row r="24" spans="1:19">
      <c r="A24" s="109" t="s">
        <v>12</v>
      </c>
      <c r="B24" s="109" t="s">
        <v>16</v>
      </c>
      <c r="C24" s="109">
        <v>200</v>
      </c>
      <c r="D24" s="109" t="s">
        <v>24</v>
      </c>
      <c r="E24" s="109">
        <v>5</v>
      </c>
      <c r="F24" s="109">
        <v>5</v>
      </c>
      <c r="G24" s="109">
        <v>5</v>
      </c>
      <c r="H24" s="109">
        <v>5</v>
      </c>
      <c r="I24" s="109">
        <v>600</v>
      </c>
      <c r="J24" s="109">
        <v>50</v>
      </c>
      <c r="K24" s="109">
        <v>1</v>
      </c>
      <c r="L24" s="110">
        <v>-2.978E-07</v>
      </c>
      <c r="M24" s="111"/>
      <c r="N24" s="112"/>
      <c r="O24" s="113"/>
      <c r="P24" s="109"/>
      <c r="Q24" s="109"/>
      <c r="R24" s="109"/>
      <c r="S24" s="109"/>
    </row>
    <row r="25" spans="1:19">
      <c r="A25" s="109" t="s">
        <v>12</v>
      </c>
      <c r="B25" s="109" t="s">
        <v>16</v>
      </c>
      <c r="C25" s="109">
        <v>200</v>
      </c>
      <c r="D25" s="109" t="s">
        <v>25</v>
      </c>
      <c r="E25" s="109">
        <v>5</v>
      </c>
      <c r="F25" s="109">
        <v>5</v>
      </c>
      <c r="G25" s="109">
        <v>5</v>
      </c>
      <c r="H25" s="109">
        <v>5</v>
      </c>
      <c r="I25" s="109">
        <v>600</v>
      </c>
      <c r="J25" s="109">
        <v>50</v>
      </c>
      <c r="K25" s="109">
        <v>1</v>
      </c>
      <c r="L25" s="110">
        <v>-2.872E-07</v>
      </c>
      <c r="M25" s="111"/>
      <c r="N25" s="112"/>
      <c r="O25" s="113"/>
      <c r="P25" s="109"/>
      <c r="Q25" s="109"/>
      <c r="R25" s="109"/>
      <c r="S25" s="109"/>
    </row>
    <row r="26" spans="1:19">
      <c r="A26" s="109" t="s">
        <v>12</v>
      </c>
      <c r="B26" s="109" t="s">
        <v>16</v>
      </c>
      <c r="C26" s="109">
        <v>200</v>
      </c>
      <c r="D26" s="109" t="s">
        <v>26</v>
      </c>
      <c r="E26" s="109">
        <v>5</v>
      </c>
      <c r="F26" s="109">
        <v>5</v>
      </c>
      <c r="G26" s="109">
        <v>5</v>
      </c>
      <c r="H26" s="109">
        <v>5</v>
      </c>
      <c r="I26" s="109">
        <v>600</v>
      </c>
      <c r="J26" s="109">
        <v>50</v>
      </c>
      <c r="K26" s="109">
        <v>1</v>
      </c>
      <c r="L26" s="110">
        <v>-2.895E-07</v>
      </c>
      <c r="M26" s="111"/>
      <c r="N26" s="112"/>
      <c r="O26" s="113"/>
      <c r="P26" s="109"/>
      <c r="Q26" s="109"/>
      <c r="R26" s="109"/>
      <c r="S26" s="109"/>
    </row>
    <row r="27" spans="1:19">
      <c r="A27" s="109" t="s">
        <v>12</v>
      </c>
      <c r="B27" s="109" t="s">
        <v>16</v>
      </c>
      <c r="C27" s="109">
        <v>200</v>
      </c>
      <c r="D27" s="109" t="s">
        <v>27</v>
      </c>
      <c r="E27" s="109">
        <v>5</v>
      </c>
      <c r="F27" s="109">
        <v>5</v>
      </c>
      <c r="G27" s="109">
        <v>5</v>
      </c>
      <c r="H27" s="109">
        <v>5</v>
      </c>
      <c r="I27" s="109">
        <v>600</v>
      </c>
      <c r="J27" s="109">
        <v>50</v>
      </c>
      <c r="K27" s="109">
        <v>1</v>
      </c>
      <c r="L27" s="110">
        <v>-2.581E-07</v>
      </c>
      <c r="M27" s="111"/>
      <c r="N27" s="112"/>
      <c r="O27" s="113"/>
      <c r="P27" s="109"/>
      <c r="Q27" s="109"/>
      <c r="R27" s="109"/>
      <c r="S27" s="109"/>
    </row>
    <row r="28" spans="1:19">
      <c r="A28" s="109" t="s">
        <v>12</v>
      </c>
      <c r="B28" s="109" t="s">
        <v>16</v>
      </c>
      <c r="C28" s="109">
        <v>200</v>
      </c>
      <c r="D28" s="109" t="s">
        <v>28</v>
      </c>
      <c r="E28" s="109">
        <v>5</v>
      </c>
      <c r="F28" s="109">
        <v>5</v>
      </c>
      <c r="G28" s="109">
        <v>5</v>
      </c>
      <c r="H28" s="109">
        <v>5</v>
      </c>
      <c r="I28" s="109">
        <v>600</v>
      </c>
      <c r="J28" s="109">
        <v>50</v>
      </c>
      <c r="K28" s="109">
        <v>1</v>
      </c>
      <c r="L28" s="110">
        <v>-2.618E-07</v>
      </c>
      <c r="M28" s="111"/>
      <c r="N28" s="112"/>
      <c r="O28" s="113"/>
      <c r="P28" s="109"/>
      <c r="Q28" s="109"/>
      <c r="R28" s="109"/>
      <c r="S28" s="109"/>
    </row>
    <row r="29" spans="1:19">
      <c r="A29" s="109" t="s">
        <v>12</v>
      </c>
      <c r="B29" s="109" t="s">
        <v>16</v>
      </c>
      <c r="C29" s="109">
        <v>200</v>
      </c>
      <c r="D29" s="109" t="s">
        <v>29</v>
      </c>
      <c r="E29" s="109">
        <v>5</v>
      </c>
      <c r="F29" s="109">
        <v>5</v>
      </c>
      <c r="G29" s="109">
        <v>5</v>
      </c>
      <c r="H29" s="109">
        <v>5</v>
      </c>
      <c r="I29" s="109">
        <v>600</v>
      </c>
      <c r="J29" s="109">
        <v>50</v>
      </c>
      <c r="K29" s="109">
        <v>1</v>
      </c>
      <c r="L29" s="110">
        <v>-2.195E-07</v>
      </c>
      <c r="M29" s="111"/>
      <c r="N29" s="112"/>
      <c r="O29" s="113"/>
      <c r="P29" s="109"/>
      <c r="Q29" s="109"/>
      <c r="R29" s="109"/>
      <c r="S29" s="109"/>
    </row>
    <row r="30" spans="1:19">
      <c r="A30" s="109" t="s">
        <v>12</v>
      </c>
      <c r="B30" s="109" t="s">
        <v>16</v>
      </c>
      <c r="C30" s="109">
        <v>200</v>
      </c>
      <c r="D30" s="109" t="s">
        <v>30</v>
      </c>
      <c r="E30" s="109">
        <v>5</v>
      </c>
      <c r="F30" s="109">
        <v>5</v>
      </c>
      <c r="G30" s="109">
        <v>5</v>
      </c>
      <c r="H30" s="109">
        <v>5</v>
      </c>
      <c r="I30" s="109">
        <v>600</v>
      </c>
      <c r="J30" s="109">
        <v>50</v>
      </c>
      <c r="K30" s="109">
        <v>1</v>
      </c>
      <c r="L30" s="110">
        <v>-2.251E-07</v>
      </c>
      <c r="M30" s="111"/>
      <c r="N30" s="112"/>
      <c r="O30" s="113"/>
      <c r="P30" s="109"/>
      <c r="Q30" s="109"/>
      <c r="R30" s="109"/>
      <c r="S30" s="109"/>
    </row>
    <row r="31" spans="1:19">
      <c r="A31" s="109" t="s">
        <v>14</v>
      </c>
      <c r="B31" s="109" t="s">
        <v>13</v>
      </c>
      <c r="C31" s="109">
        <v>200</v>
      </c>
      <c r="D31" s="109"/>
      <c r="E31" s="109">
        <v>5</v>
      </c>
      <c r="F31" s="109">
        <v>5</v>
      </c>
      <c r="G31" s="109">
        <v>5</v>
      </c>
      <c r="H31" s="109">
        <v>5</v>
      </c>
      <c r="I31" s="109">
        <v>600</v>
      </c>
      <c r="J31" s="109">
        <v>50</v>
      </c>
      <c r="K31" s="109">
        <v>1</v>
      </c>
      <c r="L31" s="110">
        <v>-3.674E-07</v>
      </c>
      <c r="M31" s="111"/>
      <c r="N31" s="112"/>
      <c r="O31" s="113"/>
      <c r="P31" s="109"/>
      <c r="Q31" s="109"/>
      <c r="R31" s="109"/>
      <c r="S31" s="109"/>
    </row>
    <row r="32" spans="1:19">
      <c r="A32" s="109" t="s">
        <v>14</v>
      </c>
      <c r="B32" s="109" t="s">
        <v>16</v>
      </c>
      <c r="C32" s="109">
        <v>200</v>
      </c>
      <c r="D32" s="109" t="s">
        <v>17</v>
      </c>
      <c r="E32" s="109">
        <v>5</v>
      </c>
      <c r="F32" s="109">
        <v>5</v>
      </c>
      <c r="G32" s="109">
        <v>5</v>
      </c>
      <c r="H32" s="109">
        <v>5</v>
      </c>
      <c r="I32" s="109">
        <v>600</v>
      </c>
      <c r="J32" s="109">
        <v>50</v>
      </c>
      <c r="K32" s="109">
        <v>1</v>
      </c>
      <c r="L32" s="110">
        <v>-3.522E-07</v>
      </c>
      <c r="M32" s="111"/>
      <c r="N32" s="112"/>
      <c r="O32" s="113"/>
      <c r="P32" s="109"/>
      <c r="Q32" s="109"/>
      <c r="R32" s="109"/>
      <c r="S32" s="109"/>
    </row>
    <row r="33" spans="1:19">
      <c r="A33" s="109" t="s">
        <v>14</v>
      </c>
      <c r="B33" s="109" t="s">
        <v>16</v>
      </c>
      <c r="C33" s="109">
        <v>200</v>
      </c>
      <c r="D33" s="109" t="s">
        <v>18</v>
      </c>
      <c r="E33" s="109">
        <v>5</v>
      </c>
      <c r="F33" s="109">
        <v>5</v>
      </c>
      <c r="G33" s="109">
        <v>5</v>
      </c>
      <c r="H33" s="109">
        <v>5</v>
      </c>
      <c r="I33" s="109">
        <v>600</v>
      </c>
      <c r="J33" s="109">
        <v>50</v>
      </c>
      <c r="K33" s="109">
        <v>1</v>
      </c>
      <c r="L33" s="110">
        <v>-3.531E-07</v>
      </c>
      <c r="M33" s="111"/>
      <c r="N33" s="112"/>
      <c r="O33" s="113"/>
      <c r="P33" s="109"/>
      <c r="Q33" s="109"/>
      <c r="R33" s="109"/>
      <c r="S33" s="109"/>
    </row>
    <row r="34" spans="1:19">
      <c r="A34" s="109" t="s">
        <v>14</v>
      </c>
      <c r="B34" s="109" t="s">
        <v>16</v>
      </c>
      <c r="C34" s="109">
        <v>200</v>
      </c>
      <c r="D34" s="109" t="s">
        <v>19</v>
      </c>
      <c r="E34" s="109">
        <v>5</v>
      </c>
      <c r="F34" s="109">
        <v>5</v>
      </c>
      <c r="G34" s="109">
        <v>5</v>
      </c>
      <c r="H34" s="109">
        <v>5</v>
      </c>
      <c r="I34" s="109">
        <v>600</v>
      </c>
      <c r="J34" s="109">
        <v>50</v>
      </c>
      <c r="K34" s="109">
        <v>1</v>
      </c>
      <c r="L34" s="110">
        <v>-3.45E-07</v>
      </c>
      <c r="M34" s="111"/>
      <c r="N34" s="112"/>
      <c r="O34" s="113"/>
      <c r="P34" s="109"/>
      <c r="Q34" s="109"/>
      <c r="R34" s="109"/>
      <c r="S34" s="109"/>
    </row>
    <row r="35" spans="1:19">
      <c r="A35" s="109" t="s">
        <v>14</v>
      </c>
      <c r="B35" s="109" t="s">
        <v>16</v>
      </c>
      <c r="C35" s="109">
        <v>200</v>
      </c>
      <c r="D35" s="109" t="s">
        <v>20</v>
      </c>
      <c r="E35" s="109">
        <v>5</v>
      </c>
      <c r="F35" s="109">
        <v>5</v>
      </c>
      <c r="G35" s="109">
        <v>5</v>
      </c>
      <c r="H35" s="109">
        <v>5</v>
      </c>
      <c r="I35" s="109">
        <v>600</v>
      </c>
      <c r="J35" s="109">
        <v>50</v>
      </c>
      <c r="K35" s="109">
        <v>1</v>
      </c>
      <c r="L35" s="110">
        <v>-3.463E-07</v>
      </c>
      <c r="M35" s="111"/>
      <c r="N35" s="112"/>
      <c r="O35" s="113"/>
      <c r="P35" s="109"/>
      <c r="Q35" s="109"/>
      <c r="R35" s="109"/>
      <c r="S35" s="109"/>
    </row>
    <row r="36" spans="1:19">
      <c r="A36" s="109" t="s">
        <v>14</v>
      </c>
      <c r="B36" s="109" t="s">
        <v>16</v>
      </c>
      <c r="C36" s="109">
        <v>200</v>
      </c>
      <c r="D36" s="109" t="s">
        <v>21</v>
      </c>
      <c r="E36" s="109">
        <v>5</v>
      </c>
      <c r="F36" s="109">
        <v>5</v>
      </c>
      <c r="G36" s="109">
        <v>5</v>
      </c>
      <c r="H36" s="109">
        <v>5</v>
      </c>
      <c r="I36" s="109">
        <v>600</v>
      </c>
      <c r="J36" s="109">
        <v>50</v>
      </c>
      <c r="K36" s="109">
        <v>1</v>
      </c>
      <c r="L36" s="110">
        <v>-3.378E-07</v>
      </c>
      <c r="M36" s="111"/>
      <c r="N36" s="112"/>
      <c r="O36" s="113"/>
      <c r="P36" s="109"/>
      <c r="Q36" s="109"/>
      <c r="R36" s="109"/>
      <c r="S36" s="109"/>
    </row>
    <row r="37" spans="1:19">
      <c r="A37" s="109" t="s">
        <v>14</v>
      </c>
      <c r="B37" s="109" t="s">
        <v>16</v>
      </c>
      <c r="C37" s="109">
        <v>200</v>
      </c>
      <c r="D37" s="109" t="s">
        <v>22</v>
      </c>
      <c r="E37" s="109">
        <v>5</v>
      </c>
      <c r="F37" s="109">
        <v>5</v>
      </c>
      <c r="G37" s="109">
        <v>5</v>
      </c>
      <c r="H37" s="109">
        <v>5</v>
      </c>
      <c r="I37" s="109">
        <v>600</v>
      </c>
      <c r="J37" s="109">
        <v>50</v>
      </c>
      <c r="K37" s="109">
        <v>1</v>
      </c>
      <c r="L37" s="110">
        <v>-3.394E-07</v>
      </c>
      <c r="M37" s="111"/>
      <c r="N37" s="112"/>
      <c r="O37" s="113"/>
      <c r="P37" s="109"/>
      <c r="Q37" s="109"/>
      <c r="R37" s="109"/>
      <c r="S37" s="109"/>
    </row>
    <row r="38" spans="1:19">
      <c r="A38" s="109" t="s">
        <v>14</v>
      </c>
      <c r="B38" s="109" t="s">
        <v>16</v>
      </c>
      <c r="C38" s="109">
        <v>200</v>
      </c>
      <c r="D38" s="109" t="s">
        <v>23</v>
      </c>
      <c r="E38" s="109">
        <v>5</v>
      </c>
      <c r="F38" s="109">
        <v>5</v>
      </c>
      <c r="G38" s="109">
        <v>5</v>
      </c>
      <c r="H38" s="109">
        <v>5</v>
      </c>
      <c r="I38" s="109">
        <v>600</v>
      </c>
      <c r="J38" s="109">
        <v>50</v>
      </c>
      <c r="K38" s="109">
        <v>1</v>
      </c>
      <c r="L38" s="110">
        <v>-3.304E-07</v>
      </c>
      <c r="M38" s="111"/>
      <c r="N38" s="112"/>
      <c r="O38" s="113"/>
      <c r="P38" s="109"/>
      <c r="Q38" s="109"/>
      <c r="R38" s="109"/>
      <c r="S38" s="109"/>
    </row>
    <row r="39" spans="1:19">
      <c r="A39" s="109" t="s">
        <v>14</v>
      </c>
      <c r="B39" s="109" t="s">
        <v>16</v>
      </c>
      <c r="C39" s="109">
        <v>200</v>
      </c>
      <c r="D39" s="109" t="s">
        <v>24</v>
      </c>
      <c r="E39" s="109">
        <v>5</v>
      </c>
      <c r="F39" s="109">
        <v>5</v>
      </c>
      <c r="G39" s="109">
        <v>5</v>
      </c>
      <c r="H39" s="109">
        <v>5</v>
      </c>
      <c r="I39" s="109">
        <v>600</v>
      </c>
      <c r="J39" s="109">
        <v>50</v>
      </c>
      <c r="K39" s="109">
        <v>1</v>
      </c>
      <c r="L39" s="110">
        <v>-3.323E-07</v>
      </c>
      <c r="M39" s="111"/>
      <c r="N39" s="112"/>
      <c r="O39" s="113"/>
      <c r="P39" s="109"/>
      <c r="Q39" s="109"/>
      <c r="R39" s="109"/>
      <c r="S39" s="109"/>
    </row>
    <row r="40" spans="1:19">
      <c r="A40" s="109" t="s">
        <v>14</v>
      </c>
      <c r="B40" s="109" t="s">
        <v>16</v>
      </c>
      <c r="C40" s="109">
        <v>200</v>
      </c>
      <c r="D40" s="109" t="s">
        <v>25</v>
      </c>
      <c r="E40" s="109">
        <v>5</v>
      </c>
      <c r="F40" s="109">
        <v>5</v>
      </c>
      <c r="G40" s="109">
        <v>5</v>
      </c>
      <c r="H40" s="109">
        <v>5</v>
      </c>
      <c r="I40" s="109">
        <v>600</v>
      </c>
      <c r="J40" s="109">
        <v>50</v>
      </c>
      <c r="K40" s="109">
        <v>1</v>
      </c>
      <c r="L40" s="110">
        <v>-3.227E-07</v>
      </c>
      <c r="M40" s="111"/>
      <c r="N40" s="112"/>
      <c r="O40" s="113"/>
      <c r="P40" s="109"/>
      <c r="Q40" s="109"/>
      <c r="R40" s="109"/>
      <c r="S40" s="109"/>
    </row>
    <row r="41" spans="1:19">
      <c r="A41" s="109" t="s">
        <v>14</v>
      </c>
      <c r="B41" s="109" t="s">
        <v>16</v>
      </c>
      <c r="C41" s="109">
        <v>200</v>
      </c>
      <c r="D41" s="109" t="s">
        <v>26</v>
      </c>
      <c r="E41" s="109">
        <v>5</v>
      </c>
      <c r="F41" s="109">
        <v>5</v>
      </c>
      <c r="G41" s="109">
        <v>5</v>
      </c>
      <c r="H41" s="109">
        <v>5</v>
      </c>
      <c r="I41" s="109">
        <v>600</v>
      </c>
      <c r="J41" s="109">
        <v>50</v>
      </c>
      <c r="K41" s="109">
        <v>1</v>
      </c>
      <c r="L41" s="110">
        <v>-3.251E-07</v>
      </c>
      <c r="M41" s="111"/>
      <c r="N41" s="112"/>
      <c r="O41" s="113"/>
      <c r="P41" s="109"/>
      <c r="Q41" s="109"/>
      <c r="R41" s="109"/>
      <c r="S41" s="109"/>
    </row>
    <row r="42" spans="1:19">
      <c r="A42" s="109" t="s">
        <v>14</v>
      </c>
      <c r="B42" s="109" t="s">
        <v>16</v>
      </c>
      <c r="C42" s="109">
        <v>200</v>
      </c>
      <c r="D42" s="109" t="s">
        <v>27</v>
      </c>
      <c r="E42" s="109">
        <v>5</v>
      </c>
      <c r="F42" s="109">
        <v>5</v>
      </c>
      <c r="G42" s="109">
        <v>5</v>
      </c>
      <c r="H42" s="109">
        <v>5</v>
      </c>
      <c r="I42" s="109">
        <v>600</v>
      </c>
      <c r="J42" s="109">
        <v>50</v>
      </c>
      <c r="K42" s="109">
        <v>1</v>
      </c>
      <c r="L42" s="110">
        <v>-2.963E-07</v>
      </c>
      <c r="M42" s="111"/>
      <c r="N42" s="112"/>
      <c r="O42" s="113"/>
      <c r="P42" s="109"/>
      <c r="Q42" s="109"/>
      <c r="R42" s="109"/>
      <c r="S42" s="109"/>
    </row>
    <row r="43" spans="1:19">
      <c r="A43" s="109" t="s">
        <v>14</v>
      </c>
      <c r="B43" s="109" t="s">
        <v>16</v>
      </c>
      <c r="C43" s="109">
        <v>200</v>
      </c>
      <c r="D43" s="109" t="s">
        <v>28</v>
      </c>
      <c r="E43" s="109">
        <v>5</v>
      </c>
      <c r="F43" s="109">
        <v>5</v>
      </c>
      <c r="G43" s="109">
        <v>5</v>
      </c>
      <c r="H43" s="109">
        <v>5</v>
      </c>
      <c r="I43" s="109">
        <v>600</v>
      </c>
      <c r="J43" s="109">
        <v>50</v>
      </c>
      <c r="K43" s="109">
        <v>1</v>
      </c>
      <c r="L43" s="110">
        <v>-3.001E-07</v>
      </c>
      <c r="M43" s="111"/>
      <c r="N43" s="112"/>
      <c r="O43" s="113"/>
      <c r="P43" s="109"/>
      <c r="Q43" s="109"/>
      <c r="R43" s="109"/>
      <c r="S43" s="109"/>
    </row>
    <row r="44" spans="1:19">
      <c r="A44" s="109" t="s">
        <v>14</v>
      </c>
      <c r="B44" s="109" t="s">
        <v>16</v>
      </c>
      <c r="C44" s="109">
        <v>200</v>
      </c>
      <c r="D44" s="109" t="s">
        <v>29</v>
      </c>
      <c r="E44" s="109">
        <v>5</v>
      </c>
      <c r="F44" s="109">
        <v>5</v>
      </c>
      <c r="G44" s="109">
        <v>5</v>
      </c>
      <c r="H44" s="109">
        <v>5</v>
      </c>
      <c r="I44" s="109">
        <v>600</v>
      </c>
      <c r="J44" s="109">
        <v>50</v>
      </c>
      <c r="K44" s="109">
        <v>1</v>
      </c>
      <c r="L44" s="110">
        <v>-2.594E-07</v>
      </c>
      <c r="M44" s="111"/>
      <c r="N44" s="112"/>
      <c r="O44" s="113"/>
      <c r="P44" s="109"/>
      <c r="Q44" s="109"/>
      <c r="R44" s="109"/>
      <c r="S44" s="109"/>
    </row>
    <row r="45" spans="1:19">
      <c r="A45" s="109" t="s">
        <v>14</v>
      </c>
      <c r="B45" s="109" t="s">
        <v>16</v>
      </c>
      <c r="C45" s="109">
        <v>200</v>
      </c>
      <c r="D45" s="109" t="s">
        <v>30</v>
      </c>
      <c r="E45" s="109">
        <v>5</v>
      </c>
      <c r="F45" s="109">
        <v>5</v>
      </c>
      <c r="G45" s="109">
        <v>5</v>
      </c>
      <c r="H45" s="109">
        <v>5</v>
      </c>
      <c r="I45" s="109">
        <v>600</v>
      </c>
      <c r="J45" s="109">
        <v>50</v>
      </c>
      <c r="K45" s="109">
        <v>1</v>
      </c>
      <c r="L45" s="110">
        <v>-2.651E-07</v>
      </c>
      <c r="M45" s="111"/>
      <c r="N45" s="112"/>
      <c r="O45" s="113"/>
      <c r="P45" s="109"/>
      <c r="Q45" s="109"/>
      <c r="R45" s="109"/>
      <c r="S45" s="109"/>
    </row>
    <row r="46" spans="1:12" ht="15.75">
      <c r="A46" s="95" t="s">
        <v>31</v>
      </c>
      <c r="K46"/>
      <c r="L46" s="102"/>
    </row>
    <row r="47" spans="1:19">
      <c r="A47" s="109" t="s">
        <v>12</v>
      </c>
      <c r="B47" s="109" t="s">
        <v>13</v>
      </c>
      <c r="C47" s="109">
        <v>10</v>
      </c>
      <c r="D47" s="109"/>
      <c r="E47" s="109">
        <v>5</v>
      </c>
      <c r="F47" s="109">
        <v>5</v>
      </c>
      <c r="G47" s="109">
        <v>5</v>
      </c>
      <c r="H47" s="109">
        <v>5</v>
      </c>
      <c r="I47" s="109">
        <v>600</v>
      </c>
      <c r="J47" s="109">
        <v>50</v>
      </c>
      <c r="K47" s="109">
        <v>2</v>
      </c>
      <c r="L47" s="110">
        <v>-1.7E-08</v>
      </c>
      <c r="M47" s="111">
        <v>-1.7E-08</v>
      </c>
      <c r="N47" s="112"/>
      <c r="O47" s="113"/>
      <c r="P47" s="109"/>
      <c r="Q47" s="109"/>
      <c r="R47" s="109"/>
      <c r="S47" s="109"/>
    </row>
    <row r="48" spans="1:19">
      <c r="A48" s="109" t="s">
        <v>12</v>
      </c>
      <c r="B48" s="109" t="s">
        <v>13</v>
      </c>
      <c r="C48" s="109">
        <v>20</v>
      </c>
      <c r="D48" s="109"/>
      <c r="E48" s="109">
        <v>5</v>
      </c>
      <c r="F48" s="109">
        <v>5</v>
      </c>
      <c r="G48" s="109">
        <v>5</v>
      </c>
      <c r="H48" s="109">
        <v>5</v>
      </c>
      <c r="I48" s="109">
        <v>600</v>
      </c>
      <c r="J48" s="109">
        <v>50</v>
      </c>
      <c r="K48" s="109">
        <v>2</v>
      </c>
      <c r="L48" s="110">
        <v>-3.39E-08</v>
      </c>
      <c r="M48" s="111">
        <v>-3.4E-08</v>
      </c>
      <c r="N48" s="112"/>
      <c r="O48" s="113"/>
      <c r="P48" s="109"/>
      <c r="Q48" s="109"/>
      <c r="R48" s="109"/>
      <c r="S48" s="109"/>
    </row>
    <row r="49" spans="1:19">
      <c r="A49" s="109" t="s">
        <v>12</v>
      </c>
      <c r="B49" s="109" t="s">
        <v>13</v>
      </c>
      <c r="C49" s="109">
        <v>50</v>
      </c>
      <c r="D49" s="109"/>
      <c r="E49" s="109">
        <v>5</v>
      </c>
      <c r="F49" s="109">
        <v>5</v>
      </c>
      <c r="G49" s="109">
        <v>5</v>
      </c>
      <c r="H49" s="109">
        <v>5</v>
      </c>
      <c r="I49" s="109">
        <v>600</v>
      </c>
      <c r="J49" s="109">
        <v>50</v>
      </c>
      <c r="K49" s="109">
        <v>2</v>
      </c>
      <c r="L49" s="110">
        <v>-8.48E-08</v>
      </c>
      <c r="M49" s="111">
        <v>-8.47E-08</v>
      </c>
      <c r="N49" s="112"/>
      <c r="O49" s="113"/>
      <c r="P49" s="109"/>
      <c r="Q49" s="109"/>
      <c r="R49" s="109"/>
      <c r="S49" s="109"/>
    </row>
    <row r="50" spans="1:19">
      <c r="A50" s="109" t="s">
        <v>12</v>
      </c>
      <c r="B50" s="109" t="s">
        <v>13</v>
      </c>
      <c r="C50" s="109">
        <v>100</v>
      </c>
      <c r="D50" s="109"/>
      <c r="E50" s="109">
        <v>5</v>
      </c>
      <c r="F50" s="109">
        <v>5</v>
      </c>
      <c r="G50" s="109">
        <v>5</v>
      </c>
      <c r="H50" s="109">
        <v>5</v>
      </c>
      <c r="I50" s="109">
        <v>600</v>
      </c>
      <c r="J50" s="109">
        <v>50</v>
      </c>
      <c r="K50" s="109">
        <v>2</v>
      </c>
      <c r="L50" s="110">
        <v>-1.693E-07</v>
      </c>
      <c r="M50" s="111">
        <v>-1.694E-07</v>
      </c>
      <c r="N50" s="112"/>
      <c r="O50" s="113"/>
      <c r="P50" s="109"/>
      <c r="Q50" s="109"/>
      <c r="R50" s="109"/>
      <c r="S50" s="109"/>
    </row>
    <row r="51" spans="1:19">
      <c r="A51" s="109" t="s">
        <v>12</v>
      </c>
      <c r="B51" s="109" t="s">
        <v>13</v>
      </c>
      <c r="C51" s="109">
        <v>200</v>
      </c>
      <c r="D51" s="109"/>
      <c r="E51" s="109">
        <v>5</v>
      </c>
      <c r="F51" s="109">
        <v>5</v>
      </c>
      <c r="G51" s="109">
        <v>5</v>
      </c>
      <c r="H51" s="109">
        <v>5</v>
      </c>
      <c r="I51" s="109">
        <v>600</v>
      </c>
      <c r="J51" s="109">
        <v>50</v>
      </c>
      <c r="K51" s="109">
        <v>2</v>
      </c>
      <c r="L51" s="110">
        <v>-3.387E-07</v>
      </c>
      <c r="M51" s="111">
        <v>-3.388E-07</v>
      </c>
      <c r="N51" s="112"/>
      <c r="O51" s="113"/>
      <c r="P51" s="109"/>
      <c r="Q51" s="109"/>
      <c r="R51" s="109"/>
      <c r="S51" s="109"/>
    </row>
    <row r="52" spans="1:19">
      <c r="A52" s="109" t="s">
        <v>12</v>
      </c>
      <c r="B52" s="109" t="s">
        <v>13</v>
      </c>
      <c r="C52" s="109">
        <v>500</v>
      </c>
      <c r="D52" s="109"/>
      <c r="E52" s="109">
        <v>5</v>
      </c>
      <c r="F52" s="109">
        <v>5</v>
      </c>
      <c r="G52" s="109">
        <v>5</v>
      </c>
      <c r="H52" s="109">
        <v>5</v>
      </c>
      <c r="I52" s="109">
        <v>600</v>
      </c>
      <c r="J52" s="109">
        <v>50</v>
      </c>
      <c r="K52" s="109">
        <v>2</v>
      </c>
      <c r="L52" s="110">
        <v>-8.469E-07</v>
      </c>
      <c r="M52" s="111">
        <v>-8.47E-07</v>
      </c>
      <c r="N52" s="112"/>
      <c r="O52" s="113"/>
      <c r="P52" s="109"/>
      <c r="Q52" s="109"/>
      <c r="R52" s="109"/>
      <c r="S52" s="109"/>
    </row>
    <row r="53" spans="1:19">
      <c r="A53" s="109" t="s">
        <v>14</v>
      </c>
      <c r="B53" s="109" t="s">
        <v>13</v>
      </c>
      <c r="C53" s="109">
        <v>10</v>
      </c>
      <c r="D53" s="109"/>
      <c r="E53" s="109">
        <v>5</v>
      </c>
      <c r="F53" s="109">
        <v>5</v>
      </c>
      <c r="G53" s="109">
        <v>5</v>
      </c>
      <c r="H53" s="109">
        <v>5</v>
      </c>
      <c r="I53" s="109">
        <v>600</v>
      </c>
      <c r="J53" s="109">
        <v>50</v>
      </c>
      <c r="K53" s="109">
        <v>2</v>
      </c>
      <c r="L53" s="110">
        <v>-1.86E-08</v>
      </c>
      <c r="M53" s="111">
        <v>-1.85E-08</v>
      </c>
      <c r="N53" s="112"/>
      <c r="O53" s="113"/>
      <c r="P53" s="109"/>
      <c r="Q53" s="109"/>
      <c r="R53" s="109"/>
      <c r="S53" s="109"/>
    </row>
    <row r="54" spans="1:19">
      <c r="A54" s="109" t="s">
        <v>14</v>
      </c>
      <c r="B54" s="109" t="s">
        <v>13</v>
      </c>
      <c r="C54" s="109">
        <v>20</v>
      </c>
      <c r="D54" s="109"/>
      <c r="E54" s="109">
        <v>5</v>
      </c>
      <c r="F54" s="109">
        <v>5</v>
      </c>
      <c r="G54" s="109">
        <v>5</v>
      </c>
      <c r="H54" s="109">
        <v>5</v>
      </c>
      <c r="I54" s="109">
        <v>600</v>
      </c>
      <c r="J54" s="109">
        <v>50</v>
      </c>
      <c r="K54" s="109">
        <v>2</v>
      </c>
      <c r="L54" s="110">
        <v>-3.68E-08</v>
      </c>
      <c r="M54" s="111">
        <v>-3.68E-08</v>
      </c>
      <c r="N54" s="112"/>
      <c r="O54" s="113"/>
      <c r="P54" s="109"/>
      <c r="Q54" s="109"/>
      <c r="R54" s="109"/>
      <c r="S54" s="109"/>
    </row>
    <row r="55" spans="1:19">
      <c r="A55" s="109" t="s">
        <v>14</v>
      </c>
      <c r="B55" s="109" t="s">
        <v>13</v>
      </c>
      <c r="C55" s="109">
        <v>50</v>
      </c>
      <c r="D55" s="109"/>
      <c r="E55" s="109">
        <v>5</v>
      </c>
      <c r="F55" s="109">
        <v>5</v>
      </c>
      <c r="G55" s="109">
        <v>5</v>
      </c>
      <c r="H55" s="109">
        <v>5</v>
      </c>
      <c r="I55" s="109">
        <v>600</v>
      </c>
      <c r="J55" s="109">
        <v>50</v>
      </c>
      <c r="K55" s="109">
        <v>2</v>
      </c>
      <c r="L55" s="110">
        <v>-9.19E-08</v>
      </c>
      <c r="M55" s="111">
        <v>-9.19E-08</v>
      </c>
      <c r="N55" s="112"/>
      <c r="O55" s="113"/>
      <c r="P55" s="109"/>
      <c r="Q55" s="109"/>
      <c r="R55" s="109"/>
      <c r="S55" s="109"/>
    </row>
    <row r="56" spans="1:19">
      <c r="A56" s="109" t="s">
        <v>14</v>
      </c>
      <c r="B56" s="109" t="s">
        <v>13</v>
      </c>
      <c r="C56" s="109">
        <v>100</v>
      </c>
      <c r="D56" s="109"/>
      <c r="E56" s="109">
        <v>5</v>
      </c>
      <c r="F56" s="109">
        <v>5</v>
      </c>
      <c r="G56" s="109">
        <v>5</v>
      </c>
      <c r="H56" s="109">
        <v>5</v>
      </c>
      <c r="I56" s="109">
        <v>600</v>
      </c>
      <c r="J56" s="109">
        <v>50</v>
      </c>
      <c r="K56" s="109">
        <v>2</v>
      </c>
      <c r="L56" s="110">
        <v>-1.836E-07</v>
      </c>
      <c r="M56" s="111">
        <v>-1.836E-07</v>
      </c>
      <c r="N56" s="112"/>
      <c r="O56" s="113"/>
      <c r="P56" s="109"/>
      <c r="Q56" s="109"/>
      <c r="R56" s="109"/>
      <c r="S56" s="109"/>
    </row>
    <row r="57" spans="1:19">
      <c r="A57" s="109" t="s">
        <v>14</v>
      </c>
      <c r="B57" s="109" t="s">
        <v>13</v>
      </c>
      <c r="C57" s="109">
        <v>200</v>
      </c>
      <c r="D57" s="109"/>
      <c r="E57" s="109">
        <v>5</v>
      </c>
      <c r="F57" s="109">
        <v>5</v>
      </c>
      <c r="G57" s="109">
        <v>5</v>
      </c>
      <c r="H57" s="109">
        <v>5</v>
      </c>
      <c r="I57" s="109">
        <v>600</v>
      </c>
      <c r="J57" s="109">
        <v>50</v>
      </c>
      <c r="K57" s="109">
        <v>2</v>
      </c>
      <c r="L57" s="110">
        <v>-3.671E-07</v>
      </c>
      <c r="M57" s="111">
        <v>-3.671E-07</v>
      </c>
      <c r="N57" s="112"/>
      <c r="O57" s="113"/>
      <c r="P57" s="109"/>
      <c r="Q57" s="109"/>
      <c r="R57" s="109"/>
      <c r="S57" s="109"/>
    </row>
    <row r="58" spans="1:19">
      <c r="A58" s="109" t="s">
        <v>14</v>
      </c>
      <c r="B58" s="109" t="s">
        <v>13</v>
      </c>
      <c r="C58" s="109">
        <v>500</v>
      </c>
      <c r="D58" s="109"/>
      <c r="E58" s="109">
        <v>5</v>
      </c>
      <c r="F58" s="109">
        <v>5</v>
      </c>
      <c r="G58" s="109">
        <v>5</v>
      </c>
      <c r="H58" s="109">
        <v>5</v>
      </c>
      <c r="I58" s="109">
        <v>600</v>
      </c>
      <c r="J58" s="109">
        <v>50</v>
      </c>
      <c r="K58" s="109">
        <v>2</v>
      </c>
      <c r="L58" s="110">
        <v>-9.178E-07</v>
      </c>
      <c r="M58" s="111">
        <v>-9.181E-07</v>
      </c>
      <c r="N58" s="112"/>
      <c r="O58" s="113"/>
      <c r="P58" s="109"/>
      <c r="Q58" s="109"/>
      <c r="R58" s="109"/>
      <c r="S58" s="109"/>
    </row>
    <row r="59" spans="1:12" ht="15.75">
      <c r="A59" s="95" t="s">
        <v>32</v>
      </c>
      <c r="K59"/>
      <c r="L59" s="102"/>
    </row>
    <row r="60" spans="1:19">
      <c r="A60" s="109" t="s">
        <v>33</v>
      </c>
      <c r="B60" s="109" t="s">
        <v>13</v>
      </c>
      <c r="C60" s="109">
        <v>200</v>
      </c>
      <c r="D60" s="109" t="s">
        <v>34</v>
      </c>
      <c r="E60" s="109"/>
      <c r="F60" s="109"/>
      <c r="G60" s="109"/>
      <c r="H60" s="109"/>
      <c r="I60" s="109">
        <v>600</v>
      </c>
      <c r="J60" s="109">
        <v>14.5</v>
      </c>
      <c r="K60" s="109">
        <v>2</v>
      </c>
      <c r="L60" s="110">
        <v>-3.951E-07</v>
      </c>
      <c r="M60" s="111">
        <v>-4.092E-07</v>
      </c>
      <c r="N60" s="112"/>
      <c r="O60" s="113" t="s">
        <v>45</v>
      </c>
      <c r="P60" s="109"/>
      <c r="Q60" s="109"/>
      <c r="R60" s="109"/>
      <c r="S60" s="109"/>
    </row>
    <row r="61" spans="1:19">
      <c r="A61" s="109" t="s">
        <v>35</v>
      </c>
      <c r="B61" s="109" t="s">
        <v>13</v>
      </c>
      <c r="C61" s="109">
        <v>200</v>
      </c>
      <c r="D61" s="109" t="s">
        <v>34</v>
      </c>
      <c r="E61" s="109"/>
      <c r="F61" s="109"/>
      <c r="G61" s="109"/>
      <c r="H61" s="109"/>
      <c r="I61" s="109">
        <v>600</v>
      </c>
      <c r="J61" s="109">
        <v>21.5</v>
      </c>
      <c r="K61" s="109">
        <v>2</v>
      </c>
      <c r="L61" s="110">
        <v>-4.277E-07</v>
      </c>
      <c r="M61" s="111">
        <v>-4.276E-07</v>
      </c>
      <c r="N61" s="112"/>
      <c r="O61" s="113"/>
      <c r="P61" s="109"/>
      <c r="Q61" s="109"/>
      <c r="R61" s="109"/>
      <c r="S61" s="109"/>
    </row>
    <row r="62" spans="1:19">
      <c r="A62" s="109" t="s">
        <v>36</v>
      </c>
      <c r="B62" s="109" t="s">
        <v>13</v>
      </c>
      <c r="C62" s="109">
        <v>200</v>
      </c>
      <c r="D62" s="109" t="s">
        <v>34</v>
      </c>
      <c r="E62" s="109"/>
      <c r="F62" s="109"/>
      <c r="G62" s="109"/>
      <c r="H62" s="109"/>
      <c r="I62" s="109">
        <v>600</v>
      </c>
      <c r="J62" s="109">
        <v>30.5</v>
      </c>
      <c r="K62" s="109">
        <v>2</v>
      </c>
      <c r="L62" s="110">
        <v>-4.267E-07</v>
      </c>
      <c r="M62" s="111">
        <v>-4.265E-07</v>
      </c>
      <c r="N62" s="112"/>
      <c r="O62" s="113"/>
      <c r="P62" s="109"/>
      <c r="Q62" s="109"/>
      <c r="R62" s="109"/>
      <c r="S62" s="109"/>
    </row>
    <row r="63" spans="1:19">
      <c r="A63" s="109" t="s">
        <v>37</v>
      </c>
      <c r="B63" s="109" t="s">
        <v>13</v>
      </c>
      <c r="C63" s="109">
        <v>200</v>
      </c>
      <c r="D63" s="109" t="s">
        <v>34</v>
      </c>
      <c r="E63" s="109"/>
      <c r="F63" s="109"/>
      <c r="G63" s="109"/>
      <c r="H63" s="109"/>
      <c r="I63" s="109">
        <v>600</v>
      </c>
      <c r="J63" s="109">
        <v>33.5</v>
      </c>
      <c r="K63" s="109">
        <v>2</v>
      </c>
      <c r="L63" s="110">
        <v>-4.347E-07</v>
      </c>
      <c r="M63" s="111">
        <v>-4.348E-07</v>
      </c>
      <c r="N63" s="112"/>
      <c r="O63" s="113"/>
      <c r="P63" s="109"/>
      <c r="Q63" s="109"/>
      <c r="R63" s="109"/>
      <c r="S63" s="109"/>
    </row>
    <row r="64" spans="1:19">
      <c r="A64" s="109" t="s">
        <v>38</v>
      </c>
      <c r="B64" s="109" t="s">
        <v>13</v>
      </c>
      <c r="C64" s="109">
        <v>200</v>
      </c>
      <c r="D64" s="109" t="s">
        <v>34</v>
      </c>
      <c r="E64" s="109"/>
      <c r="F64" s="109"/>
      <c r="G64" s="109"/>
      <c r="H64" s="109"/>
      <c r="I64" s="109">
        <v>600</v>
      </c>
      <c r="J64" s="109">
        <v>23.5</v>
      </c>
      <c r="K64" s="109">
        <v>2</v>
      </c>
      <c r="L64" s="110">
        <v>-4.521E-07</v>
      </c>
      <c r="M64" s="111">
        <v>-4.521E-07</v>
      </c>
      <c r="N64" s="112"/>
      <c r="O64" s="113"/>
      <c r="P64" s="109"/>
      <c r="Q64" s="109"/>
      <c r="R64" s="109"/>
      <c r="S64" s="109"/>
    </row>
    <row r="65" spans="1:19">
      <c r="A65" s="109" t="s">
        <v>33</v>
      </c>
      <c r="B65" s="109" t="s">
        <v>13</v>
      </c>
      <c r="C65" s="109">
        <v>200</v>
      </c>
      <c r="D65" s="109" t="s">
        <v>39</v>
      </c>
      <c r="E65" s="109"/>
      <c r="F65" s="109"/>
      <c r="G65" s="109"/>
      <c r="H65" s="109"/>
      <c r="I65" s="109">
        <v>600</v>
      </c>
      <c r="J65" s="109">
        <v>14.5</v>
      </c>
      <c r="K65" s="109">
        <v>2</v>
      </c>
      <c r="L65" s="110">
        <v>-4.275E-07</v>
      </c>
      <c r="M65" s="111">
        <v>-4.274E-07</v>
      </c>
      <c r="N65" s="112"/>
      <c r="O65" s="113" t="s">
        <v>46</v>
      </c>
      <c r="P65" s="109"/>
      <c r="Q65" s="109"/>
      <c r="R65" s="109"/>
      <c r="S65" s="109"/>
    </row>
    <row r="66" spans="1:19">
      <c r="A66" s="109" t="s">
        <v>35</v>
      </c>
      <c r="B66" s="109" t="s">
        <v>13</v>
      </c>
      <c r="C66" s="109">
        <v>200</v>
      </c>
      <c r="D66" s="109" t="s">
        <v>39</v>
      </c>
      <c r="E66" s="109"/>
      <c r="F66" s="109"/>
      <c r="G66" s="109"/>
      <c r="H66" s="109"/>
      <c r="I66" s="109">
        <v>600</v>
      </c>
      <c r="J66" s="109">
        <v>21.5</v>
      </c>
      <c r="K66" s="109">
        <v>2</v>
      </c>
      <c r="L66" s="110">
        <v>-4.398E-07</v>
      </c>
      <c r="M66" s="111">
        <v>-4.397E-07</v>
      </c>
      <c r="N66" s="112"/>
      <c r="O66" s="113"/>
      <c r="P66" s="109"/>
      <c r="Q66" s="109"/>
      <c r="R66" s="109"/>
      <c r="S66" s="109"/>
    </row>
    <row r="67" spans="1:19">
      <c r="A67" s="109" t="s">
        <v>36</v>
      </c>
      <c r="B67" s="109" t="s">
        <v>13</v>
      </c>
      <c r="C67" s="109">
        <v>200</v>
      </c>
      <c r="D67" s="109" t="s">
        <v>39</v>
      </c>
      <c r="E67" s="109"/>
      <c r="F67" s="109"/>
      <c r="G67" s="109"/>
      <c r="H67" s="109"/>
      <c r="I67" s="109">
        <v>600</v>
      </c>
      <c r="J67" s="109">
        <v>30.5</v>
      </c>
      <c r="K67" s="109">
        <v>2</v>
      </c>
      <c r="L67" s="110">
        <v>-4.417E-07</v>
      </c>
      <c r="M67" s="111">
        <v>-4.418E-07</v>
      </c>
      <c r="N67" s="112"/>
      <c r="O67" s="113"/>
      <c r="P67" s="109"/>
      <c r="Q67" s="109"/>
      <c r="R67" s="109"/>
      <c r="S67" s="109"/>
    </row>
    <row r="68" spans="1:19">
      <c r="A68" s="109" t="s">
        <v>37</v>
      </c>
      <c r="B68" s="109" t="s">
        <v>13</v>
      </c>
      <c r="C68" s="109">
        <v>200</v>
      </c>
      <c r="D68" s="109" t="s">
        <v>39</v>
      </c>
      <c r="E68" s="109"/>
      <c r="F68" s="109"/>
      <c r="G68" s="109"/>
      <c r="H68" s="109"/>
      <c r="I68" s="109">
        <v>600</v>
      </c>
      <c r="J68" s="109">
        <v>33.5</v>
      </c>
      <c r="K68" s="109">
        <v>2</v>
      </c>
      <c r="L68" s="110">
        <v>-4.456E-07</v>
      </c>
      <c r="M68" s="111">
        <v>-4.456E-07</v>
      </c>
      <c r="N68" s="112"/>
      <c r="O68" s="113"/>
      <c r="P68" s="109"/>
      <c r="Q68" s="109"/>
      <c r="R68" s="109"/>
      <c r="S68" s="109"/>
    </row>
    <row r="69" spans="1:19">
      <c r="A69" s="109" t="s">
        <v>38</v>
      </c>
      <c r="B69" s="109" t="s">
        <v>13</v>
      </c>
      <c r="C69" s="109">
        <v>200</v>
      </c>
      <c r="D69" s="109" t="s">
        <v>39</v>
      </c>
      <c r="E69" s="109"/>
      <c r="F69" s="109"/>
      <c r="G69" s="109"/>
      <c r="H69" s="109"/>
      <c r="I69" s="109">
        <v>600</v>
      </c>
      <c r="J69" s="109">
        <v>23.5</v>
      </c>
      <c r="K69" s="109">
        <v>2</v>
      </c>
      <c r="L69" s="110">
        <v>-4.526E-07</v>
      </c>
      <c r="M69" s="111">
        <v>-4.527E-07</v>
      </c>
      <c r="N69" s="112"/>
      <c r="O69" s="113"/>
      <c r="P69" s="109"/>
      <c r="Q69" s="109"/>
      <c r="R69" s="109"/>
      <c r="S69" s="109"/>
    </row>
    <row r="70" spans="1:19">
      <c r="A70" s="109" t="s">
        <v>33</v>
      </c>
      <c r="B70" s="109" t="s">
        <v>13</v>
      </c>
      <c r="C70" s="109">
        <v>200</v>
      </c>
      <c r="D70" s="109" t="s">
        <v>40</v>
      </c>
      <c r="E70" s="109"/>
      <c r="F70" s="109"/>
      <c r="G70" s="109"/>
      <c r="H70" s="109"/>
      <c r="I70" s="109">
        <v>600</v>
      </c>
      <c r="J70" s="109">
        <v>14.5</v>
      </c>
      <c r="K70" s="109">
        <v>2</v>
      </c>
      <c r="L70" s="110">
        <v>-4.283E-07</v>
      </c>
      <c r="M70" s="111">
        <v>-4.283E-07</v>
      </c>
      <c r="N70" s="112"/>
      <c r="O70" s="113" t="s">
        <v>47</v>
      </c>
      <c r="P70" s="109"/>
      <c r="Q70" s="109"/>
      <c r="R70" s="109"/>
      <c r="S70" s="109"/>
    </row>
    <row r="71" spans="1:19">
      <c r="A71" s="109" t="s">
        <v>35</v>
      </c>
      <c r="B71" s="109" t="s">
        <v>13</v>
      </c>
      <c r="C71" s="109">
        <v>200</v>
      </c>
      <c r="D71" s="109" t="s">
        <v>40</v>
      </c>
      <c r="E71" s="109"/>
      <c r="F71" s="109"/>
      <c r="G71" s="109"/>
      <c r="H71" s="109"/>
      <c r="I71" s="109">
        <v>600</v>
      </c>
      <c r="J71" s="109">
        <v>21.5</v>
      </c>
      <c r="K71" s="109">
        <v>2</v>
      </c>
      <c r="L71" s="110">
        <v>-4.391E-07</v>
      </c>
      <c r="M71" s="111">
        <v>-4.389E-07</v>
      </c>
      <c r="N71" s="112"/>
      <c r="O71" s="113"/>
      <c r="P71" s="109"/>
      <c r="Q71" s="109"/>
      <c r="R71" s="109"/>
      <c r="S71" s="109"/>
    </row>
    <row r="72" spans="1:19">
      <c r="A72" s="109" t="s">
        <v>36</v>
      </c>
      <c r="B72" s="109" t="s">
        <v>13</v>
      </c>
      <c r="C72" s="109">
        <v>200</v>
      </c>
      <c r="D72" s="109" t="s">
        <v>40</v>
      </c>
      <c r="E72" s="109"/>
      <c r="F72" s="109"/>
      <c r="G72" s="109"/>
      <c r="H72" s="109"/>
      <c r="I72" s="109">
        <v>600</v>
      </c>
      <c r="J72" s="109">
        <v>30.5</v>
      </c>
      <c r="K72" s="109">
        <v>2</v>
      </c>
      <c r="L72" s="110">
        <v>-4.399E-07</v>
      </c>
      <c r="M72" s="111">
        <v>-4.399E-07</v>
      </c>
      <c r="N72" s="112"/>
      <c r="O72" s="113"/>
      <c r="P72" s="109"/>
      <c r="Q72" s="109"/>
      <c r="R72" s="109"/>
      <c r="S72" s="109"/>
    </row>
    <row r="73" spans="1:19">
      <c r="A73" s="109" t="s">
        <v>37</v>
      </c>
      <c r="B73" s="109" t="s">
        <v>13</v>
      </c>
      <c r="C73" s="109">
        <v>200</v>
      </c>
      <c r="D73" s="109" t="s">
        <v>40</v>
      </c>
      <c r="E73" s="109"/>
      <c r="F73" s="109"/>
      <c r="G73" s="109"/>
      <c r="H73" s="109"/>
      <c r="I73" s="109">
        <v>600</v>
      </c>
      <c r="J73" s="109">
        <v>33.5</v>
      </c>
      <c r="K73" s="109">
        <v>2</v>
      </c>
      <c r="L73" s="110">
        <v>-4.408E-07</v>
      </c>
      <c r="M73" s="111">
        <v>-4.408E-07</v>
      </c>
      <c r="N73" s="112"/>
      <c r="O73" s="113"/>
      <c r="P73" s="109"/>
      <c r="Q73" s="109"/>
      <c r="R73" s="109"/>
      <c r="S73" s="109"/>
    </row>
    <row r="74" spans="1:19">
      <c r="A74" s="109" t="s">
        <v>38</v>
      </c>
      <c r="B74" s="109" t="s">
        <v>13</v>
      </c>
      <c r="C74" s="109">
        <v>200</v>
      </c>
      <c r="D74" s="109" t="s">
        <v>40</v>
      </c>
      <c r="E74" s="109"/>
      <c r="F74" s="109"/>
      <c r="G74" s="109"/>
      <c r="H74" s="109"/>
      <c r="I74" s="109">
        <v>600</v>
      </c>
      <c r="J74" s="109">
        <v>23.5</v>
      </c>
      <c r="K74" s="109">
        <v>2</v>
      </c>
      <c r="L74" s="110">
        <v>-4.437E-07</v>
      </c>
      <c r="M74" s="111">
        <v>-4.438E-07</v>
      </c>
      <c r="N74" s="112"/>
      <c r="O74" s="113"/>
      <c r="P74" s="109"/>
      <c r="Q74" s="109"/>
      <c r="R74" s="109"/>
      <c r="S74" s="109"/>
    </row>
    <row r="75" spans="1:19">
      <c r="A75" s="109" t="s">
        <v>33</v>
      </c>
      <c r="B75" s="109" t="s">
        <v>13</v>
      </c>
      <c r="C75" s="109">
        <v>200</v>
      </c>
      <c r="D75" s="109" t="s">
        <v>41</v>
      </c>
      <c r="E75" s="109"/>
      <c r="F75" s="109"/>
      <c r="G75" s="109"/>
      <c r="H75" s="109"/>
      <c r="I75" s="109">
        <v>600</v>
      </c>
      <c r="J75" s="109">
        <v>14.5</v>
      </c>
      <c r="K75" s="109">
        <v>2</v>
      </c>
      <c r="L75" s="110">
        <v>-4.328E-07</v>
      </c>
      <c r="M75" s="111">
        <v>-4.327E-07</v>
      </c>
      <c r="N75" s="112"/>
      <c r="O75" s="113" t="s">
        <v>48</v>
      </c>
      <c r="P75" s="109"/>
      <c r="Q75" s="109"/>
      <c r="R75" s="109"/>
      <c r="S75" s="109"/>
    </row>
    <row r="76" spans="1:19">
      <c r="A76" s="109" t="s">
        <v>35</v>
      </c>
      <c r="B76" s="109" t="s">
        <v>13</v>
      </c>
      <c r="C76" s="109">
        <v>200</v>
      </c>
      <c r="D76" s="109" t="s">
        <v>41</v>
      </c>
      <c r="E76" s="109"/>
      <c r="F76" s="109"/>
      <c r="G76" s="109"/>
      <c r="H76" s="109"/>
      <c r="I76" s="109">
        <v>600</v>
      </c>
      <c r="J76" s="109">
        <v>21.5</v>
      </c>
      <c r="K76" s="109">
        <v>2</v>
      </c>
      <c r="L76" s="110">
        <v>-4.33E-07</v>
      </c>
      <c r="M76" s="111">
        <v>-4.33E-07</v>
      </c>
      <c r="N76" s="112"/>
      <c r="O76" s="113"/>
      <c r="P76" s="109"/>
      <c r="Q76" s="109"/>
      <c r="R76" s="109"/>
      <c r="S76" s="109"/>
    </row>
    <row r="77" spans="1:19">
      <c r="A77" s="109" t="s">
        <v>36</v>
      </c>
      <c r="B77" s="109" t="s">
        <v>13</v>
      </c>
      <c r="C77" s="109">
        <v>200</v>
      </c>
      <c r="D77" s="109" t="s">
        <v>41</v>
      </c>
      <c r="E77" s="109"/>
      <c r="F77" s="109"/>
      <c r="G77" s="109"/>
      <c r="H77" s="109"/>
      <c r="I77" s="109">
        <v>600</v>
      </c>
      <c r="J77" s="109">
        <v>30.5</v>
      </c>
      <c r="K77" s="109">
        <v>2</v>
      </c>
      <c r="L77" s="110">
        <v>-4.317E-07</v>
      </c>
      <c r="M77" s="111">
        <v>-4.315E-07</v>
      </c>
      <c r="N77" s="112"/>
      <c r="O77" s="113"/>
      <c r="P77" s="109"/>
      <c r="Q77" s="109"/>
      <c r="R77" s="109"/>
      <c r="S77" s="109"/>
    </row>
    <row r="78" spans="1:19">
      <c r="A78" s="109" t="s">
        <v>37</v>
      </c>
      <c r="B78" s="109" t="s">
        <v>13</v>
      </c>
      <c r="C78" s="109">
        <v>200</v>
      </c>
      <c r="D78" s="109" t="s">
        <v>41</v>
      </c>
      <c r="E78" s="109"/>
      <c r="F78" s="109"/>
      <c r="G78" s="109"/>
      <c r="H78" s="109"/>
      <c r="I78" s="109">
        <v>600</v>
      </c>
      <c r="J78" s="109">
        <v>33.5</v>
      </c>
      <c r="K78" s="109">
        <v>2</v>
      </c>
      <c r="L78" s="110">
        <v>-4.315E-07</v>
      </c>
      <c r="M78" s="111">
        <v>-4.316E-07</v>
      </c>
      <c r="N78" s="112"/>
      <c r="O78" s="113"/>
      <c r="P78" s="109"/>
      <c r="Q78" s="109"/>
      <c r="R78" s="109"/>
      <c r="S78" s="109"/>
    </row>
    <row r="79" spans="1:19">
      <c r="A79" s="109" t="s">
        <v>38</v>
      </c>
      <c r="B79" s="109" t="s">
        <v>13</v>
      </c>
      <c r="C79" s="109">
        <v>200</v>
      </c>
      <c r="D79" s="109" t="s">
        <v>41</v>
      </c>
      <c r="E79" s="109"/>
      <c r="F79" s="109"/>
      <c r="G79" s="109"/>
      <c r="H79" s="109"/>
      <c r="I79" s="109">
        <v>600</v>
      </c>
      <c r="J79" s="109">
        <v>23.5</v>
      </c>
      <c r="K79" s="109">
        <v>2</v>
      </c>
      <c r="L79" s="110">
        <v>-4.338E-07</v>
      </c>
      <c r="M79" s="111">
        <v>-4.338E-07</v>
      </c>
      <c r="N79" s="112"/>
      <c r="O79" s="113"/>
      <c r="P79" s="109"/>
      <c r="Q79" s="109"/>
      <c r="R79" s="109"/>
      <c r="S79" s="109"/>
    </row>
    <row r="80" spans="1:19">
      <c r="A80" s="109" t="s">
        <v>33</v>
      </c>
      <c r="B80" s="109" t="s">
        <v>13</v>
      </c>
      <c r="C80" s="109">
        <v>200</v>
      </c>
      <c r="D80" s="109" t="s">
        <v>42</v>
      </c>
      <c r="E80" s="109"/>
      <c r="F80" s="109"/>
      <c r="G80" s="109"/>
      <c r="H80" s="109"/>
      <c r="I80" s="109">
        <v>600</v>
      </c>
      <c r="J80" s="109">
        <v>14.5</v>
      </c>
      <c r="K80" s="109">
        <v>2</v>
      </c>
      <c r="L80" s="110">
        <v>-4.301E-07</v>
      </c>
      <c r="M80" s="111">
        <v>-4.302E-07</v>
      </c>
      <c r="N80" s="112"/>
      <c r="O80" s="113" t="s">
        <v>49</v>
      </c>
      <c r="P80" s="109"/>
      <c r="Q80" s="109"/>
      <c r="R80" s="109"/>
      <c r="S80" s="109"/>
    </row>
    <row r="81" spans="1:19">
      <c r="A81" s="109" t="s">
        <v>35</v>
      </c>
      <c r="B81" s="109" t="s">
        <v>13</v>
      </c>
      <c r="C81" s="109">
        <v>200</v>
      </c>
      <c r="D81" s="109" t="s">
        <v>42</v>
      </c>
      <c r="E81" s="109"/>
      <c r="F81" s="109"/>
      <c r="G81" s="109"/>
      <c r="H81" s="109"/>
      <c r="I81" s="109">
        <v>600</v>
      </c>
      <c r="J81" s="109">
        <v>21.5</v>
      </c>
      <c r="K81" s="109">
        <v>2</v>
      </c>
      <c r="L81" s="110">
        <v>-4.228E-07</v>
      </c>
      <c r="M81" s="111">
        <v>-4.226E-07</v>
      </c>
      <c r="N81" s="112"/>
      <c r="O81" s="113"/>
      <c r="P81" s="109"/>
      <c r="Q81" s="109"/>
      <c r="R81" s="109"/>
      <c r="S81" s="109"/>
    </row>
    <row r="82" spans="1:19">
      <c r="A82" s="109" t="s">
        <v>36</v>
      </c>
      <c r="B82" s="109" t="s">
        <v>13</v>
      </c>
      <c r="C82" s="109">
        <v>200</v>
      </c>
      <c r="D82" s="109" t="s">
        <v>42</v>
      </c>
      <c r="E82" s="109"/>
      <c r="F82" s="109"/>
      <c r="G82" s="109"/>
      <c r="H82" s="109"/>
      <c r="I82" s="109">
        <v>600</v>
      </c>
      <c r="J82" s="109">
        <v>30.5</v>
      </c>
      <c r="K82" s="109">
        <v>2</v>
      </c>
      <c r="L82" s="110">
        <v>-4.201E-07</v>
      </c>
      <c r="M82" s="111">
        <v>-4.2E-07</v>
      </c>
      <c r="N82" s="112"/>
      <c r="O82" s="113"/>
      <c r="P82" s="109"/>
      <c r="Q82" s="109"/>
      <c r="R82" s="109"/>
      <c r="S82" s="109"/>
    </row>
    <row r="83" spans="1:19">
      <c r="A83" s="109" t="s">
        <v>37</v>
      </c>
      <c r="B83" s="109" t="s">
        <v>13</v>
      </c>
      <c r="C83" s="109">
        <v>200</v>
      </c>
      <c r="D83" s="109" t="s">
        <v>42</v>
      </c>
      <c r="E83" s="109"/>
      <c r="F83" s="109"/>
      <c r="G83" s="109"/>
      <c r="H83" s="109"/>
      <c r="I83" s="109">
        <v>600</v>
      </c>
      <c r="J83" s="109">
        <v>33.5</v>
      </c>
      <c r="K83" s="109">
        <v>2</v>
      </c>
      <c r="L83" s="110">
        <v>-4.184E-07</v>
      </c>
      <c r="M83" s="111">
        <v>-4.185E-07</v>
      </c>
      <c r="N83" s="112"/>
      <c r="O83" s="113"/>
      <c r="P83" s="109"/>
      <c r="Q83" s="109"/>
      <c r="R83" s="109"/>
      <c r="S83" s="109"/>
    </row>
    <row r="84" spans="1:19">
      <c r="A84" s="109" t="s">
        <v>38</v>
      </c>
      <c r="B84" s="109" t="s">
        <v>13</v>
      </c>
      <c r="C84" s="109">
        <v>200</v>
      </c>
      <c r="D84" s="109" t="s">
        <v>42</v>
      </c>
      <c r="E84" s="109"/>
      <c r="F84" s="109"/>
      <c r="G84" s="109"/>
      <c r="H84" s="109"/>
      <c r="I84" s="109">
        <v>600</v>
      </c>
      <c r="J84" s="109">
        <v>23.5</v>
      </c>
      <c r="K84" s="109">
        <v>2</v>
      </c>
      <c r="L84" s="110">
        <v>-4.199E-07</v>
      </c>
      <c r="M84" s="111">
        <v>-4.201E-07</v>
      </c>
      <c r="N84" s="112"/>
      <c r="O84" s="113"/>
      <c r="P84" s="109"/>
      <c r="Q84" s="109"/>
      <c r="R84" s="109"/>
      <c r="S84" s="109"/>
    </row>
    <row r="85" spans="11:11">
      <c r="K85"/>
    </row>
    <row r="86" spans="11:11">
      <c r="K86"/>
    </row>
    <row r="87" spans="11:11">
      <c r="K87"/>
    </row>
    <row r="88" spans="11:11">
      <c r="K88"/>
    </row>
    <row r="89" spans="11:11">
      <c r="K89"/>
    </row>
    <row r="90" spans="11:11">
      <c r="K90"/>
    </row>
    <row r="91" spans="11:11">
      <c r="K91"/>
    </row>
    <row r="92" spans="11:11">
      <c r="K92"/>
    </row>
    <row r="93" spans="11:11">
      <c r="K93"/>
    </row>
    <row r="94" spans="11:11">
      <c r="K94"/>
    </row>
    <row r="95" spans="11:11">
      <c r="K95"/>
    </row>
    <row r="96" spans="11:11">
      <c r="K96"/>
    </row>
    <row r="97" spans="11:11">
      <c r="K97"/>
    </row>
    <row r="98" spans="11:11">
      <c r="K98"/>
    </row>
    <row r="99" spans="11:11">
      <c r="K99"/>
    </row>
    <row r="100" spans="11:11">
      <c r="K100"/>
    </row>
  </sheetData>
  <pageMargins left="0.7" right="0.7" top="0.75" bottom="0.75" header="0.3" footer="0.3"/>
  <pageSetup paperSize="9" orientation="portrait"/>
  <headerFooter scaleWithDoc="1" alignWithMargins="0" differentFirst="0" differentOddEven="0"/>
  <tableParts count="1">
    <tablePart r:id="rId8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93"/>
  <sheetViews>
    <sheetView view="normal" workbookViewId="0">
      <selection pane="topLeft" activeCell="L35" sqref="L35"/>
    </sheetView>
  </sheetViews>
  <sheetFormatPr defaultColWidth="9.140625" defaultRowHeight="15" baseColWidth="0"/>
  <cols>
    <col min="1" max="1" width="9.12890625" style="2" customWidth="1"/>
    <col min="2" max="2" width="11.12890625" style="2" customWidth="1"/>
    <col min="3" max="3" width="11.26171875" style="2" customWidth="1"/>
    <col min="4" max="4" width="10.12890625" style="2" bestFit="1" customWidth="1"/>
    <col min="5" max="7" width="10" style="2" bestFit="1" customWidth="1"/>
    <col min="8" max="11" width="9.12890625" style="2" customWidth="1"/>
  </cols>
  <sheetData>
    <row r="1" spans="1:8" customHeight="1">
      <c r="A1" s="1" t="s">
        <v>50</v>
      </c>
      <c r="B1" s="1"/>
      <c r="C1" s="1"/>
      <c r="D1" s="1"/>
      <c r="E1" s="1"/>
      <c r="F1" s="1"/>
      <c r="G1" s="1"/>
      <c r="H1" s="1"/>
    </row>
    <row r="2" spans="1:8" ht="15.75" customHeight="1" thickBot="1">
      <c r="A2" s="3"/>
      <c r="B2" s="3"/>
      <c r="C2" s="3"/>
      <c r="D2" s="3"/>
      <c r="E2" s="3"/>
      <c r="F2" s="3"/>
      <c r="G2" s="3"/>
      <c r="H2" s="3"/>
    </row>
    <row r="3" spans="1:8" ht="18">
      <c r="A3" s="4" t="s">
        <v>51</v>
      </c>
      <c r="B3" s="4"/>
      <c r="C3" s="4"/>
      <c r="D3" s="4"/>
      <c r="E3" s="4"/>
      <c r="F3" s="4"/>
      <c r="G3" s="4"/>
      <c r="H3" s="4"/>
    </row>
    <row r="4" spans="1:8" ht="15.75">
      <c r="A4" s="5" t="str">
        <f ca="1">LowX&amp;"X"</f>
        <v>6X</v>
      </c>
      <c r="B4" s="5"/>
      <c r="C4" s="5"/>
      <c r="D4" s="5"/>
      <c r="E4" s="5"/>
      <c r="F4" s="5"/>
      <c r="G4" s="5"/>
      <c r="H4" s="5"/>
    </row>
    <row r="5" spans="1:8">
      <c r="A5" s="6" t="str">
        <f ca="1">"Conditions : Depth = dmax @ "&amp; LowX_dmax&amp;"cm"</f>
        <v>Conditions : Depth = dmax @ 1.6cm</v>
      </c>
      <c r="B5" s="7"/>
      <c r="C5" s="7"/>
      <c r="D5" s="7"/>
      <c r="E5" s="7"/>
      <c r="F5" s="7"/>
      <c r="G5" s="7"/>
      <c r="H5" s="8"/>
    </row>
    <row r="6" spans="1:8" ht="18">
      <c r="A6" s="9"/>
      <c r="B6" s="10" t="s">
        <v>52</v>
      </c>
      <c r="C6" s="10"/>
      <c r="D6" s="10"/>
      <c r="E6" s="10"/>
      <c r="F6" s="10"/>
      <c r="G6" s="10"/>
      <c r="H6" s="11" t="s">
        <v>53</v>
      </c>
    </row>
    <row r="7" spans="1:8">
      <c r="A7" s="12"/>
      <c r="B7" s="12" t="e">
        <f ca="1">INDEX(X_OF_FOVs,1,1)</f>
        <v>#NAME?</v>
      </c>
      <c r="C7" s="12" t="e">
        <f ca="1">INDEX(X_OF_FOVs,1,3)</f>
        <v>#NAME?</v>
      </c>
      <c r="D7" s="12" t="e">
        <f ca="1">INDEX(X_OF_FOVs,1,4)</f>
        <v>#NAME?</v>
      </c>
      <c r="E7" s="12" t="e">
        <f ca="1">INDEX(X_OF_FOVs,1,5)</f>
        <v>#NAME?</v>
      </c>
      <c r="F7" s="12" t="e">
        <f ca="1">INDEX(X_OF_FOVs,1,7)</f>
        <v>#NAME?</v>
      </c>
      <c r="G7" s="12" t="e">
        <f ca="1">INDEX(X_OF_FOVs,1,8)</f>
        <v>#NAME?</v>
      </c>
      <c r="H7" s="13"/>
    </row>
    <row r="8" spans="1:8">
      <c r="A8" s="12" t="s">
        <v>54</v>
      </c>
      <c r="B8" s="14" t="e">
        <f t="array" aca="true" ref="B8:G10">IF(ABS(TRANSPOSE(X1OF))&gt;0,TRANSPOSE(X1OF),"")</f>
        <v>#NAME?</v>
      </c>
      <c r="C8" s="14" t="e">
        <v>#NAME?</v>
      </c>
      <c r="D8" s="14" t="e">
        <v>#NAME?</v>
      </c>
      <c r="E8" s="14" t="e">
        <v>#NAME?</v>
      </c>
      <c r="F8" s="14" t="e">
        <v>#NAME?</v>
      </c>
      <c r="G8" s="14" t="e">
        <v>#NAME?</v>
      </c>
      <c r="H8" s="13"/>
    </row>
    <row r="9" spans="1:8">
      <c r="A9" s="12" t="s">
        <v>55</v>
      </c>
      <c r="B9" s="14" t="e">
        <v>#NAME?</v>
      </c>
      <c r="C9" s="14" t="e">
        <v>#NAME?</v>
      </c>
      <c r="D9" s="14" t="e">
        <v>#NAME?</v>
      </c>
      <c r="E9" s="14" t="e">
        <v>#NAME?</v>
      </c>
      <c r="F9" s="14" t="e">
        <v>#NAME?</v>
      </c>
      <c r="G9" s="14" t="e">
        <v>#NAME?</v>
      </c>
      <c r="H9" s="13"/>
    </row>
    <row r="10" spans="1:8" ht="15.75" thickBot="1">
      <c r="A10" s="12" t="s">
        <v>56</v>
      </c>
      <c r="B10" s="14" t="e">
        <v>#NAME?</v>
      </c>
      <c r="C10" s="14" t="e">
        <v>#NAME?</v>
      </c>
      <c r="D10" s="14" t="e">
        <v>#NAME?</v>
      </c>
      <c r="E10" s="14" t="e">
        <v>#NAME?</v>
      </c>
      <c r="F10" s="14" t="e">
        <v>#NAME?</v>
      </c>
      <c r="G10" s="14" t="e">
        <v>#NAME?</v>
      </c>
      <c r="H10" s="13"/>
    </row>
    <row r="11" spans="1:8">
      <c r="A11" s="12" t="s">
        <v>57</v>
      </c>
      <c r="B11" s="15" t="str">
        <f ca="1">IFERROR(AVERAGE(B8:B10),"")</f>
        <v/>
      </c>
      <c r="C11" s="15" t="str">
        <f ca="1">IFERROR(AVERAGE(C8:C10),"")</f>
        <v/>
      </c>
      <c r="D11" s="15" t="str">
        <f ca="1">IFERROR(AVERAGE(D8:D10),"")</f>
        <v/>
      </c>
      <c r="E11" s="15" t="str">
        <f ca="1">IFERROR(AVERAGE(E8:E10),"")</f>
        <v/>
      </c>
      <c r="F11" s="15" t="str">
        <f ca="1">IFERROR(AVERAGE(F8:F10),"")</f>
        <v/>
      </c>
      <c r="G11" s="15" t="str">
        <f ca="1">IFERROR(AVERAGE(G8:G10),"")</f>
        <v/>
      </c>
      <c r="H11" s="13"/>
    </row>
    <row r="12" spans="1:8">
      <c r="A12" s="12" t="s">
        <v>58</v>
      </c>
      <c r="B12" s="16" t="str">
        <f ca="1">IFERROR(B11/$C$11,"")</f>
        <v/>
      </c>
      <c r="C12" s="16" t="str">
        <f ca="1">IFERROR(C11/$C$11,"")</f>
        <v/>
      </c>
      <c r="D12" s="16" t="str">
        <f ca="1">IFERROR(D11/$C$11,"")</f>
        <v/>
      </c>
      <c r="E12" s="16" t="str">
        <f ca="1">IFERROR(E11/$C$11,"")</f>
        <v/>
      </c>
      <c r="F12" s="16" t="str">
        <f ca="1">IFERROR(F11/$C$11,"")</f>
        <v/>
      </c>
      <c r="G12" s="16" t="str">
        <f ca="1">IFERROR(G11/$C$11,"")</f>
        <v/>
      </c>
      <c r="H12" s="13"/>
    </row>
    <row r="13" spans="1:8" ht="15.75" thickBot="1">
      <c r="A13" s="12" t="s">
        <v>59</v>
      </c>
      <c r="B13" s="17">
        <f ca="1">LowX_4x4</f>
        <v>0.934</v>
      </c>
      <c r="C13" s="17">
        <f ca="1">LowX_10x10</f>
        <v>1</v>
      </c>
      <c r="D13" s="17">
        <f ca="1">LowX_15x15</f>
        <v>1.033</v>
      </c>
      <c r="E13" s="17">
        <f ca="1">LowX_20x20</f>
        <v>1.053</v>
      </c>
      <c r="F13" s="17">
        <f ca="1">LowX_30x30</f>
        <v>1.081</v>
      </c>
      <c r="G13" s="17">
        <f ca="1">LowX_40x40</f>
        <v>1.1</v>
      </c>
      <c r="H13" s="13"/>
    </row>
    <row r="14" spans="1:8">
      <c r="A14" s="12" t="s">
        <v>60</v>
      </c>
      <c r="B14" s="18">
        <f ca="1">IFERROR((B12-B13)/ABS(B13),"")</f>
        <v>-1</v>
      </c>
      <c r="C14" s="18">
        <f ca="1">IFERROR((C12-C13)/ABS(C13),"")</f>
        <v>-1</v>
      </c>
      <c r="D14" s="18">
        <f ca="1">IFERROR((D12-D13)/ABS(D13),"")</f>
        <v>-1</v>
      </c>
      <c r="E14" s="18">
        <f ca="1">IFERROR((E12-E13)/ABS(E13),"")</f>
        <v>-1</v>
      </c>
      <c r="F14" s="18">
        <f ca="1">IFERROR((F12-F13)/ABS(F13),"")</f>
        <v>-1</v>
      </c>
      <c r="G14" s="19">
        <f ca="1">IFERROR((G12-G13)/ABS(G13),"")</f>
        <v>-1</v>
      </c>
      <c r="H14" s="20" t="str">
        <f ca="1">IF(AND(AND(NOT(ISBLANK(B14)),NOT(ISBLANK(C14)),NOT(ISBLANK(D14)),NOT(ISBLANK(E14)),NOT(ISBLANK(F14)),NOT(ISBLANK(G14))),AND(B14&lt;0.02,C14&lt;0.02,D14&lt;0.02,E14&lt;0.02,F14&lt;0.02,G14&lt;0.02)),"PASSED","FAIL")</f>
        <v>PASSED</v>
      </c>
    </row>
    <row r="16" spans="1:8" ht="15.75">
      <c r="A16" s="21" t="str">
        <f ca="1">HighX&amp;"X"</f>
        <v>15X</v>
      </c>
      <c r="B16" s="21"/>
      <c r="C16" s="21"/>
      <c r="D16" s="21"/>
      <c r="E16" s="21"/>
      <c r="F16" s="21"/>
      <c r="G16" s="21"/>
      <c r="H16" s="21"/>
    </row>
    <row r="17" spans="1:8">
      <c r="A17" s="6" t="str">
        <f ca="1">"Conditions : Depth = dmax @ "&amp; HighX_dmax&amp;"cm"</f>
        <v>Conditions : Depth = dmax @ 2.7cm</v>
      </c>
      <c r="B17" s="7"/>
      <c r="C17" s="7"/>
      <c r="D17" s="7"/>
      <c r="E17" s="7"/>
      <c r="F17" s="7"/>
      <c r="G17" s="7"/>
      <c r="H17" s="8"/>
    </row>
    <row r="18" spans="1:8" ht="18">
      <c r="A18" s="9"/>
      <c r="B18" s="10" t="s">
        <v>52</v>
      </c>
      <c r="C18" s="10"/>
      <c r="D18" s="10"/>
      <c r="E18" s="10"/>
      <c r="F18" s="10"/>
      <c r="G18" s="10"/>
      <c r="H18" s="11" t="s">
        <v>53</v>
      </c>
    </row>
    <row r="19" spans="1:8">
      <c r="A19" s="12"/>
      <c r="B19" s="12" t="e">
        <f ca="1">INDEX(X_OF_FOVs,1,1)</f>
        <v>#NAME?</v>
      </c>
      <c r="C19" s="12" t="e">
        <f ca="1">INDEX(X_OF_FOVs,1,3)</f>
        <v>#NAME?</v>
      </c>
      <c r="D19" s="12" t="e">
        <f ca="1">INDEX(X_OF_FOVs,1,4)</f>
        <v>#NAME?</v>
      </c>
      <c r="E19" s="12" t="e">
        <f ca="1">INDEX(X_OF_FOVs,1,5)</f>
        <v>#NAME?</v>
      </c>
      <c r="F19" s="12" t="e">
        <f ca="1">INDEX(X_OF_FOVs,1,7)</f>
        <v>#NAME?</v>
      </c>
      <c r="G19" s="12" t="e">
        <f ca="1">INDEX(X_OF_FOVs,1,8)</f>
        <v>#NAME?</v>
      </c>
      <c r="H19" s="13"/>
    </row>
    <row r="20" spans="1:8">
      <c r="A20" s="12" t="s">
        <v>54</v>
      </c>
      <c r="B20" s="14" t="e">
        <f t="array" aca="true" ref="B20:G22">IF(ABS(TRANSPOSE(X2OF))&gt;0,TRANSPOSE(X2OF),"")</f>
        <v>#NAME?</v>
      </c>
      <c r="C20" s="14" t="e">
        <v>#NAME?</v>
      </c>
      <c r="D20" s="14" t="e">
        <v>#NAME?</v>
      </c>
      <c r="E20" s="14" t="e">
        <v>#NAME?</v>
      </c>
      <c r="F20" s="14" t="e">
        <v>#NAME?</v>
      </c>
      <c r="G20" s="14" t="e">
        <v>#NAME?</v>
      </c>
      <c r="H20" s="13"/>
    </row>
    <row r="21" spans="1:8">
      <c r="A21" s="12" t="s">
        <v>55</v>
      </c>
      <c r="B21" s="14" t="e">
        <v>#NAME?</v>
      </c>
      <c r="C21" s="14" t="e">
        <v>#NAME?</v>
      </c>
      <c r="D21" s="14" t="e">
        <v>#NAME?</v>
      </c>
      <c r="E21" s="14" t="e">
        <v>#NAME?</v>
      </c>
      <c r="F21" s="14" t="e">
        <v>#NAME?</v>
      </c>
      <c r="G21" s="14" t="e">
        <v>#NAME?</v>
      </c>
      <c r="H21" s="13"/>
    </row>
    <row r="22" spans="1:8" ht="15.75" thickBot="1">
      <c r="A22" s="12" t="s">
        <v>56</v>
      </c>
      <c r="B22" s="14" t="e">
        <v>#NAME?</v>
      </c>
      <c r="C22" s="14" t="e">
        <v>#NAME?</v>
      </c>
      <c r="D22" s="14" t="e">
        <v>#NAME?</v>
      </c>
      <c r="E22" s="14" t="e">
        <v>#NAME?</v>
      </c>
      <c r="F22" s="14" t="e">
        <v>#NAME?</v>
      </c>
      <c r="G22" s="14" t="e">
        <v>#NAME?</v>
      </c>
      <c r="H22" s="13"/>
    </row>
    <row r="23" spans="1:8">
      <c r="A23" s="12" t="s">
        <v>57</v>
      </c>
      <c r="B23" s="15" t="str">
        <f ca="1">IFERROR(AVERAGE(B20:B22),"")</f>
        <v/>
      </c>
      <c r="C23" s="15" t="str">
        <f ca="1">IFERROR(AVERAGE(C20:C22),"")</f>
        <v/>
      </c>
      <c r="D23" s="15" t="str">
        <f ca="1">IFERROR(AVERAGE(D20:D22),"")</f>
        <v/>
      </c>
      <c r="E23" s="15" t="str">
        <f ca="1">IFERROR(AVERAGE(E20:E22),"")</f>
        <v/>
      </c>
      <c r="F23" s="15" t="str">
        <f ca="1">IFERROR(AVERAGE(F20:F22),"")</f>
        <v/>
      </c>
      <c r="G23" s="15" t="str">
        <f ca="1">IFERROR(AVERAGE(G20:G22),"")</f>
        <v/>
      </c>
      <c r="H23" s="13"/>
    </row>
    <row r="24" spans="1:8">
      <c r="A24" s="12" t="s">
        <v>58</v>
      </c>
      <c r="B24" s="16" t="str">
        <f ca="1">IFERROR(B23/$C$23,"")</f>
        <v/>
      </c>
      <c r="C24" s="16" t="str">
        <f ca="1">IFERROR(C23/$C$23,"")</f>
        <v/>
      </c>
      <c r="D24" s="16" t="str">
        <f ca="1">IFERROR(D23/$C$23,"")</f>
        <v/>
      </c>
      <c r="E24" s="16" t="str">
        <f ca="1">IFERROR(E23/$C$23,"")</f>
        <v/>
      </c>
      <c r="F24" s="16" t="str">
        <f ca="1">IFERROR(F23/$C$23,"")</f>
        <v/>
      </c>
      <c r="G24" s="16" t="str">
        <f ca="1">IFERROR(G23/$C$23,"")</f>
        <v/>
      </c>
      <c r="H24" s="13"/>
    </row>
    <row r="25" spans="1:8" ht="15.75" thickBot="1">
      <c r="A25" s="12" t="s">
        <v>59</v>
      </c>
      <c r="B25" s="17">
        <f ca="1">HighX_4x4</f>
        <v>0.927</v>
      </c>
      <c r="C25" s="17">
        <f ca="1">HighX_10x10</f>
        <v>1</v>
      </c>
      <c r="D25" s="17">
        <f ca="1">HighX_15x15</f>
        <v>1.029</v>
      </c>
      <c r="E25" s="17">
        <f ca="1">HighX_20x20</f>
        <v>1.049</v>
      </c>
      <c r="F25" s="17">
        <f ca="1">HighX_30x30</f>
        <v>1.074</v>
      </c>
      <c r="G25" s="17">
        <f ca="1">HighX_40x40</f>
        <v>1.088</v>
      </c>
      <c r="H25" s="13"/>
    </row>
    <row r="26" spans="1:8">
      <c r="A26" s="12" t="s">
        <v>60</v>
      </c>
      <c r="B26" s="18">
        <f ca="1">IFERROR((B24-B25)/ABS(B25),"")</f>
        <v>-1</v>
      </c>
      <c r="C26" s="18">
        <f ca="1">IFERROR((C24-C25)/ABS(C25),"")</f>
        <v>-1</v>
      </c>
      <c r="D26" s="18">
        <f ca="1">IFERROR((D24-D25)/ABS(D25),"")</f>
        <v>-1</v>
      </c>
      <c r="E26" s="18">
        <f ca="1">IFERROR((E24-E25)/ABS(E25),"")</f>
        <v>-1</v>
      </c>
      <c r="F26" s="18">
        <f ca="1">IFERROR((F24-F25)/ABS(F25),"")</f>
        <v>-1</v>
      </c>
      <c r="G26" s="19">
        <f ca="1">IFERROR((G24-G25)/ABS(G25),"")</f>
        <v>-1</v>
      </c>
      <c r="H26" s="20" t="str">
        <f ca="1">IF(AND(AND(NOT(ISBLANK(B26)),NOT(ISBLANK(C26)),NOT(ISBLANK(D26)),NOT(ISBLANK(E26)),NOT(ISBLANK(F26)),NOT(ISBLANK(G26))),AND(B26&lt;0.02,C26&lt;0.02,D26&lt;0.02,E26&lt;0.02,F26&lt;0.02,G26&lt;0.02)),"PASSED","FAIL")</f>
        <v>PASSED</v>
      </c>
    </row>
    <row r="28" spans="1:8" ht="18">
      <c r="A28" s="22" t="s">
        <v>61</v>
      </c>
      <c r="B28" s="22"/>
      <c r="C28" s="22"/>
      <c r="D28" s="22"/>
      <c r="E28" s="22"/>
      <c r="F28" s="22"/>
      <c r="G28" s="22"/>
      <c r="H28" s="22"/>
    </row>
    <row r="29" spans="1:8">
      <c r="A29" s="6" t="s">
        <v>62</v>
      </c>
      <c r="B29" s="7"/>
      <c r="C29" s="7"/>
      <c r="D29" s="7"/>
      <c r="E29" s="7"/>
      <c r="F29" s="7"/>
      <c r="G29" s="23" t="s">
        <v>63</v>
      </c>
      <c r="H29" s="24">
        <v>3</v>
      </c>
    </row>
    <row r="30" spans="1:8" ht="15.75">
      <c r="A30" s="21" t="s">
        <v>64</v>
      </c>
      <c r="B30" s="21"/>
      <c r="C30" s="21"/>
      <c r="D30" s="21"/>
      <c r="E30" s="21"/>
      <c r="F30" s="21"/>
      <c r="G30" s="21"/>
      <c r="H30" s="21"/>
    </row>
    <row r="31" spans="1:8">
      <c r="A31" s="6" t="e">
        <f ca="1">"Conditions : Depth = dmax + 0.5rcav = "&amp;(Elec1_dmax /10+0.5*$H$29/10)&amp;" cm"</f>
        <v>#NAME?</v>
      </c>
      <c r="B31" s="7"/>
      <c r="C31" s="7"/>
      <c r="D31" s="7"/>
      <c r="E31" s="7"/>
      <c r="F31" s="7"/>
      <c r="G31" s="7"/>
      <c r="H31" s="25"/>
    </row>
    <row r="32" spans="1:8" ht="18">
      <c r="A32" s="26"/>
      <c r="B32" s="26"/>
      <c r="C32" s="10" t="s">
        <v>52</v>
      </c>
      <c r="D32" s="10"/>
      <c r="E32" s="10"/>
      <c r="F32" s="10"/>
      <c r="G32" s="10"/>
      <c r="H32" s="11" t="s">
        <v>53</v>
      </c>
    </row>
    <row r="33" spans="1:8">
      <c r="A33" s="12"/>
      <c r="B33" s="12"/>
      <c r="C33" s="12" t="s">
        <v>65</v>
      </c>
      <c r="D33" s="12" t="s">
        <v>66</v>
      </c>
      <c r="E33" s="12" t="s">
        <v>67</v>
      </c>
      <c r="F33" s="12" t="s">
        <v>68</v>
      </c>
      <c r="G33" s="12" t="s">
        <v>69</v>
      </c>
      <c r="H33" s="27"/>
    </row>
    <row r="34" spans="1:8">
      <c r="A34" s="12" t="s">
        <v>54</v>
      </c>
      <c r="B34" s="12"/>
      <c r="C34" s="14" t="e">
        <f t="array" aca="true" ref="C34:C36">IF(ABS(TRANSPOSE(A6E1OF))&gt;0,TRANSPOSE(A6E1OF),"")</f>
        <v>#NAME?</v>
      </c>
      <c r="D34" s="14" t="e">
        <f t="array" aca="true" ref="D34:D36">IF(ABS(TRANSPOSE(A10E1OF))&gt;0,TRANSPOSE(A10E1OF),"")</f>
        <v>#NAME?</v>
      </c>
      <c r="E34" s="14" t="e">
        <f t="array" aca="true" ref="E34:E36">IF(ABS(TRANSPOSE(A15E1OF))&gt;0,TRANSPOSE(A15E1OF),"")</f>
        <v>#NAME?</v>
      </c>
      <c r="F34" s="14" t="e">
        <f t="array" aca="true" ref="F34:F36">IF(ABS(TRANSPOSE(A20E1OF))&gt;0,TRANSPOSE(A20E1OF),"")</f>
        <v>#NAME?</v>
      </c>
      <c r="G34" s="14" t="e">
        <f t="array" aca="true" ref="G34:G36">IF(ABS(TRANSPOSE(A25E1OF))&gt;0,TRANSPOSE(A25E1OF),"")</f>
        <v>#NAME?</v>
      </c>
      <c r="H34" s="27"/>
    </row>
    <row r="35" spans="1:8">
      <c r="A35" s="12" t="s">
        <v>55</v>
      </c>
      <c r="B35" s="12"/>
      <c r="C35" s="14" t="e">
        <v>#NAME?</v>
      </c>
      <c r="D35" s="14" t="e">
        <v>#NAME?</v>
      </c>
      <c r="E35" s="14" t="e">
        <v>#NAME?</v>
      </c>
      <c r="F35" s="14" t="e">
        <v>#NAME?</v>
      </c>
      <c r="G35" s="14" t="e">
        <v>#NAME?</v>
      </c>
      <c r="H35" s="27"/>
    </row>
    <row r="36" spans="1:8" ht="15.75" thickBot="1">
      <c r="A36" s="12" t="s">
        <v>56</v>
      </c>
      <c r="B36" s="12"/>
      <c r="C36" s="14" t="e">
        <v>#NAME?</v>
      </c>
      <c r="D36" s="14" t="e">
        <v>#NAME?</v>
      </c>
      <c r="E36" s="14" t="e">
        <v>#NAME?</v>
      </c>
      <c r="F36" s="14" t="e">
        <v>#NAME?</v>
      </c>
      <c r="G36" s="14" t="e">
        <v>#NAME?</v>
      </c>
      <c r="H36" s="27"/>
    </row>
    <row r="37" spans="1:8">
      <c r="A37" s="12" t="s">
        <v>57</v>
      </c>
      <c r="B37" s="12"/>
      <c r="C37" s="15" t="str">
        <f ca="1">IFERROR(AVERAGE(C34:C36),"")</f>
        <v/>
      </c>
      <c r="D37" s="15" t="str">
        <f ca="1">IFERROR(AVERAGE(D34:D36),"")</f>
        <v/>
      </c>
      <c r="E37" s="15" t="str">
        <f ca="1">IFERROR(AVERAGE(E34:E36),"")</f>
        <v/>
      </c>
      <c r="F37" s="15" t="str">
        <f ca="1">IFERROR(AVERAGE(F34:F36),"")</f>
        <v/>
      </c>
      <c r="G37" s="15" t="str">
        <f ca="1">IFERROR(AVERAGE(G34:G36),"")</f>
        <v/>
      </c>
      <c r="H37" s="27"/>
    </row>
    <row r="38" spans="1:8">
      <c r="A38" s="12" t="s">
        <v>58</v>
      </c>
      <c r="B38" s="12"/>
      <c r="C38" s="16" t="str">
        <f ca="1">IFERROR(C37/$D$37,"")</f>
        <v/>
      </c>
      <c r="D38" s="16" t="str">
        <f ca="1">IFERROR(D37/$D$37,"")</f>
        <v/>
      </c>
      <c r="E38" s="16" t="str">
        <f ca="1">IFERROR(E37/$D$37,"")</f>
        <v/>
      </c>
      <c r="F38" s="16" t="str">
        <f ca="1">IFERROR(F37/$D$37,"")</f>
        <v/>
      </c>
      <c r="G38" s="16" t="str">
        <f ca="1">IFERROR(G37/$D$37,"")</f>
        <v/>
      </c>
      <c r="H38" s="27"/>
    </row>
    <row r="39" spans="1:8" ht="15.75" thickBot="1">
      <c r="A39" s="12" t="s">
        <v>59</v>
      </c>
      <c r="B39" s="12"/>
      <c r="C39" s="17">
        <f ca="1">Elec1_6x6</f>
        <v>0.967</v>
      </c>
      <c r="D39" s="17">
        <f ca="1">Elec1_10x10</f>
        <v>1</v>
      </c>
      <c r="E39" s="17">
        <f ca="1">Elec1_15x15</f>
        <v>1.002</v>
      </c>
      <c r="F39" s="17">
        <f ca="1">Elec1_20x20</f>
        <v>1.01</v>
      </c>
      <c r="G39" s="17">
        <f ca="1">Elec1_25x25</f>
        <v>1.005</v>
      </c>
      <c r="H39" s="27"/>
    </row>
    <row r="40" spans="1:8">
      <c r="A40" s="12" t="s">
        <v>60</v>
      </c>
      <c r="B40" s="12"/>
      <c r="C40" s="18">
        <f ca="1">IFERROR((C38-C39)/ABS(C39),"")</f>
        <v>-1</v>
      </c>
      <c r="D40" s="18">
        <f ca="1">IFERROR((D38-D39)/ABS(D39),"")</f>
        <v>-1</v>
      </c>
      <c r="E40" s="18">
        <f ca="1">IFERROR((E38-E39)/ABS(E39),"")</f>
        <v>-1</v>
      </c>
      <c r="F40" s="18">
        <f ca="1">IFERROR((F38-F39)/ABS(F39),"")</f>
        <v>-1</v>
      </c>
      <c r="G40" s="18">
        <f ca="1">IFERROR((G38-G39)/ABS(G39),"")</f>
        <v>-1</v>
      </c>
      <c r="H40" s="20" t="str">
        <f ca="1">IF(AND(AND(NOT(ISBLANK(C40)),NOT(ISBLANK(D40)),NOT(ISBLANK(E40)),NOT(ISBLANK(F40)),NOT(ISBLANK(G40))),AND(C40&lt;0.02,D40&lt;0.02,E40&lt;0.02,F40&lt;0.02,G40&lt;0.02)),"PASSED","FAIL")</f>
        <v>PASSED</v>
      </c>
    </row>
    <row r="43" spans="1:8">
      <c r="A43" s="28" t="s">
        <v>70</v>
      </c>
      <c r="B43" s="28"/>
      <c r="C43" s="28"/>
      <c r="D43" s="28"/>
      <c r="E43" s="28"/>
      <c r="F43" s="28"/>
      <c r="G43" s="28"/>
      <c r="H43" s="28"/>
    </row>
    <row r="47" spans="1:8" ht="15.75">
      <c r="A47" s="21" t="s">
        <v>71</v>
      </c>
      <c r="B47" s="21"/>
      <c r="C47" s="21"/>
      <c r="D47" s="21"/>
      <c r="E47" s="21"/>
      <c r="F47" s="21"/>
      <c r="G47" s="21"/>
      <c r="H47" s="21"/>
    </row>
    <row r="48" spans="1:8">
      <c r="A48" s="6" t="e">
        <f ca="1">"Conditions : Depth = dmax + 0.5rcav = "&amp;(Elec2_dmax /10+0.5*$H$29/10)&amp;" cm"</f>
        <v>#NAME?</v>
      </c>
      <c r="B48" s="7"/>
      <c r="C48" s="7"/>
      <c r="D48" s="7"/>
      <c r="E48" s="7"/>
      <c r="F48" s="7"/>
      <c r="G48" s="7"/>
      <c r="H48" s="8"/>
    </row>
    <row r="49" spans="1:8" ht="18">
      <c r="A49" s="26"/>
      <c r="B49" s="26"/>
      <c r="C49" s="10" t="s">
        <v>52</v>
      </c>
      <c r="D49" s="10"/>
      <c r="E49" s="10"/>
      <c r="F49" s="10"/>
      <c r="G49" s="10"/>
      <c r="H49" s="11" t="s">
        <v>53</v>
      </c>
    </row>
    <row r="50" spans="1:8">
      <c r="A50" s="12"/>
      <c r="B50" s="12"/>
      <c r="C50" s="12" t="s">
        <v>65</v>
      </c>
      <c r="D50" s="12" t="s">
        <v>66</v>
      </c>
      <c r="E50" s="12" t="s">
        <v>67</v>
      </c>
      <c r="F50" s="12" t="s">
        <v>68</v>
      </c>
      <c r="G50" s="12" t="s">
        <v>69</v>
      </c>
      <c r="H50" s="13"/>
    </row>
    <row r="51" spans="1:8">
      <c r="A51" s="12" t="s">
        <v>54</v>
      </c>
      <c r="B51" s="12"/>
      <c r="C51" s="14" t="e">
        <f t="array" aca="true" ref="C51:C53">IF(ABS(TRANSPOSE(A6E2OF))&gt;0,TRANSPOSE(A6E2OF),"")</f>
        <v>#NAME?</v>
      </c>
      <c r="D51" s="14" t="e">
        <f t="array" aca="true" ref="D51:D53">IF(ABS(TRANSPOSE(A10E2OF))&gt;0,TRANSPOSE(A10E2OF),"")</f>
        <v>#NAME?</v>
      </c>
      <c r="E51" s="14" t="e">
        <f t="array" aca="true" ref="E51:E53">IF(ABS(TRANSPOSE(A15E2OF))&gt;0,TRANSPOSE(A15E2OF),"")</f>
        <v>#NAME?</v>
      </c>
      <c r="F51" s="14" t="e">
        <f t="array" aca="true" ref="F51:F53">IF(ABS(TRANSPOSE(A20E2OF))&gt;0,TRANSPOSE(A20E2OF),"")</f>
        <v>#NAME?</v>
      </c>
      <c r="G51" s="29" t="e">
        <f t="array" aca="true" ref="G51:G53">IF(ABS(TRANSPOSE(A25E2OF))&gt;0,TRANSPOSE(A25E2OF),"")</f>
        <v>#NAME?</v>
      </c>
      <c r="H51" s="13"/>
    </row>
    <row r="52" spans="1:8">
      <c r="A52" s="12" t="s">
        <v>55</v>
      </c>
      <c r="B52" s="12"/>
      <c r="C52" s="14" t="e">
        <v>#NAME?</v>
      </c>
      <c r="D52" s="14" t="e">
        <v>#NAME?</v>
      </c>
      <c r="E52" s="14" t="e">
        <v>#NAME?</v>
      </c>
      <c r="F52" s="14" t="e">
        <v>#NAME?</v>
      </c>
      <c r="G52" s="29" t="e">
        <v>#NAME?</v>
      </c>
      <c r="H52" s="13"/>
    </row>
    <row r="53" spans="1:8" ht="15.75" thickBot="1">
      <c r="A53" s="12" t="s">
        <v>56</v>
      </c>
      <c r="B53" s="12"/>
      <c r="C53" s="14" t="e">
        <v>#NAME?</v>
      </c>
      <c r="D53" s="14" t="e">
        <v>#NAME?</v>
      </c>
      <c r="E53" s="14" t="e">
        <v>#NAME?</v>
      </c>
      <c r="F53" s="14" t="e">
        <v>#NAME?</v>
      </c>
      <c r="G53" s="29" t="e">
        <v>#NAME?</v>
      </c>
      <c r="H53" s="13"/>
    </row>
    <row r="54" spans="1:8">
      <c r="A54" s="12" t="s">
        <v>57</v>
      </c>
      <c r="B54" s="12"/>
      <c r="C54" s="15" t="str">
        <f ca="1">IFERROR(AVERAGE(C51:C53),"")</f>
        <v/>
      </c>
      <c r="D54" s="15" t="str">
        <f ca="1">IFERROR(AVERAGE(D51:D53),"")</f>
        <v/>
      </c>
      <c r="E54" s="15" t="str">
        <f ca="1">IFERROR(AVERAGE(E51:E53),"")</f>
        <v/>
      </c>
      <c r="F54" s="15" t="str">
        <f ca="1">IFERROR(AVERAGE(F51:F53),"")</f>
        <v/>
      </c>
      <c r="G54" s="15" t="str">
        <f ca="1">IFERROR(AVERAGE(G51:G53),"")</f>
        <v/>
      </c>
      <c r="H54" s="13"/>
    </row>
    <row r="55" spans="1:8">
      <c r="A55" s="12" t="s">
        <v>58</v>
      </c>
      <c r="B55" s="12"/>
      <c r="C55" s="16" t="str">
        <f ca="1">IFERROR(C54/$D$54,"")</f>
        <v/>
      </c>
      <c r="D55" s="16" t="str">
        <f ca="1">IFERROR(D54/$D$54,"")</f>
        <v/>
      </c>
      <c r="E55" s="16" t="str">
        <f ca="1">IFERROR(E54/$D$54,"")</f>
        <v/>
      </c>
      <c r="F55" s="16" t="str">
        <f ca="1">IFERROR(F54/$D$54,"")</f>
        <v/>
      </c>
      <c r="G55" s="16" t="str">
        <f ca="1">IFERROR(G54/$D$54,"")</f>
        <v/>
      </c>
      <c r="H55" s="13"/>
    </row>
    <row r="56" spans="1:8" ht="15.75" thickBot="1">
      <c r="A56" s="12" t="s">
        <v>59</v>
      </c>
      <c r="B56" s="12"/>
      <c r="C56" s="17">
        <f ca="1">Elec2_6x6</f>
        <v>0.982</v>
      </c>
      <c r="D56" s="17">
        <f ca="1">Elec2_10x10</f>
        <v>1</v>
      </c>
      <c r="E56" s="17">
        <f ca="1">Elec2_15x15</f>
        <v>1</v>
      </c>
      <c r="F56" s="17">
        <f ca="1">Elec2_20x20</f>
        <v>0.987</v>
      </c>
      <c r="G56" s="17">
        <f ca="1">Elec2_25x25</f>
        <v>0.965</v>
      </c>
      <c r="H56" s="13"/>
    </row>
    <row r="57" spans="1:8">
      <c r="A57" s="12" t="s">
        <v>60</v>
      </c>
      <c r="B57" s="12"/>
      <c r="C57" s="18">
        <f ca="1">IFERROR((C55-C56)/ABS(C56),"")</f>
        <v>-1</v>
      </c>
      <c r="D57" s="18">
        <f ca="1">IFERROR((D55-D56)/ABS(D56),"")</f>
        <v>-1</v>
      </c>
      <c r="E57" s="18">
        <f ca="1">IFERROR((E55-E56)/ABS(E56),"")</f>
        <v>-1</v>
      </c>
      <c r="F57" s="18">
        <f ca="1">IFERROR((F55-F56)/ABS(F56),"")</f>
        <v>-1</v>
      </c>
      <c r="G57" s="18">
        <f ca="1">IFERROR((G55-G56)/ABS(G56),"")</f>
        <v>-1</v>
      </c>
      <c r="H57" s="20" t="str">
        <f ca="1">IF(AND(AND(NOT(ISBLANK(C57)),NOT(ISBLANK(D57)),NOT(ISBLANK(E57)),NOT(ISBLANK(F57)),NOT(ISBLANK(G57))),AND(C57&lt;0.02,D57&lt;0.02,E57&lt;0.02,F57&lt;0.02,G57&lt;0.02)),"PASSED","FAIL")</f>
        <v>PASSED</v>
      </c>
    </row>
    <row r="59" spans="1:8" ht="15.75">
      <c r="A59" s="5" t="s">
        <v>72</v>
      </c>
      <c r="B59" s="5"/>
      <c r="C59" s="5"/>
      <c r="D59" s="5"/>
      <c r="E59" s="5"/>
      <c r="F59" s="5"/>
      <c r="G59" s="5"/>
      <c r="H59" s="5"/>
    </row>
    <row r="60" spans="1:8">
      <c r="A60" s="6" t="e">
        <f ca="1">"Conditions : Depth = dmax + 0.5rcav = "&amp;(Elec3_dmax  /10+0.5*$H$29/10)&amp;" cm"</f>
        <v>#NAME?</v>
      </c>
      <c r="B60" s="7"/>
      <c r="C60" s="7"/>
      <c r="D60" s="7"/>
      <c r="E60" s="7"/>
      <c r="F60" s="7"/>
      <c r="G60" s="7"/>
      <c r="H60" s="25"/>
    </row>
    <row r="61" spans="1:8" ht="18">
      <c r="A61" s="26"/>
      <c r="B61" s="26"/>
      <c r="C61" s="10" t="s">
        <v>52</v>
      </c>
      <c r="D61" s="10"/>
      <c r="E61" s="10"/>
      <c r="F61" s="10"/>
      <c r="G61" s="10"/>
      <c r="H61" s="11" t="s">
        <v>53</v>
      </c>
    </row>
    <row r="62" spans="1:8">
      <c r="A62" s="12"/>
      <c r="B62" s="12"/>
      <c r="C62" s="12" t="s">
        <v>65</v>
      </c>
      <c r="D62" s="12" t="s">
        <v>66</v>
      </c>
      <c r="E62" s="12" t="s">
        <v>67</v>
      </c>
      <c r="F62" s="12" t="s">
        <v>68</v>
      </c>
      <c r="G62" s="12" t="s">
        <v>69</v>
      </c>
      <c r="H62" s="13"/>
    </row>
    <row r="63" spans="1:8">
      <c r="A63" s="12" t="s">
        <v>54</v>
      </c>
      <c r="B63" s="12"/>
      <c r="C63" s="14" t="e">
        <f t="array" aca="true" ref="C63:C65">IF(ABS(TRANSPOSE(A6E3OF))&gt;0,TRANSPOSE(A6E3OF),"")</f>
        <v>#NAME?</v>
      </c>
      <c r="D63" s="14" t="e">
        <f t="array" aca="true" ref="D63:D65">IF(ABS(TRANSPOSE(A10E3OF))&gt;0,TRANSPOSE(A10E3OF),"")</f>
        <v>#NAME?</v>
      </c>
      <c r="E63" s="14" t="e">
        <f t="array" aca="true" ref="E63:E65">IF(ABS(TRANSPOSE(A15E3OF))&gt;0,TRANSPOSE(A15E3OF),"")</f>
        <v>#NAME?</v>
      </c>
      <c r="F63" s="14" t="e">
        <f t="array" aca="true" ref="F63:F65">IF(ABS(TRANSPOSE(A20E3OF))&gt;0,TRANSPOSE(A20E3OF),"")</f>
        <v>#NAME?</v>
      </c>
      <c r="G63" s="29" t="e">
        <f t="array" aca="true" ref="G63:G65">IF(ABS(TRANSPOSE(A25E3OF))&gt;0,TRANSPOSE(A25E3OF),"")</f>
        <v>#NAME?</v>
      </c>
      <c r="H63" s="13"/>
    </row>
    <row r="64" spans="1:8">
      <c r="A64" s="12" t="s">
        <v>55</v>
      </c>
      <c r="B64" s="12"/>
      <c r="C64" s="14" t="e">
        <v>#NAME?</v>
      </c>
      <c r="D64" s="14" t="e">
        <v>#NAME?</v>
      </c>
      <c r="E64" s="14" t="e">
        <v>#NAME?</v>
      </c>
      <c r="F64" s="14" t="e">
        <v>#NAME?</v>
      </c>
      <c r="G64" s="29" t="e">
        <v>#NAME?</v>
      </c>
      <c r="H64" s="13"/>
    </row>
    <row r="65" spans="1:8" ht="15.75" thickBot="1">
      <c r="A65" s="12" t="s">
        <v>56</v>
      </c>
      <c r="B65" s="12"/>
      <c r="C65" s="14" t="e">
        <v>#NAME?</v>
      </c>
      <c r="D65" s="14" t="e">
        <v>#NAME?</v>
      </c>
      <c r="E65" s="14" t="e">
        <v>#NAME?</v>
      </c>
      <c r="F65" s="14" t="e">
        <v>#NAME?</v>
      </c>
      <c r="G65" s="29" t="e">
        <v>#NAME?</v>
      </c>
      <c r="H65" s="13"/>
    </row>
    <row r="66" spans="1:8">
      <c r="A66" s="12" t="s">
        <v>57</v>
      </c>
      <c r="B66" s="12"/>
      <c r="C66" s="15" t="str">
        <f ca="1">IFERROR(AVERAGE(C63:C65),"")</f>
        <v/>
      </c>
      <c r="D66" s="15" t="str">
        <f ca="1">IFERROR(AVERAGE(D63:D65),"")</f>
        <v/>
      </c>
      <c r="E66" s="15" t="str">
        <f ca="1">IFERROR(AVERAGE(E63:E65),"")</f>
        <v/>
      </c>
      <c r="F66" s="15" t="str">
        <f ca="1">IFERROR(AVERAGE(F63:F65),"")</f>
        <v/>
      </c>
      <c r="G66" s="15" t="str">
        <f ca="1">IFERROR(AVERAGE(G63:G65),"")</f>
        <v/>
      </c>
      <c r="H66" s="13"/>
    </row>
    <row r="67" spans="1:8">
      <c r="A67" s="12" t="s">
        <v>58</v>
      </c>
      <c r="B67" s="12"/>
      <c r="C67" s="16" t="str">
        <f ca="1">IFERROR(C66/$D$66,"")</f>
        <v/>
      </c>
      <c r="D67" s="16" t="str">
        <f ca="1">IFERROR(D66/$D$66,"")</f>
        <v/>
      </c>
      <c r="E67" s="16" t="str">
        <f ca="1">IFERROR(E66/$D$66,"")</f>
        <v/>
      </c>
      <c r="F67" s="16" t="str">
        <f ca="1">IFERROR(F66/$D$66,"")</f>
        <v/>
      </c>
      <c r="G67" s="16" t="str">
        <f ca="1">IFERROR(G66/$D$66,"")</f>
        <v/>
      </c>
      <c r="H67" s="13"/>
    </row>
    <row r="68" spans="1:8" ht="15.75" thickBot="1">
      <c r="A68" s="12" t="s">
        <v>59</v>
      </c>
      <c r="B68" s="12"/>
      <c r="C68" s="17">
        <f ca="1">Elec3_6x6</f>
        <v>0.981</v>
      </c>
      <c r="D68" s="17">
        <f ca="1">Elec3_10x10</f>
        <v>1</v>
      </c>
      <c r="E68" s="17">
        <f ca="1">Elec3_15x15</f>
        <v>0.992</v>
      </c>
      <c r="F68" s="17">
        <f ca="1">Elec3_20x20</f>
        <v>0.978</v>
      </c>
      <c r="G68" s="17">
        <f ca="1">Elec3_25x25</f>
        <v>0.951</v>
      </c>
      <c r="H68" s="13"/>
    </row>
    <row r="69" spans="1:8">
      <c r="A69" s="12" t="s">
        <v>60</v>
      </c>
      <c r="B69" s="12"/>
      <c r="C69" s="18">
        <f ca="1">IFERROR((C67-C68)/ABS(C68),"")</f>
        <v>-1</v>
      </c>
      <c r="D69" s="18">
        <f ca="1">IFERROR((D67-D68)/ABS(D68),"")</f>
        <v>-1</v>
      </c>
      <c r="E69" s="18">
        <f ca="1">IFERROR((E67-E68)/ABS(E68),"")</f>
        <v>-1</v>
      </c>
      <c r="F69" s="18">
        <f ca="1">IFERROR((F67-F68)/ABS(F68),"")</f>
        <v>-1</v>
      </c>
      <c r="G69" s="18">
        <f ca="1">IFERROR((G67-G68)/ABS(G68),"")</f>
        <v>-1</v>
      </c>
      <c r="H69" s="20" t="str">
        <f ca="1">IF(AND(AND(NOT(ISBLANK(C69)),NOT(ISBLANK(D69)),NOT(ISBLANK(E69)),NOT(ISBLANK(F69)),NOT(ISBLANK(G69))),AND(C69&lt;0.02,D69&lt;0.02,E69&lt;0.02,F69&lt;0.02,G69&lt;0.02)),"PASSED","FAIL")</f>
        <v>PASSED</v>
      </c>
    </row>
    <row r="71" spans="1:8" ht="15.75">
      <c r="A71" s="5" t="s">
        <v>73</v>
      </c>
      <c r="B71" s="5"/>
      <c r="C71" s="5"/>
      <c r="D71" s="5"/>
      <c r="E71" s="5"/>
      <c r="F71" s="5"/>
      <c r="G71" s="5"/>
      <c r="H71" s="5"/>
    </row>
    <row r="72" spans="1:8">
      <c r="A72" s="6" t="e">
        <f ca="1">"Conditions : Depth = dmax + 0.5rcav = "&amp;(Elec4_dmax /10+0.5*$H$29/10)&amp;" cm"</f>
        <v>#NAME?</v>
      </c>
      <c r="B72" s="7"/>
      <c r="C72" s="7"/>
      <c r="D72" s="7"/>
      <c r="E72" s="7"/>
      <c r="F72" s="7"/>
      <c r="G72" s="7"/>
      <c r="H72" s="25"/>
    </row>
    <row r="73" spans="1:8" ht="18">
      <c r="A73" s="26"/>
      <c r="B73" s="26"/>
      <c r="C73" s="10" t="s">
        <v>52</v>
      </c>
      <c r="D73" s="10"/>
      <c r="E73" s="10"/>
      <c r="F73" s="10"/>
      <c r="G73" s="10"/>
      <c r="H73" s="11" t="s">
        <v>53</v>
      </c>
    </row>
    <row r="74" spans="1:8">
      <c r="A74" s="12"/>
      <c r="B74" s="12"/>
      <c r="C74" s="12" t="s">
        <v>65</v>
      </c>
      <c r="D74" s="12" t="s">
        <v>66</v>
      </c>
      <c r="E74" s="12" t="s">
        <v>67</v>
      </c>
      <c r="F74" s="12" t="s">
        <v>68</v>
      </c>
      <c r="G74" s="12" t="s">
        <v>69</v>
      </c>
      <c r="H74" s="13"/>
    </row>
    <row r="75" spans="1:8">
      <c r="A75" s="12" t="s">
        <v>54</v>
      </c>
      <c r="B75" s="12"/>
      <c r="C75" s="14" t="e">
        <f t="array" aca="true" ref="C75:C77">IF(ABS(TRANSPOSE(A6E4OF))&gt;0,TRANSPOSE(A6E4OF),"")</f>
        <v>#NAME?</v>
      </c>
      <c r="D75" s="14" t="e">
        <f t="array" aca="true" ref="D75:D77">IF(ABS(TRANSPOSE(A10E4OF))&gt;0,TRANSPOSE(A10E4OF),"")</f>
        <v>#NAME?</v>
      </c>
      <c r="E75" s="14" t="e">
        <f t="array" aca="true" ref="E75:E77">IF(ABS(TRANSPOSE(A15E4OF))&gt;0,TRANSPOSE(A15E4OF),"")</f>
        <v>#NAME?</v>
      </c>
      <c r="F75" s="14" t="e">
        <f t="array" aca="true" ref="F75:F77">IF(ABS(TRANSPOSE(A20E4OF))&gt;0,TRANSPOSE(A20E4OF),"")</f>
        <v>#NAME?</v>
      </c>
      <c r="G75" s="29" t="e">
        <f t="array" aca="true" ref="G75:G77">IF(ABS(TRANSPOSE(A25E4OF))&gt;0,TRANSPOSE(A25E4OF),"")</f>
        <v>#NAME?</v>
      </c>
      <c r="H75" s="13"/>
    </row>
    <row r="76" spans="1:8">
      <c r="A76" s="12" t="s">
        <v>55</v>
      </c>
      <c r="B76" s="12"/>
      <c r="C76" s="14" t="e">
        <v>#NAME?</v>
      </c>
      <c r="D76" s="14" t="e">
        <v>#NAME?</v>
      </c>
      <c r="E76" s="14" t="e">
        <v>#NAME?</v>
      </c>
      <c r="F76" s="14" t="e">
        <v>#NAME?</v>
      </c>
      <c r="G76" s="29" t="e">
        <v>#NAME?</v>
      </c>
      <c r="H76" s="13"/>
    </row>
    <row r="77" spans="1:8" ht="15.75" thickBot="1">
      <c r="A77" s="12" t="s">
        <v>56</v>
      </c>
      <c r="B77" s="12"/>
      <c r="C77" s="14" t="e">
        <v>#NAME?</v>
      </c>
      <c r="D77" s="14" t="e">
        <v>#NAME?</v>
      </c>
      <c r="E77" s="14" t="e">
        <v>#NAME?</v>
      </c>
      <c r="F77" s="14" t="e">
        <v>#NAME?</v>
      </c>
      <c r="G77" s="29" t="e">
        <v>#NAME?</v>
      </c>
      <c r="H77" s="13"/>
    </row>
    <row r="78" spans="1:8">
      <c r="A78" s="12" t="s">
        <v>57</v>
      </c>
      <c r="B78" s="12"/>
      <c r="C78" s="15" t="str">
        <f ca="1">IFERROR(AVERAGE(C75:C77),"")</f>
        <v/>
      </c>
      <c r="D78" s="15" t="str">
        <f ca="1">IFERROR(AVERAGE(D75:D77),"")</f>
        <v/>
      </c>
      <c r="E78" s="15" t="str">
        <f ca="1">IFERROR(AVERAGE(E75:E77),"")</f>
        <v/>
      </c>
      <c r="F78" s="15" t="str">
        <f ca="1">IFERROR(AVERAGE(F75:F77),"")</f>
        <v/>
      </c>
      <c r="G78" s="15" t="str">
        <f ca="1">IFERROR(AVERAGE(G75:G77),"")</f>
        <v/>
      </c>
      <c r="H78" s="13"/>
    </row>
    <row r="79" spans="1:8">
      <c r="A79" s="12" t="s">
        <v>58</v>
      </c>
      <c r="B79" s="12"/>
      <c r="C79" s="16" t="str">
        <f ca="1">IFERROR(C78/$D$78,"")</f>
        <v/>
      </c>
      <c r="D79" s="16" t="str">
        <f ca="1">IFERROR(D78/$D$78,"")</f>
        <v/>
      </c>
      <c r="E79" s="16" t="str">
        <f ca="1">IFERROR(E78/$D$78,"")</f>
        <v/>
      </c>
      <c r="F79" s="16" t="str">
        <f ca="1">IFERROR(F78/$D$78,"")</f>
        <v/>
      </c>
      <c r="G79" s="16" t="str">
        <f ca="1">IFERROR(G78/$D$78,"")</f>
        <v/>
      </c>
      <c r="H79" s="13"/>
    </row>
    <row r="80" spans="1:8" ht="15.75" thickBot="1">
      <c r="A80" s="12" t="s">
        <v>59</v>
      </c>
      <c r="B80" s="12"/>
      <c r="C80" s="17">
        <f ca="1">Elec4_6x6</f>
        <v>0.989</v>
      </c>
      <c r="D80" s="17">
        <f ca="1">Elec4_10x10</f>
        <v>1</v>
      </c>
      <c r="E80" s="17">
        <f ca="1">Elec4_15x15</f>
        <v>0.985</v>
      </c>
      <c r="F80" s="17">
        <f ca="1">Elec4_20x20</f>
        <v>0.974</v>
      </c>
      <c r="G80" s="17">
        <f ca="1">Elec4_25x25</f>
        <v>0.944</v>
      </c>
      <c r="H80" s="13"/>
    </row>
    <row r="81" spans="1:8">
      <c r="A81" s="12" t="s">
        <v>60</v>
      </c>
      <c r="B81" s="12"/>
      <c r="C81" s="18">
        <f ca="1">IFERROR((C79-C80)/ABS(C80),"")</f>
        <v>-1</v>
      </c>
      <c r="D81" s="18">
        <f ca="1">IFERROR((D79-D80)/ABS(D80),"")</f>
        <v>-1</v>
      </c>
      <c r="E81" s="18">
        <f ca="1">IFERROR((E79-E80)/ABS(E80),"")</f>
        <v>-1</v>
      </c>
      <c r="F81" s="18">
        <f ca="1">IFERROR((F79-F80)/ABS(F80),"")</f>
        <v>-1</v>
      </c>
      <c r="G81" s="18">
        <f ca="1">IFERROR((G79-G80)/ABS(G80),"")</f>
        <v>-1</v>
      </c>
      <c r="H81" s="20" t="str">
        <f ca="1">IF(AND(AND(NOT(ISBLANK(C81)),NOT(ISBLANK(D81)),NOT(ISBLANK(E81)),NOT(ISBLANK(F81)),NOT(ISBLANK(G81))),AND(C81&lt;0.02,D81&lt;0.02,E81&lt;0.02,F81&lt;0.02,G81&lt;0.02)),"PASSED","FAIL")</f>
        <v>PASSED</v>
      </c>
    </row>
    <row r="83" spans="1:8" ht="15.75">
      <c r="A83" s="5" t="s">
        <v>74</v>
      </c>
      <c r="B83" s="5"/>
      <c r="C83" s="5"/>
      <c r="D83" s="5"/>
      <c r="E83" s="5"/>
      <c r="F83" s="5"/>
      <c r="G83" s="5"/>
      <c r="H83" s="5"/>
    </row>
    <row r="84" spans="1:8">
      <c r="A84" s="6" t="e">
        <f ca="1">"Conditions : Depth = dmax + 0.5rcav = "&amp;(Elec5_dmax /10+0.5*$H$29/10)&amp;" cm"</f>
        <v>#NAME?</v>
      </c>
      <c r="B84" s="7"/>
      <c r="C84" s="7"/>
      <c r="D84" s="7"/>
      <c r="E84" s="7"/>
      <c r="F84" s="7"/>
      <c r="G84" s="7"/>
      <c r="H84" s="25"/>
    </row>
    <row r="85" spans="1:8" ht="18">
      <c r="A85" s="26"/>
      <c r="B85" s="26"/>
      <c r="C85" s="10" t="s">
        <v>52</v>
      </c>
      <c r="D85" s="10"/>
      <c r="E85" s="10"/>
      <c r="F85" s="10"/>
      <c r="G85" s="10"/>
      <c r="H85" s="11" t="s">
        <v>53</v>
      </c>
    </row>
    <row r="86" spans="1:8">
      <c r="A86" s="12"/>
      <c r="B86" s="12"/>
      <c r="C86" s="12" t="s">
        <v>65</v>
      </c>
      <c r="D86" s="12" t="s">
        <v>66</v>
      </c>
      <c r="E86" s="12" t="s">
        <v>67</v>
      </c>
      <c r="F86" s="12" t="s">
        <v>68</v>
      </c>
      <c r="G86" s="12" t="s">
        <v>69</v>
      </c>
      <c r="H86" s="13"/>
    </row>
    <row r="87" spans="1:8">
      <c r="A87" s="12" t="s">
        <v>54</v>
      </c>
      <c r="B87" s="12"/>
      <c r="C87" s="14" t="e">
        <f t="array" aca="true" ref="C87:C89">IF(ABS(TRANSPOSE(A6E5OF))&gt;0,TRANSPOSE(A6E5OF),"")</f>
        <v>#NAME?</v>
      </c>
      <c r="D87" s="14" t="e">
        <f t="array" aca="true" ref="D87:D89">IF(ABS(TRANSPOSE(A10E5OF))&gt;0,TRANSPOSE(A10E5OF),"")</f>
        <v>#NAME?</v>
      </c>
      <c r="E87" s="14" t="e">
        <f t="array" aca="true" ref="E87:E89">IF(ABS(TRANSPOSE(A15E5OF))&gt;0,TRANSPOSE(A15E5OF),"")</f>
        <v>#NAME?</v>
      </c>
      <c r="F87" s="14" t="e">
        <f t="array" aca="true" ref="F87:F89">IF(ABS(TRANSPOSE(A20E5OF))&gt;0,TRANSPOSE(A20E5OF),"")</f>
        <v>#NAME?</v>
      </c>
      <c r="G87" s="29" t="e">
        <f t="array" aca="true" ref="G87:G89">IF(ABS(TRANSPOSE(A25E5OF))&gt;0,TRANSPOSE(A25E5OF),"")</f>
        <v>#NAME?</v>
      </c>
      <c r="H87" s="13"/>
    </row>
    <row r="88" spans="1:8">
      <c r="A88" s="12" t="s">
        <v>55</v>
      </c>
      <c r="B88" s="12"/>
      <c r="C88" s="14" t="e">
        <v>#NAME?</v>
      </c>
      <c r="D88" s="14" t="e">
        <v>#NAME?</v>
      </c>
      <c r="E88" s="14" t="e">
        <v>#NAME?</v>
      </c>
      <c r="F88" s="14" t="e">
        <v>#NAME?</v>
      </c>
      <c r="G88" s="29" t="e">
        <v>#NAME?</v>
      </c>
      <c r="H88" s="13"/>
    </row>
    <row r="89" spans="1:8" ht="15.75" thickBot="1">
      <c r="A89" s="12" t="s">
        <v>56</v>
      </c>
      <c r="B89" s="12"/>
      <c r="C89" s="14" t="e">
        <v>#NAME?</v>
      </c>
      <c r="D89" s="14" t="e">
        <v>#NAME?</v>
      </c>
      <c r="E89" s="14" t="e">
        <v>#NAME?</v>
      </c>
      <c r="F89" s="14" t="e">
        <v>#NAME?</v>
      </c>
      <c r="G89" s="29" t="e">
        <v>#NAME?</v>
      </c>
      <c r="H89" s="13"/>
    </row>
    <row r="90" spans="1:8">
      <c r="A90" s="12" t="s">
        <v>57</v>
      </c>
      <c r="B90" s="12"/>
      <c r="C90" s="15" t="str">
        <f ca="1">IFERROR(AVERAGE(C87:C89),"")</f>
        <v/>
      </c>
      <c r="D90" s="15" t="str">
        <f ca="1">IFERROR(AVERAGE(D87:D89),"")</f>
        <v/>
      </c>
      <c r="E90" s="15" t="str">
        <f ca="1">IFERROR(AVERAGE(E87:E89),"")</f>
        <v/>
      </c>
      <c r="F90" s="15" t="str">
        <f ca="1">IFERROR(AVERAGE(F87:F89),"")</f>
        <v/>
      </c>
      <c r="G90" s="15" t="str">
        <f ca="1">IFERROR(AVERAGE(G87:G89),"")</f>
        <v/>
      </c>
      <c r="H90" s="13"/>
    </row>
    <row r="91" spans="1:8">
      <c r="A91" s="12" t="s">
        <v>58</v>
      </c>
      <c r="B91" s="12"/>
      <c r="C91" s="16" t="str">
        <f ca="1">IFERROR(C90/$D$90,"")</f>
        <v/>
      </c>
      <c r="D91" s="16" t="str">
        <f ca="1">IFERROR(D90/$D$90,"")</f>
        <v/>
      </c>
      <c r="E91" s="16" t="str">
        <f ca="1">IFERROR(E90/$D$90,"")</f>
        <v/>
      </c>
      <c r="F91" s="16" t="str">
        <f ca="1">IFERROR(F90/$D$90,"")</f>
        <v/>
      </c>
      <c r="G91" s="16" t="str">
        <f ca="1">IFERROR(G90/$D$90,"")</f>
        <v/>
      </c>
      <c r="H91" s="13"/>
    </row>
    <row r="92" spans="1:8" ht="15.75" thickBot="1">
      <c r="A92" s="12" t="s">
        <v>59</v>
      </c>
      <c r="B92" s="12"/>
      <c r="C92" s="17">
        <f ca="1">Elec5_6x6</f>
        <v>0.998</v>
      </c>
      <c r="D92" s="17">
        <f ca="1">Elec5_10x10</f>
        <v>1</v>
      </c>
      <c r="E92" s="17">
        <f ca="1">Elec5_15x15</f>
        <v>0.978</v>
      </c>
      <c r="F92" s="17">
        <f ca="1">Elec5_20x20</f>
        <v>0.963</v>
      </c>
      <c r="G92" s="17">
        <f ca="1">Elec5_25x25</f>
        <v>0.929</v>
      </c>
      <c r="H92" s="13"/>
    </row>
    <row r="93" spans="1:8">
      <c r="A93" s="12" t="s">
        <v>60</v>
      </c>
      <c r="B93" s="12"/>
      <c r="C93" s="18">
        <f ca="1">IFERROR((C91-C92)/ABS(C92),"")</f>
        <v>-1</v>
      </c>
      <c r="D93" s="18">
        <f ca="1">IFERROR((D91-D92)/ABS(D92),"")</f>
        <v>-1</v>
      </c>
      <c r="E93" s="18">
        <f ca="1">IFERROR((E91-E92)/ABS(E92),"")</f>
        <v>-1</v>
      </c>
      <c r="F93" s="18">
        <f ca="1">IFERROR((F91-F92)/ABS(F92),"")</f>
        <v>-1</v>
      </c>
      <c r="G93" s="18">
        <f ca="1">IFERROR((G91-G92)/ABS(G92),"")</f>
        <v>-1</v>
      </c>
      <c r="H93" s="20" t="str">
        <f ca="1">IF(AND(AND(NOT(ISBLANK(D93)),NOT(ISBLANK(E93)),NOT(ISBLANK(F93)),NOT(ISBLANK(G93))),AND(D93&lt;0.02,E93&lt;0.02,F93&lt;0.02,G93&lt;0.02)),"PASSED","FAIL")</f>
        <v>PASSED</v>
      </c>
    </row>
  </sheetData>
  <mergeCells count="27">
    <mergeCell ref="A83:H83"/>
    <mergeCell ref="A84:H84"/>
    <mergeCell ref="C85:G85"/>
    <mergeCell ref="A59:H59"/>
    <mergeCell ref="A60:H60"/>
    <mergeCell ref="C61:G61"/>
    <mergeCell ref="A71:H71"/>
    <mergeCell ref="A72:H72"/>
    <mergeCell ref="C73:G73"/>
    <mergeCell ref="A32:B32"/>
    <mergeCell ref="C32:G32"/>
    <mergeCell ref="A43:H43"/>
    <mergeCell ref="A47:H47"/>
    <mergeCell ref="A48:H48"/>
    <mergeCell ref="C49:G49"/>
    <mergeCell ref="A17:H17"/>
    <mergeCell ref="B18:G18"/>
    <mergeCell ref="A28:H28"/>
    <mergeCell ref="A29:F29"/>
    <mergeCell ref="A30:H30"/>
    <mergeCell ref="A31:H31"/>
    <mergeCell ref="A1:H2"/>
    <mergeCell ref="A3:H3"/>
    <mergeCell ref="A4:H4"/>
    <mergeCell ref="A5:H5"/>
    <mergeCell ref="B6:G6"/>
    <mergeCell ref="A16:H16"/>
  </mergeCells>
  <conditionalFormatting sqref="B14:G14">
    <cfRule type="cellIs" dxfId="32" operator="notBetween" priority="14">
      <formula>-0.02</formula>
      <formula>0.02</formula>
    </cfRule>
  </conditionalFormatting>
  <conditionalFormatting sqref="H14">
    <cfRule type="cellIs" dxfId="31" operator="notEqual" priority="13">
      <formula>"PASSED"</formula>
    </cfRule>
  </conditionalFormatting>
  <conditionalFormatting sqref="H26">
    <cfRule type="cellIs" dxfId="30" operator="notEqual" priority="12">
      <formula>"PASSED"</formula>
    </cfRule>
  </conditionalFormatting>
  <conditionalFormatting sqref="H40">
    <cfRule type="cellIs" dxfId="29" operator="notEqual" priority="11">
      <formula>"PASSED"</formula>
    </cfRule>
  </conditionalFormatting>
  <conditionalFormatting sqref="H57">
    <cfRule type="cellIs" dxfId="28" operator="notEqual" priority="10">
      <formula>"PASSED"</formula>
    </cfRule>
  </conditionalFormatting>
  <conditionalFormatting sqref="H69">
    <cfRule type="cellIs" dxfId="27" operator="notEqual" priority="9">
      <formula>"PASSED"</formula>
    </cfRule>
  </conditionalFormatting>
  <conditionalFormatting sqref="H81">
    <cfRule type="cellIs" dxfId="26" operator="notEqual" priority="8">
      <formula>"PASSED"</formula>
    </cfRule>
  </conditionalFormatting>
  <conditionalFormatting sqref="H93">
    <cfRule type="cellIs" dxfId="25" operator="notEqual" priority="7">
      <formula>"PASSED"</formula>
    </cfRule>
  </conditionalFormatting>
  <conditionalFormatting sqref="B26:G26">
    <cfRule type="cellIs" dxfId="24" operator="notBetween" priority="6">
      <formula>-0.02</formula>
      <formula>0.02</formula>
    </cfRule>
  </conditionalFormatting>
  <conditionalFormatting sqref="C40:G40">
    <cfRule type="cellIs" dxfId="23" operator="notBetween" priority="5">
      <formula>-0.02</formula>
      <formula>0.02</formula>
    </cfRule>
  </conditionalFormatting>
  <conditionalFormatting sqref="C57:G57">
    <cfRule type="cellIs" dxfId="22" operator="notBetween" priority="4">
      <formula>-0.02</formula>
      <formula>0.02</formula>
    </cfRule>
  </conditionalFormatting>
  <conditionalFormatting sqref="C69:G69">
    <cfRule type="cellIs" dxfId="21" operator="notBetween" priority="3">
      <formula>-0.02</formula>
      <formula>0.02</formula>
    </cfRule>
  </conditionalFormatting>
  <conditionalFormatting sqref="C81:G81">
    <cfRule type="cellIs" dxfId="20" operator="notBetween" priority="2">
      <formula>-0.02</formula>
      <formula>0.02</formula>
    </cfRule>
  </conditionalFormatting>
  <conditionalFormatting sqref="C93:G93">
    <cfRule type="cellIs" dxfId="19" operator="notBetween" priority="1">
      <formula>-0.02</formula>
      <formula>0.02</formula>
    </cfRule>
  </conditionalFormatting>
  <pageMargins left="0.7" right="0.7" top="0.75" bottom="0.75" header="0.3" footer="0.3"/>
  <pageSetup paperSize="9" orientation="portrait"/>
  <headerFooter scaleWithDoc="1" alignWithMargins="0" differentFirst="0" differentOddEven="0"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24"/>
  <sheetViews>
    <sheetView view="normal" workbookViewId="0">
      <selection pane="topLeft" activeCell="L15" sqref="L15"/>
    </sheetView>
  </sheetViews>
  <sheetFormatPr defaultColWidth="9.140625" defaultRowHeight="15" baseColWidth="0"/>
  <cols>
    <col min="2" max="2" width="11.3984375" customWidth="1"/>
    <col min="3" max="3" width="11.6015625" customWidth="1"/>
    <col min="4" max="4" width="12" customWidth="1"/>
    <col min="5" max="5" width="11.26171875" customWidth="1"/>
    <col min="6" max="6" width="10.6015625" customWidth="1"/>
    <col min="7" max="7" width="11.12890625" customWidth="1"/>
    <col min="8" max="8" width="11.6015625" customWidth="1"/>
    <col min="9" max="9" width="11" customWidth="1"/>
  </cols>
  <sheetData>
    <row r="1" spans="1:10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8">
      <c r="A3" s="30" t="s">
        <v>78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ht="15.75">
      <c r="A4" s="33" t="str">
        <f ca="1">LowX &amp;"X"</f>
        <v>6X</v>
      </c>
      <c r="B4" s="5"/>
      <c r="C4" s="5"/>
      <c r="D4" s="5"/>
      <c r="E4" s="5"/>
      <c r="F4" s="5"/>
      <c r="G4" s="5"/>
      <c r="H4" s="5"/>
      <c r="I4" s="5"/>
      <c r="J4" s="34"/>
    </row>
    <row r="5" spans="1:10">
      <c r="A5" s="6" t="str">
        <f ca="1">"Conditions : FOV: 10x10, Depth = 5 cm"</f>
        <v>Conditions : FOV: 10x10, Depth = 5 cm</v>
      </c>
      <c r="B5" s="7"/>
      <c r="C5" s="7"/>
      <c r="D5" s="7"/>
      <c r="E5" s="7"/>
      <c r="F5" s="7"/>
      <c r="G5" s="7"/>
      <c r="H5" s="7"/>
      <c r="I5" s="7"/>
      <c r="J5" s="25"/>
    </row>
    <row r="6" spans="1:10" ht="18">
      <c r="A6" s="35"/>
      <c r="B6" s="36" t="s">
        <v>79</v>
      </c>
      <c r="C6" s="36"/>
      <c r="D6" s="36"/>
      <c r="E6" s="36"/>
      <c r="F6" s="36"/>
      <c r="G6" s="36"/>
      <c r="H6" s="36"/>
      <c r="I6" s="36"/>
      <c r="J6" s="11" t="s">
        <v>53</v>
      </c>
    </row>
    <row r="7" spans="1:10">
      <c r="A7" s="37"/>
      <c r="B7" s="38" t="s">
        <v>80</v>
      </c>
      <c r="C7" s="12">
        <v>10</v>
      </c>
      <c r="D7" s="12">
        <v>15</v>
      </c>
      <c r="E7" s="12">
        <v>20</v>
      </c>
      <c r="F7" s="12">
        <v>25</v>
      </c>
      <c r="G7" s="12">
        <v>30</v>
      </c>
      <c r="H7" s="12">
        <v>45</v>
      </c>
      <c r="I7" s="12">
        <v>60</v>
      </c>
      <c r="J7" s="13"/>
    </row>
    <row r="8" spans="1:10">
      <c r="A8" s="39" t="s">
        <v>81</v>
      </c>
      <c r="B8" s="14" t="e">
        <f ca="1">AVERAGE(INDEX(X1EDW,1,))</f>
        <v>#VALUE!</v>
      </c>
      <c r="C8" s="14" t="e">
        <f ca="1">AVERAGE(INDEX(X1EDW,2,))</f>
        <v>#VALUE!</v>
      </c>
      <c r="D8" s="14" t="e">
        <f ca="1">AVERAGE(INDEX(X1EDW,4,))</f>
        <v>#VALUE!</v>
      </c>
      <c r="E8" s="14" t="e">
        <f ca="1">AVERAGE(INDEX(X1EDW,6,))</f>
        <v>#VALUE!</v>
      </c>
      <c r="F8" s="14" t="e">
        <f ca="1">AVERAGE(INDEX(X1EDW,8,))</f>
        <v>#VALUE!</v>
      </c>
      <c r="G8" s="14" t="e">
        <f ca="1">AVERAGE(INDEX(X1EDW,10,))</f>
        <v>#VALUE!</v>
      </c>
      <c r="H8" s="14" t="e">
        <f ca="1">AVERAGE(INDEX(X1EDW,12,))</f>
        <v>#VALUE!</v>
      </c>
      <c r="I8" s="29" t="e">
        <f ca="1">AVERAGE(INDEX(X1EDW,14,))</f>
        <v>#VALUE!</v>
      </c>
      <c r="J8" s="13"/>
    </row>
    <row r="9" spans="1:10" ht="15.75" thickBot="1">
      <c r="A9" s="39" t="s">
        <v>82</v>
      </c>
      <c r="B9" s="40"/>
      <c r="C9" s="14" t="e">
        <f ca="1">AVERAGE(INDEX(X1EDW,3,))</f>
        <v>#VALUE!</v>
      </c>
      <c r="D9" s="14" t="e">
        <f ca="1">AVERAGE(INDEX(X1EDW,5,))</f>
        <v>#VALUE!</v>
      </c>
      <c r="E9" s="14" t="e">
        <f ca="1">AVERAGE(INDEX(X1EDW,7,))</f>
        <v>#VALUE!</v>
      </c>
      <c r="F9" s="14" t="e">
        <f ca="1">AVERAGE(INDEX(X1EDW,9,))</f>
        <v>#VALUE!</v>
      </c>
      <c r="G9" s="14" t="e">
        <f ca="1">AVERAGE(INDEX(X1EDW,11,))</f>
        <v>#VALUE!</v>
      </c>
      <c r="H9" s="14" t="e">
        <f ca="1">AVERAGE(INDEX(X1EDW,13,))</f>
        <v>#VALUE!</v>
      </c>
      <c r="I9" s="29" t="e">
        <f ca="1">AVERAGE(INDEX(X1EDW,15,))</f>
        <v>#VALUE!</v>
      </c>
      <c r="J9" s="13"/>
    </row>
    <row r="10" spans="1:10">
      <c r="A10" s="39" t="s">
        <v>57</v>
      </c>
      <c r="B10" s="41" t="str">
        <f ca="1">IFERROR(AVERAGE(B8:B9),"")</f>
        <v/>
      </c>
      <c r="C10" s="15" t="str">
        <f ca="1">IFERROR(AVERAGE(C8:C9),"")</f>
        <v/>
      </c>
      <c r="D10" s="15" t="str">
        <f ca="1">IFERROR(AVERAGE(D8:D9),"")</f>
        <v/>
      </c>
      <c r="E10" s="15" t="str">
        <f ca="1">IFERROR(AVERAGE(E8:E9),"")</f>
        <v/>
      </c>
      <c r="F10" s="15" t="str">
        <f ca="1">IFERROR(AVERAGE(F8:F9),"")</f>
        <v/>
      </c>
      <c r="G10" s="15" t="str">
        <f ca="1">IFERROR(AVERAGE(G8:G9),"")</f>
        <v/>
      </c>
      <c r="H10" s="15" t="str">
        <f ca="1">IFERROR(AVERAGE(H8:H9),"")</f>
        <v/>
      </c>
      <c r="I10" s="15" t="str">
        <f ca="1">IFERROR(AVERAGE(I8:I9),"")</f>
        <v/>
      </c>
      <c r="J10" s="13"/>
    </row>
    <row r="11" spans="1:10">
      <c r="A11" s="39" t="s">
        <v>58</v>
      </c>
      <c r="B11" s="42"/>
      <c r="C11" s="16" t="str">
        <f ca="1">IFERROR(C10/$B$10,"")</f>
        <v/>
      </c>
      <c r="D11" s="16" t="str">
        <f ca="1">IFERROR(D10/$B$10,"")</f>
        <v/>
      </c>
      <c r="E11" s="16" t="str">
        <f ca="1">IFERROR(E10/$B$10,"")</f>
        <v/>
      </c>
      <c r="F11" s="16" t="str">
        <f ca="1">IFERROR(F10/$B$10,"")</f>
        <v/>
      </c>
      <c r="G11" s="16" t="str">
        <f ca="1">IFERROR(G10/$B$10,"")</f>
        <v/>
      </c>
      <c r="H11" s="16" t="str">
        <f ca="1">IFERROR(H10/$B$10,"")</f>
        <v/>
      </c>
      <c r="I11" s="16" t="str">
        <f ca="1">IFERROR(I10/$B$10,"")</f>
        <v/>
      </c>
      <c r="J11" s="13"/>
    </row>
    <row r="12" spans="1:10" ht="15.75" thickBot="1">
      <c r="A12" s="39" t="s">
        <v>59</v>
      </c>
      <c r="B12" s="13"/>
      <c r="C12" s="17">
        <f ca="1">LowX_10EDW</f>
        <v>0.949</v>
      </c>
      <c r="D12" s="17">
        <f ca="1">LowX_15EDW</f>
        <v>0.924</v>
      </c>
      <c r="E12" s="17">
        <f ca="1">LowX_20EDW</f>
        <v>0.9</v>
      </c>
      <c r="F12" s="17">
        <f ca="1">LowX_25EDW</f>
        <v>0.876</v>
      </c>
      <c r="G12" s="17">
        <f ca="1">LowX_30EDW</f>
        <v>0.85</v>
      </c>
      <c r="H12" s="17">
        <f ca="1">LowX_45EDW</f>
        <v>0.766</v>
      </c>
      <c r="I12" s="17">
        <f ca="1">LowX_60EDW</f>
        <v>0.654</v>
      </c>
      <c r="J12" s="13"/>
    </row>
    <row r="13" spans="1:10">
      <c r="A13" s="43" t="s">
        <v>60</v>
      </c>
      <c r="B13" s="44"/>
      <c r="C13" s="45">
        <f ca="1">IFERROR((C11-C12)/ABS(C12),"")</f>
        <v>-1</v>
      </c>
      <c r="D13" s="46">
        <f ca="1">IFERROR((D11-D12)/ABS(D12),"")</f>
        <v>-1</v>
      </c>
      <c r="E13" s="46">
        <f ca="1">IFERROR((E11-E12)/ABS(E12),"")</f>
        <v>-1</v>
      </c>
      <c r="F13" s="46">
        <f ca="1">IFERROR((F11-F12)/ABS(F12),"")</f>
        <v>-1</v>
      </c>
      <c r="G13" s="46">
        <f ca="1">IFERROR((G11-G12)/ABS(G12),"")</f>
        <v>-1</v>
      </c>
      <c r="H13" s="46">
        <f ca="1">IFERROR((H11-H12)/ABS(H12),"")</f>
        <v>-1</v>
      </c>
      <c r="I13" s="47">
        <f ca="1">IFERROR((I11-I12)/ABS(I12),"")</f>
        <v>-1</v>
      </c>
      <c r="J13" s="20" t="str">
        <f ca="1">IF(AND(AND(NOT(ISBLANK(C13)),NOT(ISBLANK(D13)),NOT(ISBLANK(E13)),NOT(ISBLANK(F13)),NOT(ISBLANK(G13)),NOT(ISBLANK(H13)),NOT(ISBLANK(I13))),AND(ABS(C13)&lt;0.02,ABS(D13)&lt;0.02,ABS(E13)&lt;0.02,ABS(F13)&lt;0.02,ABS(G13)&lt;0.02,ABS(H13)&lt;0.02,ABS(I13)&lt;0.02)),"PASSED","FAIL")</f>
        <v>FAIL</v>
      </c>
    </row>
    <row r="14" spans="1:10">
      <c r="A14" s="48"/>
      <c r="B14" s="49"/>
      <c r="C14" s="49"/>
      <c r="D14" s="49"/>
      <c r="E14" s="49"/>
      <c r="F14" s="49"/>
      <c r="G14" s="49"/>
      <c r="H14" s="49"/>
      <c r="I14" s="49"/>
      <c r="J14" s="50"/>
    </row>
    <row r="15" spans="1:10" ht="15.75">
      <c r="A15" s="5" t="str">
        <f ca="1">HighX &amp;"X"</f>
        <v>15X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6" t="str">
        <f ca="1">"Conditions : FOV: 10x10, Depth = 5 cm"</f>
        <v>Conditions : FOV: 10x10, Depth = 5 cm</v>
      </c>
      <c r="B16" s="7"/>
      <c r="C16" s="7"/>
      <c r="D16" s="7"/>
      <c r="E16" s="7"/>
      <c r="F16" s="7"/>
      <c r="G16" s="7"/>
      <c r="H16" s="7"/>
      <c r="I16" s="7"/>
      <c r="J16" s="25"/>
    </row>
    <row r="17" spans="1:10" ht="18">
      <c r="A17" s="51"/>
      <c r="B17" s="52" t="s">
        <v>79</v>
      </c>
      <c r="C17" s="52"/>
      <c r="D17" s="52"/>
      <c r="E17" s="52"/>
      <c r="F17" s="52"/>
      <c r="G17" s="52"/>
      <c r="H17" s="52"/>
      <c r="I17" s="52"/>
      <c r="J17" s="11" t="s">
        <v>53</v>
      </c>
    </row>
    <row r="18" spans="1:10">
      <c r="A18" s="37"/>
      <c r="B18" s="38" t="s">
        <v>80</v>
      </c>
      <c r="C18" s="12">
        <v>10</v>
      </c>
      <c r="D18" s="12">
        <v>15</v>
      </c>
      <c r="E18" s="12">
        <v>20</v>
      </c>
      <c r="F18" s="12">
        <v>25</v>
      </c>
      <c r="G18" s="12">
        <v>30</v>
      </c>
      <c r="H18" s="12">
        <v>45</v>
      </c>
      <c r="I18" s="12">
        <v>60</v>
      </c>
      <c r="J18" s="13"/>
    </row>
    <row r="19" spans="1:10">
      <c r="A19" s="39" t="s">
        <v>81</v>
      </c>
      <c r="B19" s="14" t="e">
        <f ca="1">AVERAGE(INDEX(X2EDW,1,))</f>
        <v>#VALUE!</v>
      </c>
      <c r="C19" s="14" t="e">
        <f ca="1">AVERAGE(INDEX(X2EDW,2,))</f>
        <v>#VALUE!</v>
      </c>
      <c r="D19" s="14" t="e">
        <f ca="1">AVERAGE(INDEX(X2EDW,4,))</f>
        <v>#VALUE!</v>
      </c>
      <c r="E19" s="14" t="e">
        <f ca="1">AVERAGE(INDEX(X2EDW,6,))</f>
        <v>#VALUE!</v>
      </c>
      <c r="F19" s="14" t="e">
        <f ca="1">AVERAGE(INDEX(X2EDW,8,))</f>
        <v>#VALUE!</v>
      </c>
      <c r="G19" s="14" t="e">
        <f ca="1">AVERAGE(INDEX(X2EDW,10,))</f>
        <v>#VALUE!</v>
      </c>
      <c r="H19" s="14" t="e">
        <f ca="1">AVERAGE(INDEX(X2EDW,12,))</f>
        <v>#VALUE!</v>
      </c>
      <c r="I19" s="29" t="e">
        <f ca="1">AVERAGE(INDEX(X2EDW,14,))</f>
        <v>#VALUE!</v>
      </c>
      <c r="J19" s="13"/>
    </row>
    <row r="20" spans="1:10" ht="15.75" thickBot="1">
      <c r="A20" s="39" t="s">
        <v>82</v>
      </c>
      <c r="B20" s="40"/>
      <c r="C20" s="14" t="e">
        <f ca="1">AVERAGE(INDEX(X2EDW,3,))</f>
        <v>#VALUE!</v>
      </c>
      <c r="D20" s="14" t="e">
        <f ca="1">AVERAGE(INDEX(X2EDW,5,))</f>
        <v>#VALUE!</v>
      </c>
      <c r="E20" s="14" t="e">
        <f ca="1">AVERAGE(INDEX(X2EDW,7,))</f>
        <v>#VALUE!</v>
      </c>
      <c r="F20" s="14" t="e">
        <f ca="1">AVERAGE(INDEX(X2EDW,9,))</f>
        <v>#VALUE!</v>
      </c>
      <c r="G20" s="14" t="e">
        <f ca="1">AVERAGE(INDEX(X2EDW,11,))</f>
        <v>#VALUE!</v>
      </c>
      <c r="H20" s="14" t="e">
        <f ca="1">AVERAGE(INDEX(X2EDW,13,))</f>
        <v>#VALUE!</v>
      </c>
      <c r="I20" s="29" t="e">
        <f ca="1">AVERAGE(INDEX(X2EDW,15,))</f>
        <v>#VALUE!</v>
      </c>
      <c r="J20" s="13"/>
    </row>
    <row r="21" spans="1:10">
      <c r="A21" s="39" t="s">
        <v>57</v>
      </c>
      <c r="B21" s="41" t="str">
        <f ca="1">IFERROR(AVERAGE(B19:B20),"")</f>
        <v/>
      </c>
      <c r="C21" s="15" t="str">
        <f ca="1">IFERROR(AVERAGE(C19:C20),"")</f>
        <v/>
      </c>
      <c r="D21" s="15" t="str">
        <f ca="1">IFERROR(AVERAGE(D19:D20),"")</f>
        <v/>
      </c>
      <c r="E21" s="15" t="str">
        <f ca="1">IFERROR(AVERAGE(E19:E20),"")</f>
        <v/>
      </c>
      <c r="F21" s="15" t="str">
        <f ca="1">IFERROR(AVERAGE(F19:F20),"")</f>
        <v/>
      </c>
      <c r="G21" s="15" t="str">
        <f ca="1">IFERROR(AVERAGE(G19:G20),"")</f>
        <v/>
      </c>
      <c r="H21" s="15" t="str">
        <f ca="1">IFERROR(AVERAGE(H19:H20),"")</f>
        <v/>
      </c>
      <c r="I21" s="15" t="str">
        <f ca="1">IFERROR(AVERAGE(I19:I20),"")</f>
        <v/>
      </c>
      <c r="J21" s="13"/>
    </row>
    <row r="22" spans="1:10">
      <c r="A22" s="39" t="s">
        <v>58</v>
      </c>
      <c r="B22" s="42"/>
      <c r="C22" s="16" t="str">
        <f ca="1">IFERROR(C21/$B$21,"")</f>
        <v/>
      </c>
      <c r="D22" s="16" t="str">
        <f ca="1">IFERROR(D21/$B$21,"")</f>
        <v/>
      </c>
      <c r="E22" s="16" t="str">
        <f ca="1">IFERROR(E21/$B$21,"")</f>
        <v/>
      </c>
      <c r="F22" s="16" t="str">
        <f ca="1">IFERROR(F21/$B$21,"")</f>
        <v/>
      </c>
      <c r="G22" s="16" t="str">
        <f ca="1">IFERROR(G21/$B$21,"")</f>
        <v/>
      </c>
      <c r="H22" s="16" t="str">
        <f ca="1">IFERROR(H21/$B$21,"")</f>
        <v/>
      </c>
      <c r="I22" s="16" t="str">
        <f ca="1">IFERROR(I21/$B$21,"")</f>
        <v/>
      </c>
      <c r="J22" s="13"/>
    </row>
    <row r="23" spans="1:10" ht="15.75" thickBot="1">
      <c r="A23" s="39" t="s">
        <v>59</v>
      </c>
      <c r="B23" s="13"/>
      <c r="C23" s="17">
        <f ca="1">HighX_10EDW</f>
        <v>0.961</v>
      </c>
      <c r="D23" s="17">
        <f ca="1">HighX_15EDW</f>
        <v>0.941</v>
      </c>
      <c r="E23" s="17">
        <f ca="1">HighX_20EDW</f>
        <v>0.922</v>
      </c>
      <c r="F23" s="17">
        <f ca="1">HighX_25EDW</f>
        <v>0.902</v>
      </c>
      <c r="G23" s="17">
        <f ca="1">HighX_30EDW</f>
        <v>0.882</v>
      </c>
      <c r="H23" s="17">
        <f ca="1">HighX_45EDW</f>
        <v>0.811</v>
      </c>
      <c r="I23" s="17">
        <f ca="1">HighX_60EDW</f>
        <v>0.713</v>
      </c>
      <c r="J23" s="13"/>
    </row>
    <row r="24" spans="1:10">
      <c r="A24" s="43" t="s">
        <v>60</v>
      </c>
      <c r="B24" s="44"/>
      <c r="C24" s="45">
        <f ca="1">IFERROR((C22-C23)/ABS(C23),"")</f>
        <v>-1</v>
      </c>
      <c r="D24" s="46">
        <f ca="1">IFERROR((D22-D23)/ABS(D23),"")</f>
        <v>-1</v>
      </c>
      <c r="E24" s="46">
        <f ca="1">IFERROR((E22-E23)/ABS(E23),"")</f>
        <v>-1</v>
      </c>
      <c r="F24" s="46">
        <f ca="1">IFERROR((F22-F23)/ABS(F23),"")</f>
        <v>-1</v>
      </c>
      <c r="G24" s="46">
        <f ca="1">IFERROR((G22-G23)/ABS(G23),"")</f>
        <v>-1</v>
      </c>
      <c r="H24" s="46">
        <f ca="1">IFERROR((H22-H23)/ABS(H23),"")</f>
        <v>-1</v>
      </c>
      <c r="I24" s="47">
        <f ca="1">IFERROR((I22-I23)/ABS(I23),"")</f>
        <v>-1</v>
      </c>
      <c r="J24" s="20" t="str">
        <f ca="1">IF(AND(AND(NOT(ISBLANK(C24)),NOT(ISBLANK(D24)),NOT(ISBLANK(E24)),NOT(ISBLANK(F24)),NOT(ISBLANK(G24)),NOT(ISBLANK(H24)),NOT(ISBLANK(I24))),AND(ABS(C24)&lt;0.02,ABS(D24)&lt;0.02,ABS(E24)&lt;0.02,ABS(F24)&lt;0.02,ABS(G24)&lt;0.02,ABS(H24)&lt;0.02,ABS(I24)&lt;0.02)),"PASSED","FAIL")</f>
        <v>FAIL</v>
      </c>
    </row>
  </sheetData>
  <mergeCells count="8">
    <mergeCell ref="A16:J16"/>
    <mergeCell ref="B17:I17"/>
    <mergeCell ref="A1:J2"/>
    <mergeCell ref="A3:J3"/>
    <mergeCell ref="A4:J4"/>
    <mergeCell ref="A5:J5"/>
    <mergeCell ref="B6:I6"/>
    <mergeCell ref="A15:J15"/>
  </mergeCells>
  <conditionalFormatting sqref="C13:I13">
    <cfRule type="cellIs" dxfId="18" operator="notBetween" priority="6">
      <formula>-0.02</formula>
      <formula>0.02</formula>
    </cfRule>
  </conditionalFormatting>
  <conditionalFormatting sqref="C24:I24">
    <cfRule type="cellIs" dxfId="17" operator="notBetween" priority="5">
      <formula>-0.02</formula>
      <formula>0.02</formula>
    </cfRule>
  </conditionalFormatting>
  <conditionalFormatting sqref="J13">
    <cfRule type="cellIs" dxfId="16" operator="notEqual" priority="4">
      <formula>"PASSED"</formula>
    </cfRule>
  </conditionalFormatting>
  <conditionalFormatting sqref="B13">
    <cfRule type="cellIs" dxfId="15" operator="notBetween" priority="3">
      <formula>-0.02</formula>
      <formula>0.02</formula>
    </cfRule>
  </conditionalFormatting>
  <conditionalFormatting sqref="B24">
    <cfRule type="cellIs" dxfId="14" operator="notBetween" priority="2">
      <formula>-0.02</formula>
      <formula>0.02</formula>
    </cfRule>
  </conditionalFormatting>
  <conditionalFormatting sqref="J24">
    <cfRule type="cellIs" dxfId="13" operator="notEqual" priority="1">
      <formula>"PASSED"</formula>
    </cfRule>
  </conditionalFormatting>
  <pageMargins left="0.7" right="0.7" top="0.75" bottom="0.75" header="0.3" footer="0.3"/>
  <pageSetup paperSize="9" orientation="portrait"/>
  <headerFooter scaleWithDoc="1" alignWithMargins="0" differentFirst="0" differentOddEven="0"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22"/>
  <sheetViews>
    <sheetView view="normal" workbookViewId="0">
      <selection pane="topLeft" activeCell="F28" sqref="F28"/>
    </sheetView>
  </sheetViews>
  <sheetFormatPr defaultRowHeight="15" baseColWidth="0"/>
  <cols>
    <col min="2" max="2" width="12.73046875" customWidth="1"/>
    <col min="3" max="3" width="12.26171875" customWidth="1"/>
    <col min="4" max="4" width="12.6015625" customWidth="1"/>
    <col min="5" max="5" width="13.3984375" customWidth="1"/>
    <col min="6" max="6" width="12.26171875" customWidth="1"/>
    <col min="7" max="7" width="13.12890625" customWidth="1"/>
  </cols>
  <sheetData>
    <row r="1" spans="1:8">
      <c r="A1" s="1" t="s">
        <v>83</v>
      </c>
      <c r="B1" s="1"/>
      <c r="C1" s="1"/>
      <c r="D1" s="1"/>
      <c r="E1" s="1"/>
      <c r="F1" s="1"/>
      <c r="G1" s="1"/>
      <c r="H1" s="1"/>
    </row>
    <row r="2" spans="1:8" ht="15.75" thickBot="1">
      <c r="A2" s="3"/>
      <c r="B2" s="3"/>
      <c r="C2" s="3"/>
      <c r="D2" s="3"/>
      <c r="E2" s="3"/>
      <c r="F2" s="3"/>
      <c r="G2" s="3"/>
      <c r="H2" s="3"/>
    </row>
    <row r="3" spans="1:8" ht="18">
      <c r="A3" s="4" t="s">
        <v>51</v>
      </c>
      <c r="B3" s="4"/>
      <c r="C3" s="4"/>
      <c r="D3" s="4"/>
      <c r="E3" s="4"/>
      <c r="F3" s="4"/>
      <c r="G3" s="4"/>
      <c r="H3" s="4"/>
    </row>
    <row r="4" spans="1:8" ht="15.75">
      <c r="A4" s="5" t="str">
        <f ca="1">LowX&amp;"X"</f>
        <v>6X</v>
      </c>
      <c r="B4" s="5"/>
      <c r="C4" s="5"/>
      <c r="D4" s="5"/>
      <c r="E4" s="5"/>
      <c r="F4" s="5"/>
      <c r="G4" s="5"/>
      <c r="H4" s="5"/>
    </row>
    <row r="5" spans="1:8">
      <c r="A5" s="6" t="str">
        <f ca="1">"Conditions : Open 10x10, d=5 cm ,SSD"</f>
        <v>Conditions : Open 10x10, d=5 cm ,SSD</v>
      </c>
      <c r="B5" s="7"/>
      <c r="C5" s="7"/>
      <c r="D5" s="7"/>
      <c r="E5" s="7"/>
      <c r="F5" s="7"/>
      <c r="G5" s="7"/>
      <c r="H5" s="8"/>
    </row>
    <row r="6" spans="1:8" ht="18">
      <c r="A6" s="9"/>
      <c r="B6" s="10" t="s">
        <v>2</v>
      </c>
      <c r="C6" s="10"/>
      <c r="D6" s="10"/>
      <c r="E6" s="10"/>
      <c r="F6" s="10"/>
      <c r="G6" s="10"/>
      <c r="H6" s="11" t="s">
        <v>53</v>
      </c>
    </row>
    <row r="7" spans="1:8">
      <c r="A7" s="12"/>
      <c r="B7" s="12">
        <v>10</v>
      </c>
      <c r="C7" s="12">
        <v>20</v>
      </c>
      <c r="D7" s="12">
        <v>50</v>
      </c>
      <c r="E7" s="12">
        <v>100</v>
      </c>
      <c r="F7" s="12">
        <v>200</v>
      </c>
      <c r="G7" s="12">
        <v>500</v>
      </c>
      <c r="H7" s="13"/>
    </row>
    <row r="8" spans="1:8">
      <c r="A8" s="12" t="s">
        <v>54</v>
      </c>
      <c r="B8" s="14" t="e">
        <f t="array" aca="true" ref="B8:G10">IF(ABS(TRANSPOSE(X1MULIN))&gt;0,TRANSPOSE(X1MULIN),"")</f>
        <v>#NAME?</v>
      </c>
      <c r="C8" s="14" t="e">
        <v>#NAME?</v>
      </c>
      <c r="D8" s="14" t="e">
        <v>#NAME?</v>
      </c>
      <c r="E8" s="14" t="e">
        <v>#NAME?</v>
      </c>
      <c r="F8" s="14" t="e">
        <v>#NAME?</v>
      </c>
      <c r="G8" s="14" t="e">
        <v>#NAME?</v>
      </c>
      <c r="H8" s="13"/>
    </row>
    <row r="9" spans="1:8">
      <c r="A9" s="12" t="s">
        <v>55</v>
      </c>
      <c r="B9" s="14" t="e">
        <v>#NAME?</v>
      </c>
      <c r="C9" s="14" t="e">
        <v>#NAME?</v>
      </c>
      <c r="D9" s="14" t="e">
        <v>#NAME?</v>
      </c>
      <c r="E9" s="14" t="e">
        <v>#NAME?</v>
      </c>
      <c r="F9" s="14" t="e">
        <v>#NAME?</v>
      </c>
      <c r="G9" s="14" t="e">
        <v>#NAME?</v>
      </c>
      <c r="H9" s="13"/>
    </row>
    <row r="10" spans="1:8" ht="15.75" thickBot="1">
      <c r="A10" s="12" t="s">
        <v>56</v>
      </c>
      <c r="B10" s="14" t="e">
        <v>#NAME?</v>
      </c>
      <c r="C10" s="14" t="e">
        <v>#NAME?</v>
      </c>
      <c r="D10" s="14" t="e">
        <v>#NAME?</v>
      </c>
      <c r="E10" s="14" t="e">
        <v>#NAME?</v>
      </c>
      <c r="F10" s="14" t="e">
        <v>#NAME?</v>
      </c>
      <c r="G10" s="14" t="e">
        <v>#NAME?</v>
      </c>
      <c r="H10" s="13"/>
    </row>
    <row r="11" spans="1:8">
      <c r="A11" s="12" t="s">
        <v>57</v>
      </c>
      <c r="B11" s="15" t="str">
        <f ca="1">IFERROR(AVERAGE(B8:B10),"")</f>
        <v/>
      </c>
      <c r="C11" s="15" t="str">
        <f ca="1">IFERROR(AVERAGE(C8:C10),"")</f>
        <v/>
      </c>
      <c r="D11" s="15" t="str">
        <f ca="1">IFERROR(AVERAGE(D8:D10),"")</f>
        <v/>
      </c>
      <c r="E11" s="15" t="str">
        <f ca="1">IFERROR(AVERAGE(E8:E10),"")</f>
        <v/>
      </c>
      <c r="F11" s="15" t="str">
        <f ca="1">IFERROR(AVERAGE(F8:F10),"")</f>
        <v/>
      </c>
      <c r="G11" s="15" t="str">
        <f ca="1">IFERROR(AVERAGE(G8:G10),"")</f>
        <v/>
      </c>
      <c r="H11" s="13"/>
    </row>
    <row r="12" spans="1:8" ht="60">
      <c r="A12" s="53" t="s">
        <v>84</v>
      </c>
      <c r="B12" s="18" t="str">
        <f ca="1">IFERROR((B11/(B7/$E7)-$E11)/ABS($E11),"")</f>
        <v/>
      </c>
      <c r="C12" s="18" t="str">
        <f ca="1">IFERROR((C11/(C7/$E7)-$E11)/ABS($E11),"")</f>
        <v/>
      </c>
      <c r="D12" s="18" t="str">
        <f ca="1">IFERROR((D11/(D7/$E7)-$E11)/ABS($E11),"")</f>
        <v/>
      </c>
      <c r="E12" s="18" t="str">
        <f ca="1">IFERROR((E11-$E11)/ABS($E11),"")</f>
        <v/>
      </c>
      <c r="F12" s="18" t="str">
        <f ca="1">IFERROR((F11/(F7/$E7)-$E11)/ABS($E11),"")</f>
        <v/>
      </c>
      <c r="G12" s="18" t="str">
        <f ca="1">IFERROR((G11/(G7/$E7)-$E11)/ABS($E11),"")</f>
        <v/>
      </c>
      <c r="H12" s="20" t="str">
        <f ca="1">IF(AND(AND(NOT(LEN(B12)=0),NOT(LEN(C12)=0),NOT(LEN(D12)=0),NOT(LEN(E12)=0),NOT(LEN(F12)=0),NOT(LEN(G12)=0)), IFERROR(AND(ABS(B12)&lt;0.02,ABS(C12)&lt; 0.02,ABS(D12)&lt;0.02,ABS(E12)&lt;0.02,ABS(F12)&lt;0.02,ABS(G12)&lt;0.02),FALSE)),"PASSED","FAIL")</f>
        <v>FAIL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15.75">
      <c r="A14" s="21" t="str">
        <f ca="1">HighX&amp;"X"</f>
        <v>15X</v>
      </c>
      <c r="B14" s="21"/>
      <c r="C14" s="21"/>
      <c r="D14" s="21"/>
      <c r="E14" s="21"/>
      <c r="F14" s="21"/>
      <c r="G14" s="21"/>
      <c r="H14" s="21"/>
    </row>
    <row r="15" spans="1:8">
      <c r="A15" s="6" t="str">
        <f ca="1">"Conditions : Open 10x10, d=5 cm ,SSD"</f>
        <v>Conditions : Open 10x10, d=5 cm ,SSD</v>
      </c>
      <c r="B15" s="7"/>
      <c r="C15" s="7"/>
      <c r="D15" s="7"/>
      <c r="E15" s="7"/>
      <c r="F15" s="7"/>
      <c r="G15" s="7"/>
      <c r="H15" s="8"/>
    </row>
    <row r="16" spans="1:8" ht="18">
      <c r="A16" s="9"/>
      <c r="B16" s="10" t="s">
        <v>2</v>
      </c>
      <c r="C16" s="10"/>
      <c r="D16" s="10"/>
      <c r="E16" s="10"/>
      <c r="F16" s="10"/>
      <c r="G16" s="10"/>
      <c r="H16" s="11" t="s">
        <v>53</v>
      </c>
    </row>
    <row r="17" spans="1:8">
      <c r="A17" s="12"/>
      <c r="B17" s="12">
        <v>10</v>
      </c>
      <c r="C17" s="12">
        <v>20</v>
      </c>
      <c r="D17" s="12">
        <v>50</v>
      </c>
      <c r="E17" s="12">
        <v>100</v>
      </c>
      <c r="F17" s="12">
        <v>200</v>
      </c>
      <c r="G17" s="12">
        <v>500</v>
      </c>
      <c r="H17" s="13"/>
    </row>
    <row r="18" spans="1:8">
      <c r="A18" s="12" t="s">
        <v>54</v>
      </c>
      <c r="B18" s="14" t="e">
        <f t="array" aca="true" ref="B18:G20">IF(ABS(TRANSPOSE(X2MULIN))&gt;0,TRANSPOSE(X2MULIN),"")</f>
        <v>#NAME?</v>
      </c>
      <c r="C18" s="14" t="e">
        <v>#NAME?</v>
      </c>
      <c r="D18" s="14" t="e">
        <v>#NAME?</v>
      </c>
      <c r="E18" s="14" t="e">
        <v>#NAME?</v>
      </c>
      <c r="F18" s="14" t="e">
        <v>#NAME?</v>
      </c>
      <c r="G18" s="14" t="e">
        <v>#NAME?</v>
      </c>
      <c r="H18" s="13"/>
    </row>
    <row r="19" spans="1:8">
      <c r="A19" s="12" t="s">
        <v>55</v>
      </c>
      <c r="B19" s="14" t="e">
        <v>#NAME?</v>
      </c>
      <c r="C19" s="14" t="e">
        <v>#NAME?</v>
      </c>
      <c r="D19" s="14" t="e">
        <v>#NAME?</v>
      </c>
      <c r="E19" s="14" t="e">
        <v>#NAME?</v>
      </c>
      <c r="F19" s="14" t="e">
        <v>#NAME?</v>
      </c>
      <c r="G19" s="14" t="e">
        <v>#NAME?</v>
      </c>
      <c r="H19" s="13"/>
    </row>
    <row r="20" spans="1:8" ht="15.75" thickBot="1">
      <c r="A20" s="12" t="s">
        <v>56</v>
      </c>
      <c r="B20" s="14" t="e">
        <v>#NAME?</v>
      </c>
      <c r="C20" s="14" t="e">
        <v>#NAME?</v>
      </c>
      <c r="D20" s="14" t="e">
        <v>#NAME?</v>
      </c>
      <c r="E20" s="14" t="e">
        <v>#NAME?</v>
      </c>
      <c r="F20" s="14" t="e">
        <v>#NAME?</v>
      </c>
      <c r="G20" s="14" t="e">
        <v>#NAME?</v>
      </c>
      <c r="H20" s="13"/>
    </row>
    <row r="21" spans="1:8">
      <c r="A21" s="12" t="s">
        <v>57</v>
      </c>
      <c r="B21" s="15" t="str">
        <f ca="1">IFERROR(AVERAGE(B18:B20),"")</f>
        <v/>
      </c>
      <c r="C21" s="15" t="str">
        <f ca="1">IFERROR(AVERAGE(C18:C20),"")</f>
        <v/>
      </c>
      <c r="D21" s="15" t="str">
        <f ca="1">IFERROR(AVERAGE(D18:D20),"")</f>
        <v/>
      </c>
      <c r="E21" s="15" t="str">
        <f ca="1">IFERROR(AVERAGE(E18:E20),"")</f>
        <v/>
      </c>
      <c r="F21" s="15" t="str">
        <f ca="1">IFERROR(AVERAGE(F18:F20),"")</f>
        <v/>
      </c>
      <c r="G21" s="15" t="str">
        <f ca="1">IFERROR(AVERAGE(G18:G20),"")</f>
        <v/>
      </c>
      <c r="H21" s="13"/>
    </row>
    <row r="22" spans="1:8" ht="60">
      <c r="A22" s="53" t="s">
        <v>84</v>
      </c>
      <c r="B22" s="18" t="str">
        <f ca="1">IFERROR((B21/(B17/$E17)-$E21)/ABS($E21),"")</f>
        <v/>
      </c>
      <c r="C22" s="18" t="str">
        <f ca="1">IFERROR((C21/(C17/$E17)-$E21)/ABS($E21),"")</f>
        <v/>
      </c>
      <c r="D22" s="18" t="str">
        <f ca="1">IFERROR((D21/(D17/$E17)-$E21)/ABS($E21),"")</f>
        <v/>
      </c>
      <c r="E22" s="18" t="str">
        <f ca="1">IFERROR((E21/(E17/$E17)-$E21)/ABS($E21),"")</f>
        <v/>
      </c>
      <c r="F22" s="18" t="str">
        <f ca="1">IFERROR((F21/(F17/$E17)-$E21)/ABS($E21),"")</f>
        <v/>
      </c>
      <c r="G22" s="18" t="str">
        <f ca="1">IFERROR((G21/(G17/$E17)-$E21)/ABS($E21),"")</f>
        <v/>
      </c>
      <c r="H22" s="20" t="str">
        <f ca="1">IF(AND(AND(NOT(LEN(B22)=0),NOT(LEN(C22)=0),NOT(LEN(D22)=0),NOT(LEN(E22)=0),NOT(LEN(F22)=0),NOT(LEN(G22)=0)), IFERROR(AND(ABS(B22)&lt;0.02,ABS(C22)&lt; 0.02,ABS(D22)&lt;0.02,ABS(E22)&lt;0.02,ABS(F22)&lt;0.02,ABS(G22)&lt;0.02),FALSE)),"PASSED","FAIL")</f>
        <v>FAIL</v>
      </c>
    </row>
  </sheetData>
  <mergeCells count="8">
    <mergeCell ref="A15:H15"/>
    <mergeCell ref="B16:G16"/>
    <mergeCell ref="A1:H2"/>
    <mergeCell ref="A3:H3"/>
    <mergeCell ref="A4:H4"/>
    <mergeCell ref="A5:H5"/>
    <mergeCell ref="B6:G6"/>
    <mergeCell ref="A14:H14"/>
  </mergeCells>
  <conditionalFormatting sqref="H12">
    <cfRule type="cellIs" dxfId="12" operator="notEqual" priority="10">
      <formula>"PASSED"</formula>
    </cfRule>
  </conditionalFormatting>
  <conditionalFormatting sqref="C12:G12">
    <cfRule type="cellIs" dxfId="11" operator="notBetween" priority="9">
      <formula>-0.02</formula>
      <formula>0.02</formula>
    </cfRule>
  </conditionalFormatting>
  <conditionalFormatting sqref="H22">
    <cfRule type="cellIs" dxfId="10" operator="notEqual" priority="8">
      <formula>"PASSED"</formula>
    </cfRule>
  </conditionalFormatting>
  <conditionalFormatting sqref="B12">
    <cfRule type="cellIs" dxfId="9" operator="notBetween" priority="7">
      <formula>-0.02</formula>
      <formula>0.02</formula>
    </cfRule>
  </conditionalFormatting>
  <conditionalFormatting sqref="B22">
    <cfRule type="cellIs" dxfId="8" operator="notBetween" priority="6">
      <formula>-0.02</formula>
      <formula>0.02</formula>
    </cfRule>
  </conditionalFormatting>
  <conditionalFormatting sqref="C22">
    <cfRule type="cellIs" dxfId="7" operator="notBetween" priority="5">
      <formula>-0.02</formula>
      <formula>0.02</formula>
    </cfRule>
  </conditionalFormatting>
  <conditionalFormatting sqref="D22">
    <cfRule type="cellIs" dxfId="6" operator="notBetween" priority="4">
      <formula>-0.02</formula>
      <formula>0.02</formula>
    </cfRule>
  </conditionalFormatting>
  <conditionalFormatting sqref="E22">
    <cfRule type="cellIs" dxfId="5" operator="notBetween" priority="3">
      <formula>-0.02</formula>
      <formula>0.02</formula>
    </cfRule>
  </conditionalFormatting>
  <conditionalFormatting sqref="F22">
    <cfRule type="cellIs" dxfId="4" operator="notBetween" priority="2">
      <formula>-0.02</formula>
      <formula>0.02</formula>
    </cfRule>
  </conditionalFormatting>
  <conditionalFormatting sqref="G22">
    <cfRule type="cellIs" dxfId="3" operator="notBetween" priority="1">
      <formula>-0.02</formula>
      <formula>0.02</formula>
    </cfRule>
  </conditionalFormatting>
  <pageMargins left="0.7" right="0.7" top="0.75" bottom="0.75" header="0.3" footer="0.3"/>
  <pageSetup paperSize="9" orientation="portrait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82"/>
  <sheetViews>
    <sheetView view="normal" workbookViewId="0">
      <selection pane="topLeft" activeCell="K30" sqref="K30"/>
    </sheetView>
  </sheetViews>
  <sheetFormatPr defaultRowHeight="15" baseColWidth="0"/>
  <cols>
    <col min="2" max="2" width="8.26171875" customWidth="1"/>
    <col min="3" max="4" width="11.6015625" customWidth="1"/>
    <col min="9" max="9" width="12" customWidth="1"/>
  </cols>
  <sheetData>
    <row r="1" spans="1:9" customHeight="1">
      <c r="A1" s="54" t="s">
        <v>85</v>
      </c>
      <c r="B1" s="54"/>
      <c r="C1" s="54"/>
      <c r="D1" s="54"/>
      <c r="E1" s="54"/>
      <c r="F1" s="54"/>
      <c r="G1" s="54"/>
      <c r="H1" s="54"/>
      <c r="I1" s="54"/>
    </row>
    <row r="2" spans="1:9" ht="35.25" customHeight="1" thickBot="1">
      <c r="A2" s="55"/>
      <c r="B2" s="55"/>
      <c r="C2" s="55"/>
      <c r="D2" s="55"/>
      <c r="E2" s="55"/>
      <c r="F2" s="55"/>
      <c r="G2" s="55"/>
      <c r="H2" s="55"/>
      <c r="I2" s="55"/>
    </row>
    <row r="3" spans="1:3" ht="19.5" thickBot="1">
      <c r="A3" s="56" t="s">
        <v>86</v>
      </c>
      <c r="B3" s="57"/>
      <c r="C3" s="58"/>
    </row>
    <row r="4" spans="1:3">
      <c r="A4" s="59" t="s">
        <v>87</v>
      </c>
      <c r="B4" s="60"/>
      <c r="C4" s="61" t="s">
        <v>88</v>
      </c>
    </row>
    <row r="5" spans="1:3">
      <c r="A5" s="62">
        <v>6</v>
      </c>
      <c r="B5" s="63"/>
      <c r="C5" s="64">
        <v>1.6</v>
      </c>
    </row>
    <row r="6" spans="1:3" ht="15.75" thickBot="1">
      <c r="A6" s="65">
        <v>15</v>
      </c>
      <c r="B6" s="66"/>
      <c r="C6" s="64">
        <v>2.7</v>
      </c>
    </row>
    <row r="7" spans="1:7" ht="18.75">
      <c r="A7" s="69" t="s">
        <v>89</v>
      </c>
      <c r="B7" s="70"/>
      <c r="C7" s="70"/>
      <c r="D7" s="70"/>
      <c r="E7" s="70"/>
      <c r="F7" s="70"/>
      <c r="G7" s="70"/>
    </row>
    <row r="8" spans="1:7">
      <c r="A8" s="61">
        <v>10</v>
      </c>
      <c r="B8" s="61">
        <v>15</v>
      </c>
      <c r="C8" s="61">
        <v>20</v>
      </c>
      <c r="D8" s="61">
        <v>25</v>
      </c>
      <c r="E8" s="61">
        <v>30</v>
      </c>
      <c r="F8" s="61">
        <v>45</v>
      </c>
      <c r="G8" s="61">
        <v>60</v>
      </c>
    </row>
    <row r="9" spans="1:7">
      <c r="A9" s="68">
        <v>0.949</v>
      </c>
      <c r="B9" s="68">
        <v>0.924</v>
      </c>
      <c r="C9" s="68">
        <v>0.9</v>
      </c>
      <c r="D9" s="68">
        <v>0.876</v>
      </c>
      <c r="E9" s="68">
        <v>0.85</v>
      </c>
      <c r="F9" s="68">
        <v>0.766</v>
      </c>
      <c r="G9" s="68">
        <v>0.654</v>
      </c>
    </row>
    <row r="10" spans="1:7" ht="15.75" thickBot="1">
      <c r="A10" s="68">
        <v>0.961</v>
      </c>
      <c r="B10" s="68">
        <v>0.941</v>
      </c>
      <c r="C10" s="68">
        <v>0.922</v>
      </c>
      <c r="D10" s="68">
        <v>0.902</v>
      </c>
      <c r="E10" s="68">
        <v>0.882</v>
      </c>
      <c r="F10" s="68">
        <v>0.811</v>
      </c>
      <c r="G10" s="68">
        <v>0.713</v>
      </c>
    </row>
    <row r="11" spans="1:8" ht="19.5" thickBot="1">
      <c r="A11" s="67" t="s">
        <v>50</v>
      </c>
      <c r="B11" s="58"/>
      <c r="C11" s="58"/>
      <c r="D11" s="58"/>
      <c r="E11" s="58"/>
      <c r="F11" s="58"/>
      <c r="G11" s="58"/>
      <c r="H11" s="71"/>
    </row>
    <row r="12" spans="1:8">
      <c r="A12" s="61" t="s">
        <v>90</v>
      </c>
      <c r="B12" s="61" t="s">
        <v>91</v>
      </c>
      <c r="C12" s="61" t="s">
        <v>66</v>
      </c>
      <c r="D12" s="61" t="s">
        <v>67</v>
      </c>
      <c r="E12" s="61" t="s">
        <v>68</v>
      </c>
      <c r="F12" s="61" t="s">
        <v>69</v>
      </c>
      <c r="G12" s="61" t="s">
        <v>92</v>
      </c>
      <c r="H12" s="61" t="s">
        <v>93</v>
      </c>
    </row>
    <row r="13" spans="1:8">
      <c r="A13" s="68">
        <v>0.934</v>
      </c>
      <c r="B13" s="68">
        <v>0.9475</v>
      </c>
      <c r="C13" s="68">
        <v>1</v>
      </c>
      <c r="D13" s="68">
        <v>1.033</v>
      </c>
      <c r="E13" s="68">
        <v>1.053</v>
      </c>
      <c r="F13" s="68">
        <v>1.071</v>
      </c>
      <c r="G13" s="68">
        <v>1.081</v>
      </c>
      <c r="H13" s="68">
        <v>1.1</v>
      </c>
    </row>
    <row r="14" spans="1:8">
      <c r="A14" s="68">
        <v>0.927</v>
      </c>
      <c r="B14" s="68">
        <v>0.944</v>
      </c>
      <c r="C14" s="68">
        <v>1</v>
      </c>
      <c r="D14" s="68">
        <v>1.029</v>
      </c>
      <c r="E14" s="68">
        <v>1.049</v>
      </c>
      <c r="F14" s="68">
        <v>1.059</v>
      </c>
      <c r="G14" s="68">
        <v>1.074</v>
      </c>
      <c r="H14" s="68">
        <v>1.088</v>
      </c>
    </row>
    <row r="15" spans="1:8" ht="18.75">
      <c r="A15" s="72" t="str">
        <f ca="1">LowX&amp;"X Depth Doses"</f>
        <v>6X Depth Doses</v>
      </c>
      <c r="B15" s="70"/>
      <c r="C15" s="70"/>
      <c r="D15" s="70"/>
      <c r="E15" s="70"/>
      <c r="F15" s="70"/>
      <c r="G15" s="70"/>
      <c r="H15" s="73"/>
    </row>
    <row r="16" spans="1:8">
      <c r="A16" t="s">
        <v>94</v>
      </c>
      <c r="B16" s="61" t="s">
        <v>90</v>
      </c>
      <c r="C16" s="61" t="s">
        <v>66</v>
      </c>
      <c r="D16" s="61" t="s">
        <v>67</v>
      </c>
      <c r="E16" s="61" t="s">
        <v>68</v>
      </c>
      <c r="F16" s="61" t="s">
        <v>69</v>
      </c>
      <c r="G16" s="61" t="s">
        <v>92</v>
      </c>
      <c r="H16" s="61" t="s">
        <v>93</v>
      </c>
    </row>
    <row r="17" spans="1:8">
      <c r="A17" s="61">
        <v>5</v>
      </c>
      <c r="B17" s="68">
        <v>0.84</v>
      </c>
      <c r="C17" s="68">
        <v>0.863</v>
      </c>
      <c r="D17" s="68">
        <v>0.87</v>
      </c>
      <c r="E17" s="68">
        <v>0.873</v>
      </c>
      <c r="F17" s="68">
        <v>0.875</v>
      </c>
      <c r="G17" s="68">
        <v>0.877</v>
      </c>
      <c r="H17" s="68">
        <v>0.88</v>
      </c>
    </row>
    <row r="18" spans="1:8">
      <c r="A18" s="61">
        <v>10</v>
      </c>
      <c r="B18" s="68">
        <v>0.624</v>
      </c>
      <c r="C18" s="68">
        <v>0.668</v>
      </c>
      <c r="D18" s="68">
        <v>0.688</v>
      </c>
      <c r="E18" s="68">
        <v>0.699</v>
      </c>
      <c r="F18" s="68">
        <v>0.705</v>
      </c>
      <c r="G18" s="68">
        <v>0.711</v>
      </c>
      <c r="H18" s="68">
        <v>0.717</v>
      </c>
    </row>
    <row r="19" spans="1:8">
      <c r="A19" s="61">
        <v>20</v>
      </c>
      <c r="B19" s="68">
        <v>0.339</v>
      </c>
      <c r="C19" s="68">
        <v>0.385</v>
      </c>
      <c r="D19" s="68">
        <v>0.409</v>
      </c>
      <c r="E19" s="68">
        <v>0.426</v>
      </c>
      <c r="F19" s="68">
        <v>0.4365</v>
      </c>
      <c r="G19" s="68">
        <v>0.447</v>
      </c>
      <c r="H19" s="68">
        <v>0.455</v>
      </c>
    </row>
    <row r="20" spans="1:8" ht="18.75">
      <c r="A20" s="72" t="str">
        <f ca="1">HighX&amp;"X Depth Doses"</f>
        <v>15X Depth Doses</v>
      </c>
      <c r="B20" s="70"/>
      <c r="C20" s="70"/>
      <c r="D20" s="70"/>
      <c r="E20" s="70"/>
      <c r="F20" s="70"/>
      <c r="G20" s="70"/>
      <c r="H20" s="70"/>
    </row>
    <row r="21" spans="1:8">
      <c r="A21" s="61" t="s">
        <v>94</v>
      </c>
      <c r="B21" s="61" t="s">
        <v>90</v>
      </c>
      <c r="C21" s="61" t="s">
        <v>66</v>
      </c>
      <c r="D21" s="61" t="s">
        <v>67</v>
      </c>
      <c r="E21" s="61" t="s">
        <v>68</v>
      </c>
      <c r="F21" s="61" t="s">
        <v>69</v>
      </c>
      <c r="G21" s="61" t="s">
        <v>92</v>
      </c>
      <c r="H21" s="61" t="s">
        <v>93</v>
      </c>
    </row>
    <row r="22" spans="1:8">
      <c r="A22" s="61">
        <v>5</v>
      </c>
      <c r="B22" s="68">
        <v>0.943</v>
      </c>
      <c r="C22" s="68">
        <v>0.941</v>
      </c>
      <c r="D22" s="68">
        <v>0.933</v>
      </c>
      <c r="E22" s="68">
        <v>0.93</v>
      </c>
      <c r="F22" s="68">
        <v>0.928</v>
      </c>
      <c r="G22" s="68">
        <v>0.926</v>
      </c>
      <c r="H22" s="68">
        <v>0.929</v>
      </c>
    </row>
    <row r="23" spans="1:8">
      <c r="A23" s="61">
        <v>10</v>
      </c>
      <c r="B23" s="68">
        <v>0.7447</v>
      </c>
      <c r="C23" s="68">
        <v>0.766</v>
      </c>
      <c r="D23" s="68">
        <v>0.769</v>
      </c>
      <c r="E23" s="68">
        <v>0.769</v>
      </c>
      <c r="F23" s="68">
        <v>0.769</v>
      </c>
      <c r="G23" s="68">
        <v>0.775</v>
      </c>
      <c r="H23" s="68">
        <v>0.778</v>
      </c>
    </row>
    <row r="24" spans="1:8">
      <c r="A24" s="61">
        <v>20</v>
      </c>
      <c r="B24" s="68">
        <v>0.4607</v>
      </c>
      <c r="C24" s="68">
        <v>0.4943</v>
      </c>
      <c r="D24" s="68">
        <v>0.5061</v>
      </c>
      <c r="E24" s="68">
        <v>0.5144</v>
      </c>
      <c r="F24" s="68">
        <v>0.5212</v>
      </c>
      <c r="G24" s="68">
        <v>0.5253</v>
      </c>
      <c r="H24" s="68">
        <v>0.5322</v>
      </c>
    </row>
    <row r="25" ht="15.75" thickBot="1"/>
    <row r="26" spans="1:8" ht="19.5" thickBot="1">
      <c r="A26" s="74" t="s">
        <v>95</v>
      </c>
      <c r="B26" s="75"/>
      <c r="C26" s="75"/>
      <c r="D26" s="75"/>
      <c r="E26" s="75"/>
      <c r="F26" s="75"/>
      <c r="G26" s="75"/>
      <c r="H26" s="75"/>
    </row>
    <row r="27" spans="1:8" ht="19.5" thickBot="1">
      <c r="A27" s="76"/>
      <c r="B27" s="77"/>
      <c r="C27" s="78"/>
      <c r="D27" s="74" t="s">
        <v>50</v>
      </c>
      <c r="E27" s="75"/>
      <c r="F27" s="75"/>
      <c r="G27" s="75"/>
      <c r="H27" s="79"/>
    </row>
    <row r="28" spans="1:8">
      <c r="A28" s="80" t="s">
        <v>87</v>
      </c>
      <c r="B28" s="81" t="s">
        <v>96</v>
      </c>
      <c r="C28" s="82"/>
      <c r="D28" s="61" t="s">
        <v>65</v>
      </c>
      <c r="E28" s="61" t="s">
        <v>66</v>
      </c>
      <c r="F28" s="61" t="s">
        <v>67</v>
      </c>
      <c r="G28" s="61" t="s">
        <v>68</v>
      </c>
      <c r="H28" s="61" t="s">
        <v>69</v>
      </c>
    </row>
    <row r="29" spans="1:8">
      <c r="A29" s="62">
        <v>6</v>
      </c>
      <c r="B29" s="83">
        <v>1</v>
      </c>
      <c r="C29" s="84"/>
      <c r="D29" s="68">
        <v>0.967</v>
      </c>
      <c r="E29" s="68">
        <v>1</v>
      </c>
      <c r="F29" s="68">
        <v>1.002</v>
      </c>
      <c r="G29" s="68">
        <v>1.01</v>
      </c>
      <c r="H29" s="68">
        <v>1.005</v>
      </c>
    </row>
    <row r="30" spans="1:8">
      <c r="A30" s="62">
        <v>9</v>
      </c>
      <c r="B30" s="83">
        <v>1.4</v>
      </c>
      <c r="C30" s="84"/>
      <c r="D30" s="68">
        <v>0.982</v>
      </c>
      <c r="E30" s="68">
        <v>1</v>
      </c>
      <c r="F30" s="68">
        <v>1</v>
      </c>
      <c r="G30" s="68">
        <v>0.987</v>
      </c>
      <c r="H30" s="68">
        <v>0.965</v>
      </c>
    </row>
    <row r="31" spans="1:8">
      <c r="A31" s="62">
        <v>12</v>
      </c>
      <c r="B31" s="83">
        <v>2</v>
      </c>
      <c r="C31" s="84"/>
      <c r="D31" s="68">
        <v>0.981</v>
      </c>
      <c r="E31" s="68">
        <v>1</v>
      </c>
      <c r="F31" s="68">
        <v>0.992</v>
      </c>
      <c r="G31" s="68">
        <v>0.978</v>
      </c>
      <c r="H31" s="68">
        <v>0.951</v>
      </c>
    </row>
    <row r="32" spans="1:8">
      <c r="A32" s="62">
        <v>15</v>
      </c>
      <c r="B32" s="83">
        <v>2.6</v>
      </c>
      <c r="C32" s="84"/>
      <c r="D32" s="68">
        <v>0.989</v>
      </c>
      <c r="E32" s="68">
        <v>1</v>
      </c>
      <c r="F32" s="68">
        <v>0.985</v>
      </c>
      <c r="G32" s="68">
        <v>0.974</v>
      </c>
      <c r="H32" s="68">
        <v>0.944</v>
      </c>
    </row>
    <row r="33" spans="1:8" ht="15.75" thickBot="1">
      <c r="A33" s="62">
        <v>18</v>
      </c>
      <c r="B33" s="85">
        <v>3</v>
      </c>
      <c r="C33" s="86"/>
      <c r="D33" s="68">
        <v>0.998</v>
      </c>
      <c r="E33" s="68">
        <v>1</v>
      </c>
      <c r="F33" s="68">
        <v>0.978</v>
      </c>
      <c r="G33" s="68">
        <v>0.963</v>
      </c>
      <c r="H33" s="68">
        <v>0.929</v>
      </c>
    </row>
    <row r="34" spans="1:8" ht="18.75">
      <c r="A34" s="87" t="s">
        <v>97</v>
      </c>
      <c r="B34" s="88"/>
      <c r="C34" s="88"/>
      <c r="D34" s="88"/>
      <c r="E34" s="88"/>
      <c r="F34" s="88"/>
      <c r="G34" s="87" t="s">
        <v>98</v>
      </c>
      <c r="H34" s="88"/>
    </row>
    <row r="35" spans="1:8">
      <c r="A35" s="89"/>
      <c r="B35" s="89" t="str">
        <f ca="1">Elec1&amp;""</f>
        <v>6</v>
      </c>
      <c r="C35" s="89" t="str">
        <f ca="1">Elec2&amp;""</f>
        <v>9</v>
      </c>
      <c r="D35" s="89" t="str">
        <f ca="1">Elec3&amp;""</f>
        <v>12</v>
      </c>
      <c r="E35" s="89" t="str">
        <f ca="1">Elec4&amp;""</f>
        <v>15</v>
      </c>
      <c r="F35" s="89" t="str">
        <f ca="1">Elec5&amp;""</f>
        <v>18</v>
      </c>
      <c r="G35" s="90" t="s">
        <v>42</v>
      </c>
      <c r="H35" s="91"/>
    </row>
    <row r="36" spans="1:6">
      <c r="A36" s="92" t="s">
        <v>99</v>
      </c>
      <c r="B36" s="68">
        <v>13</v>
      </c>
      <c r="C36" s="68">
        <v>20</v>
      </c>
      <c r="D36" s="68">
        <v>29</v>
      </c>
      <c r="E36" s="68">
        <v>32</v>
      </c>
      <c r="F36" s="93">
        <v>22</v>
      </c>
    </row>
    <row r="37" spans="1:6">
      <c r="A37" s="92" t="s">
        <v>100</v>
      </c>
      <c r="B37" s="68">
        <v>18</v>
      </c>
      <c r="C37" s="68">
        <v>28</v>
      </c>
      <c r="D37" s="68">
        <v>39</v>
      </c>
      <c r="E37" s="68">
        <v>49</v>
      </c>
      <c r="F37" s="93">
        <v>56</v>
      </c>
    </row>
    <row r="38" spans="1:6">
      <c r="A38" s="92" t="s">
        <v>101</v>
      </c>
      <c r="B38" s="68">
        <v>20</v>
      </c>
      <c r="C38" s="68">
        <v>30</v>
      </c>
      <c r="D38" s="68">
        <v>43</v>
      </c>
      <c r="E38" s="68">
        <v>54</v>
      </c>
      <c r="F38" s="93">
        <v>64</v>
      </c>
    </row>
    <row r="39" spans="1:6">
      <c r="A39" s="92" t="s">
        <v>102</v>
      </c>
      <c r="B39" s="68">
        <v>23</v>
      </c>
      <c r="C39" s="68">
        <v>36</v>
      </c>
      <c r="D39" s="68">
        <v>50</v>
      </c>
      <c r="E39" s="68">
        <v>63</v>
      </c>
      <c r="F39" s="93">
        <v>76</v>
      </c>
    </row>
    <row r="40" spans="1:6">
      <c r="A40" s="92" t="s">
        <v>103</v>
      </c>
      <c r="B40" s="68">
        <v>29</v>
      </c>
      <c r="C40" s="68">
        <v>44</v>
      </c>
      <c r="D40" s="68">
        <v>61</v>
      </c>
      <c r="E40" s="68">
        <v>77</v>
      </c>
      <c r="F40" s="93">
        <v>94</v>
      </c>
    </row>
    <row r="182" spans="1:2">
      <c r="A182" s="94"/>
      <c r="B182" t="b">
        <f ca="1">ISBLANK(BLANK)</f>
        <v>1</v>
      </c>
    </row>
  </sheetData>
  <mergeCells count="16">
    <mergeCell ref="B31:C31"/>
    <mergeCell ref="B32:C32"/>
    <mergeCell ref="B33:C33"/>
    <mergeCell ref="A34:F34"/>
    <mergeCell ref="G34:H34"/>
    <mergeCell ref="G35:H35"/>
    <mergeCell ref="A7:G7"/>
    <mergeCell ref="A15:H15"/>
    <mergeCell ref="A20:H20"/>
    <mergeCell ref="A11:H11"/>
    <mergeCell ref="A26:H26"/>
    <mergeCell ref="B28:C28"/>
    <mergeCell ref="B29:C29"/>
    <mergeCell ref="B30:C30"/>
    <mergeCell ref="A1:I2"/>
    <mergeCell ref="A3:C3"/>
  </mergeCells>
  <pageMargins left="0.7" right="0.7" top="0.75" bottom="0.75" header="0.3" footer="0.3"/>
  <pageSetup paperSize="9" orientation="portrait"/>
  <headerFooter scaleWithDoc="1" alignWithMargins="0" differentFirst="0" differentOddEven="0"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>
  <CellAddress r="C39" i="OF"/>
  <CellAddress r="B13" i="OF"/>
  <CellAddress r="B182" i="Accelerator Details"/>
  <CellAddress r="E35" i="Accelerator Details"/>
  <CellAddress r="D35" i="Accelerator Details"/>
  <CellAddress r="F35" i="Accelerator Details"/>
  <CellAddress r="B35" i="Accelerator Details"/>
  <CellAddress r="C35" i="Accelerator Details"/>
  <CellAddress r="A20" i="Accelerator Details"/>
  <CellAddress r="A15" i="Accelerator Details"/>
  <CellAddress r="A4" i="OF"/>
  <CellAddress r="A16" i="OF"/>
  <CellAddress r="A15" i="MU Linearity"/>
  <CellAddress r="A5" i="OF"/>
  <CellAddress r="A14" i="MU Linearity"/>
  <CellAddress r="A5" i="MU Linearity"/>
  <CellAddress r="A4" i="MU Linearity"/>
  <CellAddress r="B8" i="MU Linearity"/>
  <CellAddress r="B18" i="MU Linearity"/>
  <CellAddress r="I23" i="Wedge Factors"/>
  <CellAddress r="H23" i="Wedge Factors"/>
  <CellAddress r="F10" i="MU Linearity"/>
  <CellAddress r="G23" i="Wedge Factors"/>
  <CellAddress r="F23" i="Wedge Factors"/>
  <CellAddress r="E23" i="Wedge Factors"/>
  <CellAddress r="D20" i="MU Linearity"/>
  <CellAddress r="D23" i="Wedge Factors"/>
  <CellAddress r="C23" i="Wedge Factors"/>
  <CellAddress r="F20" i="Wedge Factors"/>
  <CellAddress r="D20" i="Wedge Factors"/>
  <CellAddress r="C20" i="Wedge Factors"/>
  <CellAddress r="I20" i="Wedge Factors"/>
  <CellAddress r="I19" i="Wedge Factors"/>
  <CellAddress r="H20" i="Wedge Factors"/>
  <CellAddress r="H19" i="Wedge Factors"/>
  <CellAddress r="G20" i="Wedge Factors"/>
  <CellAddress r="E20" i="Wedge Factors"/>
  <CellAddress r="G19" i="Wedge Factors"/>
  <CellAddress r="A15" i="Wedge Factors"/>
  <CellAddress r="C19" i="Wedge Factors"/>
  <CellAddress r="F19" i="Wedge Factors"/>
  <CellAddress r="I12" i="Wedge Factors"/>
  <CellAddress r="B19" i="Wedge Factors"/>
  <CellAddress r="E19" i="Wedge Factors"/>
  <CellAddress r="H12" i="Wedge Factors"/>
  <CellAddress r="G12" i="Wedge Factors"/>
  <CellAddress r="B21" i="Wedge Factors"/>
  <CellAddress r="F12" i="Wedge Factors"/>
  <CellAddress r="D19" i="Wedge Factors"/>
  <CellAddress r="A16" i="Wedge Factors"/>
  <CellAddress r="E12" i="Wedge Factors"/>
  <CellAddress r="D12" i="Wedge Factors"/>
  <CellAddress r="H9" i="Wedge Factors"/>
  <CellAddress r="C12" i="Wedge Factors"/>
  <CellAddress r="G8" i="Wedge Factors"/>
  <CellAddress r="G9" i="Wedge Factors"/>
  <CellAddress r="B10" i="Wedge Factors"/>
  <CellAddress r="F8" i="Wedge Factors"/>
  <CellAddress r="F9" i="Wedge Factors"/>
  <CellAddress r="I9" i="Wedge Factors"/>
  <CellAddress r="E8" i="Wedge Factors"/>
  <CellAddress r="E9" i="Wedge Factors"/>
  <CellAddress r="C8" i="Wedge Factors"/>
  <CellAddress r="D8" i="Wedge Factors"/>
  <CellAddress r="D9" i="Wedge Factors"/>
  <CellAddress r="B8" i="Wedge Factors"/>
  <CellAddress r="A5" i="Wedge Factors"/>
  <CellAddress r="C22" i="Wedge Factors"/>
  <CellAddress r="C9" i="Wedge Factors"/>
  <CellAddress r="A4" i="Wedge Factors"/>
  <CellAddress r="I8" i="Wedge Factors"/>
  <CellAddress r="H10" i="Wedge Factors"/>
  <CellAddress r="C24" i="Wedge Factors"/>
  <CellAddress r="H8" i="Wedge Factors"/>
  <CellAddress r="F21" i="Wedge Factors"/>
  <CellAddress r="F10" i="Wedge Factors"/>
  <CellAddress r="F13" i="Wedge Factors"/>
  <CellAddress r="D10" i="Wedge Factors"/>
  <CellAddress r="F11" i="Wedge Factors"/>
  <CellAddress r="C21" i="Wedge Factors"/>
  <CellAddress r="C19" i="MU Linearity"/>
  <CellAddress r="G9" i="MU Linearity"/>
  <CellAddress r="G8" i="MU Linearity"/>
  <CellAddress r="E20" i="MU Linearity"/>
  <CellAddress r="C10" i="MU Linearity"/>
  <CellAddress r="C18" i="MU Linearity"/>
  <CellAddress r="D8" i="MU Linearity"/>
  <CellAddress r="E18" i="MU Linearity"/>
  <CellAddress r="E19" i="MU Linearity"/>
  <CellAddress r="F9" i="MU Linearity"/>
  <CellAddress r="E21" i="MU Linearity"/>
  <CellAddress r="G20" i="MU Linearity"/>
  <CellAddress r="E22" i="MU Linearity"/>
  <CellAddress r="F8" i="MU Linearity"/>
  <CellAddress r="G19" i="MU Linearity"/>
  <CellAddress r="B10" i="MU Linearity"/>
  <CellAddress r="D19" i="MU Linearity"/>
  <CellAddress r="F20" i="MU Linearity"/>
  <CellAddress r="E8" i="MU Linearity"/>
  <CellAddress r="G10" i="MU Linearity"/>
  <CellAddress r="B9" i="MU Linearity"/>
  <CellAddress r="D18" i="MU Linearity"/>
  <CellAddress r="D10" i="MU Linearity"/>
  <CellAddress r="F18" i="MU Linearity"/>
  <CellAddress r="F19" i="MU Linearity"/>
  <CellAddress r="B20" i="MU Linearity"/>
  <CellAddress r="C20" i="MU Linearity"/>
  <CellAddress r="C9" i="MU Linearity"/>
  <CellAddress r="B11" i="MU Linearity"/>
  <CellAddress r="E10" i="MU Linearity"/>
  <CellAddress r="D9" i="MU Linearity"/>
  <CellAddress r="G18" i="MU Linearity"/>
  <CellAddress r="B19" i="MU Linearity"/>
  <CellAddress r="E11" i="Wedge Factors"/>
  <CellAddress r="I21" i="Wedge Factors"/>
  <CellAddress r="E13" i="Wedge Factors"/>
  <CellAddress r="I22" i="Wedge Factors"/>
  <CellAddress r="D21" i="Wedge Factors"/>
  <CellAddress r="D22" i="Wedge Factors"/>
  <CellAddress r="D24" i="Wedge Factors"/>
  <CellAddress r="I24" i="Wedge Factors"/>
  <CellAddress r="E21" i="Wedge Factors"/>
  <CellAddress r="E10" i="Wedge Factors"/>
  <CellAddress r="E22" i="Wedge Factors"/>
  <CellAddress r="E24" i="Wedge Factors"/>
  <CellAddress r="H11" i="Wedge Factors"/>
  <CellAddress r="C10" i="Wedge Factors"/>
  <CellAddress r="H13" i="Wedge Factors"/>
  <CellAddress r="C11" i="Wedge Factors"/>
  <CellAddress r="F22" i="Wedge Factors"/>
  <CellAddress r="C13" i="Wedge Factors"/>
  <CellAddress r="F24" i="Wedge Factors"/>
  <CellAddress r="G10" i="Wedge Factors"/>
  <CellAddress r="I10" i="Wedge Factors"/>
  <CellAddress r="G11" i="Wedge Factors"/>
  <CellAddress r="I11" i="Wedge Factors"/>
  <CellAddress r="G13" i="Wedge Factors"/>
  <CellAddress r="I13" i="Wedge Factors"/>
  <CellAddress r="D11" i="Wedge Factors"/>
  <CellAddress r="G21" i="Wedge Factors"/>
  <CellAddress r="D13" i="Wedge Factors"/>
  <CellAddress r="G22" i="Wedge Factors"/>
  <CellAddress r="B22" i="MU Linearity"/>
  <CellAddress r="G24" i="Wedge Factors"/>
  <CellAddress r="F21" i="MU Linearity"/>
  <CellAddress r="H21" i="Wedge Factors"/>
  <CellAddress r="F22" i="MU Linearity"/>
  <CellAddress r="H22" i="Wedge Factors"/>
  <CellAddress r="C21" i="MU Linearity"/>
  <CellAddress r="H24" i="Wedge Factors"/>
  <CellAddress r="C22" i="MU Linearity"/>
  <CellAddress r="D21" i="MU Linearity"/>
  <CellAddress r="G11" i="MU Linearity"/>
  <CellAddress r="D22" i="MU Linearity"/>
  <CellAddress r="C11" i="MU Linearity"/>
  <CellAddress r="F11" i="MU Linearity"/>
  <CellAddress r="E11" i="MU Linearity"/>
  <CellAddress r="J24" i="Wedge Factors"/>
  <CellAddress r="G12" i="MU Linearity"/>
  <CellAddress r="E12" i="MU Linearity"/>
  <CellAddress r="F12" i="MU Linearity"/>
  <CellAddress r="G21" i="MU Linearity"/>
  <CellAddress r="C12" i="MU Linearity"/>
  <CellAddress r="G22" i="MU Linearity"/>
  <CellAddress r="D12" i="MU Linearity"/>
  <CellAddress r="B12" i="MU Linearity"/>
  <CellAddress r="J13" i="Wedge Factors"/>
  <CellAddress r="D11" i="MU Linearity"/>
  <CellAddress r="H22" i="MU Linearity"/>
  <CellAddress r="B21" i="MU Linearity"/>
  <CellAddress r="E92" i="OF"/>
  <CellAddress r="H12" i="MU Linearity"/>
  <CellAddress r="D92" i="OF"/>
  <CellAddress r="C92" i="OF"/>
  <CellAddress r="G92" i="OF"/>
  <CellAddress r="F92" i="OF"/>
  <CellAddress r="D80" i="OF"/>
  <CellAddress r="G87" i="OF"/>
  <CellAddress r="C80" i="OF"/>
  <CellAddress r="F87" i="OF"/>
  <CellAddress r="G75" i="OF"/>
  <CellAddress r="F89" i="OF"/>
  <CellAddress r="G76" i="OF"/>
  <CellAddress r="E87" i="OF"/>
  <CellAddress r="F75" i="OF"/>
  <CellAddress r="E89" i="OF"/>
  <CellAddress r="F77" i="OF"/>
  <CellAddress r="E75" i="OF"/>
  <CellAddress r="E76" i="OF"/>
  <CellAddress r="D75" i="OF"/>
  <CellAddress r="D77" i="OF"/>
  <CellAddress r="D87" i="OF"/>
  <CellAddress r="C75" i="OF"/>
  <CellAddress r="C76" i="OF"/>
  <CellAddress r="D89" i="OF"/>
  <CellAddress r="C87" i="OF"/>
  <CellAddress r="A72" i="OF"/>
  <CellAddress r="C89" i="OF"/>
  <CellAddress r="G68" i="OF"/>
  <CellAddress r="F68" i="OF"/>
  <CellAddress r="E68" i="OF"/>
  <CellAddress r="D68" i="OF"/>
  <CellAddress r="C68" i="OF"/>
  <CellAddress r="G63" i="OF"/>
  <CellAddress r="A84" i="OF"/>
  <CellAddress r="G65" i="OF"/>
  <CellAddress r="G80" i="OF"/>
  <CellAddress r="F63" i="OF"/>
  <CellAddress r="F80" i="OF"/>
  <CellAddress r="F64" i="OF"/>
  <CellAddress r="E80" i="OF"/>
  <CellAddress r="E63" i="OF"/>
  <CellAddress r="F36" i="OF"/>
  <CellAddress r="E65" i="OF"/>
  <CellAddress r="E34" i="OF"/>
  <CellAddress r="D63" i="OF"/>
  <CellAddress r="D64" i="OF"/>
  <CellAddress r="D34" i="OF"/>
  <CellAddress r="C63" i="OF"/>
  <CellAddress r="D36" i="OF"/>
  <CellAddress r="C34" i="OF"/>
  <CellAddress r="C65" i="OF"/>
  <CellAddress r="A31" i="OF"/>
  <CellAddress r="A60" i="OF"/>
  <CellAddress r="G25" i="OF"/>
  <CellAddress r="F25" i="OF"/>
  <CellAddress r="E25" i="OF"/>
  <CellAddress r="G56" i="OF"/>
  <CellAddress r="D25" i="OF"/>
  <CellAddress r="F56" i="OF"/>
  <CellAddress r="C25" i="OF"/>
  <CellAddress r="E56" i="OF"/>
  <CellAddress r="D56" i="OF"/>
  <CellAddress r="B25" i="OF"/>
  <CellAddress r="C56" i="OF"/>
  <CellAddress r="B20" i="OF"/>
  <CellAddress r="G51" i="OF"/>
  <CellAddress r="B22" i="OF"/>
  <CellAddress r="F51" i="OF"/>
  <CellAddress r="G19" i="OF"/>
  <CellAddress r="F19" i="OF"/>
  <CellAddress r="F52" i="OF"/>
  <CellAddress r="E19" i="OF"/>
  <CellAddress r="D19" i="OF"/>
  <CellAddress r="E51" i="OF"/>
  <CellAddress r="C19" i="OF"/>
  <CellAddress r="D51" i="OF"/>
  <CellAddress r="B19" i="OF"/>
  <CellAddress r="D52" i="OF"/>
  <CellAddress r="A17" i="OF"/>
  <CellAddress r="G13" i="OF"/>
  <CellAddress r="C51" i="OF"/>
  <CellAddress r="F13" i="OF"/>
  <CellAddress r="E13" i="OF"/>
  <CellAddress r="A48" i="OF"/>
  <CellAddress r="G39" i="OF"/>
  <CellAddress r="F39" i="OF"/>
  <CellAddress r="E39" i="OF"/>
  <CellAddress r="D39" i="OF"/>
  <CellAddress r="D13" i="OF"/>
  <CellAddress r="G34" i="OF"/>
  <CellAddress r="C13" i="OF"/>
  <CellAddress r="F34" i="OF"/>
  <CellAddress r="B8" i="OF"/>
  <CellAddress r="E88" i="OF"/>
  <CellAddress r="F10" i="OF"/>
  <CellAddress r="F53" i="OF"/>
  <CellAddress r="G7" i="OF"/>
  <CellAddress r="F7" i="OF"/>
  <CellAddress r="G77" i="OF"/>
  <CellAddress r="E7" i="OF"/>
  <CellAddress r="D7" i="OF"/>
  <CellAddress r="F35" i="OF"/>
  <CellAddress r="C7" i="OF"/>
  <CellAddress r="F88" i="OF"/>
  <CellAddress r="B7" i="OF"/>
  <CellAddress r="D35" i="OF"/>
  <CellAddress r="E64" i="OF"/>
  <CellAddress r="D88" i="OF"/>
  <CellAddress r="E35" i="OF"/>
  <CellAddress r="D53" i="OF"/>
  <CellAddress r="C64" i="OF"/>
  <CellAddress r="G36" i="OF"/>
  <CellAddress r="C35" i="OF"/>
  <CellAddress r="D65" i="OF"/>
  <CellAddress r="C36" i="OF"/>
  <CellAddress r="D66" i="OF"/>
  <CellAddress r="C88" i="OF"/>
  <CellAddress r="D67" i="OF"/>
  <CellAddress r="C77" i="OF"/>
  <CellAddress r="C8" i="OF"/>
  <CellAddress r="D69" i="OF"/>
  <CellAddress r="D20" i="OF"/>
  <CellAddress r="E77" i="OF"/>
  <CellAddress r="E8" i="OF"/>
  <CellAddress r="B21" i="OF"/>
  <CellAddress r="F65" i="OF"/>
  <CellAddress r="B9" i="OF"/>
  <CellAddress r="E36" i="OF"/>
  <CellAddress r="F21" i="OF"/>
  <CellAddress r="G35" i="OF"/>
  <CellAddress r="E9" i="OF"/>
  <CellAddress r="G88" i="OF"/>
  <CellAddress r="C22" i="OF"/>
  <CellAddress r="G89" i="OF"/>
  <CellAddress r="D10" i="OF"/>
  <CellAddress r="G64" i="OF"/>
  <CellAddress r="G10" i="OF"/>
  <CellAddress r="D8" i="OF"/>
  <CellAddress r="G53" i="OF"/>
  <CellAddress r="G20" i="OF"/>
  <CellAddress r="G52" i="OF"/>
  <CellAddress r="F9" i="OF"/>
  <CellAddress r="C21" i="OF"/>
  <CellAddress r="D22" i="OF"/>
  <CellAddress r="E22" i="OF"/>
  <CellAddress r="G9" i="OF"/>
  <CellAddress r="D78" i="OF"/>
  <CellAddress r="E53" i="OF"/>
  <CellAddress r="D79" i="OF"/>
  <CellAddress r="E52" i="OF"/>
  <CellAddress r="D81" i="OF"/>
  <CellAddress r="C53" i="OF"/>
  <CellAddress r="F8" i="OF"/>
  <CellAddress r="C52" i="OF"/>
  <CellAddress r="B10" i="OF"/>
  <CellAddress r="D21" i="OF"/>
  <CellAddress r="F22" i="OF"/>
  <CellAddress r="E69" i="OF"/>
  <CellAddress r="E37" i="OF"/>
  <CellAddress r="E38" i="OF"/>
  <CellAddress r="E40" i="OF"/>
  <CellAddress r="D76" i="OF"/>
  <CellAddress r="C37" i="OF"/>
  <CellAddress r="D37" i="OF"/>
  <CellAddress r="D90" i="OF"/>
  <CellAddress r="F76" i="OF"/>
  <CellAddress r="F90" i="OF"/>
  <CellAddress r="G8" i="OF"/>
  <CellAddress r="F91" i="OF"/>
  <CellAddress r="C10" i="OF"/>
  <CellAddress r="F93" i="OF"/>
  <CellAddress r="C20" i="OF"/>
  <CellAddress r="G90" i="OF"/>
  <CellAddress r="G79" i="OF"/>
  <CellAddress r="E21" i="OF"/>
  <CellAddress r="G22" i="OF"/>
  <CellAddress r="G81" i="OF"/>
  <CellAddress r="C66" i="OF"/>
  <CellAddress r="G66" i="OF"/>
  <CellAddress r="G67" i="OF"/>
  <CellAddress r="G69" i="OF"/>
  <CellAddress r="G21" i="OF"/>
  <CellAddress r="E90" i="OF"/>
  <CellAddress r="E91" i="OF"/>
  <CellAddress r="E93" i="OF"/>
  <CellAddress r="C8" i="MU Linearity"/>
  <CellAddress r="C67" i="OF"/>
  <CellAddress r="E9" i="MU Linearity"/>
  <CellAddress r="C69" i="OF"/>
  <CellAddress r="F66" i="OF"/>
  <CellAddress r="F55" i="OF"/>
  <CellAddress r="F67" i="OF"/>
  <CellAddress r="F57" i="OF"/>
  <CellAddress r="F69" i="OF"/>
  <CellAddress r="G91" i="OF"/>
  <CellAddress r="F54" i="OF"/>
  <CellAddress r="G93" i="OF"/>
  <CellAddress r="F37" i="OF"/>
  <CellAddress r="C90" i="OF"/>
  <CellAddress r="F78" i="OF"/>
  <CellAddress r="C78" i="OF"/>
  <CellAddress r="F79" i="OF"/>
  <CellAddress r="C79" i="OF"/>
  <CellAddress r="F81" i="OF"/>
  <CellAddress r="D54" i="OF"/>
  <CellAddress r="D55" i="OF"/>
  <CellAddress r="D57" i="OF"/>
  <CellAddress r="F23" i="OF"/>
  <CellAddress r="D23" i="OF"/>
  <CellAddress r="G23" i="OF"/>
  <CellAddress r="B23" i="OF"/>
  <CellAddress r="C11" i="OF"/>
  <CellAddress r="C12" i="OF"/>
  <CellAddress r="C14" i="OF"/>
  <CellAddress r="G11" i="OF"/>
  <CellAddress r="D11" i="OF"/>
  <CellAddress r="B11" i="OF"/>
  <CellAddress r="E78" i="OF"/>
  <CellAddress r="E23" i="OF"/>
  <CellAddress r="E11" i="OF"/>
  <CellAddress r="C81" i="OF"/>
  <CellAddress r="F11" i="OF"/>
  <CellAddress r="F38" i="OF"/>
  <CellAddress r="F40" i="OF"/>
  <CellAddress r="C54" i="OF"/>
  <CellAddress r="C55" i="OF"/>
  <CellAddress r="C57" i="OF"/>
  <CellAddress r="D38" i="OF"/>
  <CellAddress r="D40" i="OF"/>
  <CellAddress r="G54" i="OF"/>
  <CellAddress r="E79" i="OF"/>
  <CellAddress r="D91" i="OF"/>
  <CellAddress r="D93" i="OF"/>
  <CellAddress r="C91" i="OF"/>
  <CellAddress r="C93" i="OF"/>
  <CellAddress r="E81" i="OF"/>
  <CellAddress r="C23" i="OF"/>
  <CellAddress r="G78" i="OF"/>
  <CellAddress r="C24" i="OF"/>
  <CellAddress r="C9" i="OF"/>
  <CellAddress r="C26" i="OF"/>
  <CellAddress r="E54" i="OF"/>
  <CellAddress r="E55" i="OF"/>
  <CellAddress r="E10" i="OF"/>
  <CellAddress r="E57" i="OF"/>
  <CellAddress r="E20" i="OF"/>
  <CellAddress r="G38" i="OF"/>
  <CellAddress r="D9" i="OF"/>
  <CellAddress r="G40" i="OF"/>
  <CellAddress r="F20" i="OF"/>
  <CellAddress r="G37" i="OF"/>
  <CellAddress r="E66" i="OF"/>
  <CellAddress r="E67" i="OF"/>
  <CellAddress r="H69" i="OF"/>
  <CellAddress r="G55" i="OF"/>
  <CellAddress r="G57" i="OF"/>
  <CellAddress r="H57" i="OF"/>
  <CellAddress r="C38" i="OF"/>
  <CellAddress r="C40" i="OF"/>
  <CellAddress r="F12" i="OF"/>
  <CellAddress r="F14" i="OF"/>
  <CellAddress r="H81" i="OF"/>
  <CellAddress r="H93" i="OF"/>
  <CellAddress r="D12" i="OF"/>
  <CellAddress r="D14" i="OF"/>
  <CellAddress r="G12" i="OF"/>
  <CellAddress r="G14" i="OF"/>
  <CellAddress r="B12" i="OF"/>
  <CellAddress r="B14" i="OF"/>
  <CellAddress r="E12" i="OF"/>
  <CellAddress r="E14" i="OF"/>
  <CellAddress r="B24" i="OF"/>
  <CellAddress r="B26" i="OF"/>
  <CellAddress r="D24" i="OF"/>
  <CellAddress r="D26" i="OF"/>
  <CellAddress r="E24" i="OF"/>
  <CellAddress r="E26" i="OF"/>
  <CellAddress r="F24" i="OF"/>
  <CellAddress r="F26" i="OF"/>
  <CellAddress r="G24" i="OF"/>
  <CellAddress r="G26" i="OF"/>
  <CellAddress r="H40" i="OF"/>
  <CellAddress r="H14" i="OF"/>
  <CellAddress r="H26" i="OF"/>
</FormulaCells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Essential XlsIO</Application>
  <Company>Hewlett-Packard Company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aria</dc:creator>
  <cp:lastModifiedBy>Rex Cardan</cp:lastModifiedBy>
  <dcterms:created xsi:type="dcterms:W3CDTF">2017-04-26T16:21:10Z</dcterms:created>
  <dcterms:modified xsi:type="dcterms:W3CDTF">2017-04-28T19:33:35Z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