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cardan\OneDrive\Cardan.Code\Git\Autodrive\TaskWorksheets\"/>
    </mc:Choice>
  </mc:AlternateContent>
  <bookViews>
    <workbookView xWindow="390" yWindow="45" windowWidth="13380" windowHeight="7155"/>
  </bookViews>
  <sheets>
    <sheet name="Autodrive" sheetId="1" r:id="rId1"/>
    <sheet name="OF" sheetId="2" r:id="rId2"/>
    <sheet name="Wedge Factors" sheetId="3" r:id="rId3"/>
    <sheet name="MU Linearity" sheetId="4" r:id="rId4"/>
    <sheet name="Accelerator Details" sheetId="5" r:id="rId5"/>
  </sheets>
  <definedNames>
    <definedName name="A10E1OF">Autodrive!$L$65:$N$65</definedName>
    <definedName name="A10E2OF">Autodrive!$L$66:$N$66</definedName>
    <definedName name="A10E3OF">Autodrive!$L$67:$N$67</definedName>
    <definedName name="A10E4OF">Autodrive!$L$68:$N$68</definedName>
    <definedName name="A10E5OF">Autodrive!$L$69:$N$69</definedName>
    <definedName name="A15E1OF">Autodrive!$L$70:$N$70</definedName>
    <definedName name="A15E2OF">Autodrive!$L$71:$N$71</definedName>
    <definedName name="A15E3OF">Autodrive!$L$72:$N$72</definedName>
    <definedName name="A15E4OF">Autodrive!$L$73:$N$73</definedName>
    <definedName name="A15E5OF">Autodrive!$L$74:$N$74</definedName>
    <definedName name="A20E1OF">Autodrive!$L$75:$N$75</definedName>
    <definedName name="A20E2OF">Autodrive!$L$61:$N$76</definedName>
    <definedName name="A20E3OF">Autodrive!$L$77:$N$77</definedName>
    <definedName name="A20E4OF">Autodrive!$L$78:$N$78</definedName>
    <definedName name="A20E5OF">Autodrive!$L$79:$N$79</definedName>
    <definedName name="A25E1OF">Autodrive!$L$80:$N$80</definedName>
    <definedName name="A25E2OF">Autodrive!$L$81:$N$81</definedName>
    <definedName name="A25E3OF">Autodrive!$L$82:$N$82</definedName>
    <definedName name="A25E4OF">Autodrive!$L$83:$N$83</definedName>
    <definedName name="A25E5OF">Autodrive!$L$84:$N$84</definedName>
    <definedName name="A6E1OF">Autodrive!$L$60:$N$60</definedName>
    <definedName name="A6E2OF">Autodrive!$L$61:$N$61</definedName>
    <definedName name="A6E3OF">Autodrive!$L$62:$N$62</definedName>
    <definedName name="A6E4OF">Autodrive!$L$63:$N$63</definedName>
    <definedName name="A6E5OF">Autodrive!$L$64:$N$64</definedName>
    <definedName name="BLANK">'Accelerator Details'!$A$182</definedName>
    <definedName name="Elec1">'Accelerator Details'!$A$29</definedName>
    <definedName name="Elec1_10x10">'Accelerator Details'!$E$29</definedName>
    <definedName name="Elec1_15x15">'Accelerator Details'!$F$29</definedName>
    <definedName name="Elec1_20x20">'Accelerator Details'!$G$29</definedName>
    <definedName name="Elec1_25x25">'Accelerator Details'!$H$29</definedName>
    <definedName name="Elec1_6x6">'Accelerator Details'!$D$29</definedName>
    <definedName name="Elec2">'Accelerator Details'!$A$30</definedName>
    <definedName name="Elec2_10x10">'Accelerator Details'!$E$30</definedName>
    <definedName name="Elec2_15x15">'Accelerator Details'!$F$30</definedName>
    <definedName name="Elec2_20x20">'Accelerator Details'!$G$30</definedName>
    <definedName name="Elec2_25x25">'Accelerator Details'!$H$30</definedName>
    <definedName name="Elec2_6x6">'Accelerator Details'!$D$30</definedName>
    <definedName name="Elec3">'Accelerator Details'!$A$31</definedName>
    <definedName name="Elec3_10x10">'Accelerator Details'!$E$31</definedName>
    <definedName name="Elec3_15x15">'Accelerator Details'!$F$31</definedName>
    <definedName name="Elec3_20x20">'Accelerator Details'!$G$31</definedName>
    <definedName name="Elec3_25x25">'Accelerator Details'!$H$31</definedName>
    <definedName name="Elec3_6x6">'Accelerator Details'!$D$31</definedName>
    <definedName name="Elec4">'Accelerator Details'!$A$32</definedName>
    <definedName name="Elec4_10x10">'Accelerator Details'!$E$32</definedName>
    <definedName name="Elec4_15x15">'Accelerator Details'!$F$32</definedName>
    <definedName name="Elec4_20x20">'Accelerator Details'!$G$32</definedName>
    <definedName name="Elec4_25x25">'Accelerator Details'!$H$32</definedName>
    <definedName name="Elec4_6x6">'Accelerator Details'!$D$32</definedName>
    <definedName name="Elec5">'Accelerator Details'!$A$33</definedName>
    <definedName name="Elec5_10x10">'Accelerator Details'!$E$33</definedName>
    <definedName name="Elec5_15x15">'Accelerator Details'!$F$33</definedName>
    <definedName name="Elec5_20x20">'Accelerator Details'!$G$33</definedName>
    <definedName name="Elec5_25x25">'Accelerator Details'!$H$33</definedName>
    <definedName name="Elec5_6x6">'Accelerator Details'!$D$33</definedName>
    <definedName name="HighX">'Accelerator Details'!$A$6</definedName>
    <definedName name="HighX_10EDW">'Accelerator Details'!$A$10</definedName>
    <definedName name="HighX_10x10">'Accelerator Details'!$C$14</definedName>
    <definedName name="HighX_15EDW">'Accelerator Details'!$B$10</definedName>
    <definedName name="HighX_15x15">'Accelerator Details'!$D$14</definedName>
    <definedName name="HighX_20EDW">'Accelerator Details'!$C$10</definedName>
    <definedName name="HighX_20x20">'Accelerator Details'!$E$14</definedName>
    <definedName name="HighX_25EDW">'Accelerator Details'!$D$10</definedName>
    <definedName name="HighX_25x25">'Accelerator Details'!$F$14</definedName>
    <definedName name="HighX_30EDW">'Accelerator Details'!$E$10</definedName>
    <definedName name="HighX_30x30">'Accelerator Details'!$G$14</definedName>
    <definedName name="HighX_40x40">'Accelerator Details'!$H$14</definedName>
    <definedName name="HighX_45EDW">'Accelerator Details'!$F$10</definedName>
    <definedName name="HighX_4x4">'Accelerator Details'!$A$14</definedName>
    <definedName name="HighX_5x5">'Accelerator Details'!$B$14</definedName>
    <definedName name="HighX_60EDW">'Accelerator Details'!$G$10</definedName>
    <definedName name="HighX_dmax">'Accelerator Details'!$C$6</definedName>
    <definedName name="LowX">'Accelerator Details'!$A$5</definedName>
    <definedName name="LowX_10EDW">'Accelerator Details'!$A$9</definedName>
    <definedName name="LowX_10x10">'Accelerator Details'!$C$13</definedName>
    <definedName name="LowX_15EDW">'Accelerator Details'!$B$9</definedName>
    <definedName name="LowX_15x15">'Accelerator Details'!$D$13</definedName>
    <definedName name="LowX_20EDW">'Accelerator Details'!$C$9</definedName>
    <definedName name="LowX_20x20">'Accelerator Details'!$E$13</definedName>
    <definedName name="LowX_25EDW">'Accelerator Details'!$D$9</definedName>
    <definedName name="LowX_25x25">'Accelerator Details'!$F$13</definedName>
    <definedName name="LowX_30EDW">'Accelerator Details'!$E$9</definedName>
    <definedName name="LowX_30x30">'Accelerator Details'!$G$13</definedName>
    <definedName name="LowX_40x40">'Accelerator Details'!$H$13</definedName>
    <definedName name="LowX_45EDW">'Accelerator Details'!$F$9</definedName>
    <definedName name="LowX_4x4">'Accelerator Details'!$A$13</definedName>
    <definedName name="LowX_5x5">'Accelerator Details'!$B$13</definedName>
    <definedName name="LowX_60EDW">'Accelerator Details'!$G$9</definedName>
    <definedName name="LowX_dmax">'Accelerator Details'!$C$5</definedName>
    <definedName name="X1EDW">Autodrive!$L$16:$N$30</definedName>
    <definedName name="X1MULIN">Autodrive!$L$47:$N$52</definedName>
    <definedName name="X1OF">Autodrive!$L$3:$N$8</definedName>
    <definedName name="X2EDW">Autodrive!$L$31:$N$45</definedName>
    <definedName name="X2MULIN">Autodrive!$L$53:$N$58</definedName>
    <definedName name="X2OF">Autodrive!$L$9:$N$14</definedName>
  </definedNames>
  <calcPr calcId="162913"/>
</workbook>
</file>

<file path=xl/calcChain.xml><?xml version="1.0" encoding="utf-8"?>
<calcChain xmlns="http://schemas.openxmlformats.org/spreadsheetml/2006/main">
  <c r="C39" i="2" l="1"/>
  <c r="B13" i="2"/>
  <c r="B182" i="5"/>
  <c r="F35" i="5"/>
  <c r="E35" i="5"/>
  <c r="D35" i="5"/>
  <c r="C35" i="5"/>
  <c r="B35" i="5"/>
  <c r="A20" i="5"/>
  <c r="A15" i="5"/>
  <c r="A5" i="2"/>
  <c r="A4" i="2"/>
  <c r="A16" i="2"/>
  <c r="B18" i="4" l="1" a="1"/>
  <c r="D20" i="4" s="1"/>
  <c r="A15" i="4"/>
  <c r="A14" i="4"/>
  <c r="B8" i="4" a="1"/>
  <c r="F10" i="4" s="1"/>
  <c r="A5" i="4"/>
  <c r="A4" i="4"/>
  <c r="I23" i="3"/>
  <c r="H23" i="3"/>
  <c r="G23" i="3"/>
  <c r="F23" i="3"/>
  <c r="E23" i="3"/>
  <c r="D23" i="3"/>
  <c r="C23" i="3"/>
  <c r="I20" i="3"/>
  <c r="H20" i="3"/>
  <c r="G20" i="3"/>
  <c r="F20" i="3"/>
  <c r="E20" i="3"/>
  <c r="D20" i="3"/>
  <c r="C20" i="3"/>
  <c r="I19" i="3"/>
  <c r="H19" i="3"/>
  <c r="G19" i="3"/>
  <c r="F19" i="3"/>
  <c r="E19" i="3"/>
  <c r="D19" i="3"/>
  <c r="C19" i="3"/>
  <c r="B19" i="3"/>
  <c r="B21" i="3" s="1"/>
  <c r="A16" i="3"/>
  <c r="A15" i="3"/>
  <c r="I12" i="3"/>
  <c r="H12" i="3"/>
  <c r="G12" i="3"/>
  <c r="F12" i="3"/>
  <c r="E12" i="3"/>
  <c r="D12" i="3"/>
  <c r="C12" i="3"/>
  <c r="B10" i="3"/>
  <c r="I9" i="3"/>
  <c r="H9" i="3"/>
  <c r="G9" i="3"/>
  <c r="F9" i="3"/>
  <c r="E9" i="3"/>
  <c r="D9" i="3"/>
  <c r="C9" i="3"/>
  <c r="I8" i="3"/>
  <c r="H8" i="3"/>
  <c r="G8" i="3"/>
  <c r="F8" i="3"/>
  <c r="E8" i="3"/>
  <c r="D8" i="3"/>
  <c r="C8" i="3"/>
  <c r="B8" i="3"/>
  <c r="A5" i="3"/>
  <c r="A4" i="3"/>
  <c r="H10" i="3" l="1"/>
  <c r="F21" i="3"/>
  <c r="D10" i="3"/>
  <c r="C21" i="3"/>
  <c r="C22" i="3" s="1"/>
  <c r="C24" i="3" s="1"/>
  <c r="F10" i="3"/>
  <c r="F11" i="3" s="1"/>
  <c r="F13" i="3" s="1"/>
  <c r="C19" i="4"/>
  <c r="E20" i="4"/>
  <c r="D8" i="4"/>
  <c r="F9" i="4"/>
  <c r="B18" i="4"/>
  <c r="D19" i="4"/>
  <c r="F20" i="4"/>
  <c r="E8" i="4"/>
  <c r="G9" i="4"/>
  <c r="C18" i="4"/>
  <c r="E19" i="4"/>
  <c r="G20" i="4"/>
  <c r="F8" i="4"/>
  <c r="B10" i="4"/>
  <c r="D18" i="4"/>
  <c r="F19" i="4"/>
  <c r="G8" i="4"/>
  <c r="C10" i="4"/>
  <c r="E18" i="4"/>
  <c r="E21" i="4" s="1"/>
  <c r="E22" i="4" s="1"/>
  <c r="G19" i="4"/>
  <c r="C8" i="4"/>
  <c r="E9" i="4"/>
  <c r="G10" i="4"/>
  <c r="B9" i="4"/>
  <c r="D10" i="4"/>
  <c r="F18" i="4"/>
  <c r="B20" i="4"/>
  <c r="C9" i="4"/>
  <c r="E10" i="4"/>
  <c r="G18" i="4"/>
  <c r="C20" i="4"/>
  <c r="B8" i="4"/>
  <c r="B11" i="4" s="1"/>
  <c r="D9" i="4"/>
  <c r="B19" i="4"/>
  <c r="I21" i="3"/>
  <c r="I22" i="3" s="1"/>
  <c r="I24" i="3" s="1"/>
  <c r="E10" i="3"/>
  <c r="E11" i="3" s="1"/>
  <c r="E13" i="3" s="1"/>
  <c r="D21" i="3"/>
  <c r="D22" i="3" s="1"/>
  <c r="D24" i="3" s="1"/>
  <c r="E21" i="3"/>
  <c r="E22" i="3" s="1"/>
  <c r="E24" i="3" s="1"/>
  <c r="C10" i="3"/>
  <c r="C11" i="3" s="1"/>
  <c r="C13" i="3" s="1"/>
  <c r="G10" i="3"/>
  <c r="G11" i="3" s="1"/>
  <c r="G13" i="3" s="1"/>
  <c r="D11" i="3"/>
  <c r="D13" i="3" s="1"/>
  <c r="H11" i="3"/>
  <c r="H13" i="3" s="1"/>
  <c r="F22" i="3"/>
  <c r="F24" i="3" s="1"/>
  <c r="I10" i="3"/>
  <c r="I11" i="3" s="1"/>
  <c r="I13" i="3" s="1"/>
  <c r="G21" i="3"/>
  <c r="G22" i="3" s="1"/>
  <c r="G24" i="3" s="1"/>
  <c r="H21" i="3"/>
  <c r="H22" i="3" s="1"/>
  <c r="H24" i="3" s="1"/>
  <c r="D21" i="4" l="1"/>
  <c r="D22" i="4" s="1"/>
  <c r="C11" i="4"/>
  <c r="F11" i="4"/>
  <c r="E11" i="4"/>
  <c r="E12" i="4" s="1"/>
  <c r="G21" i="4"/>
  <c r="G22" i="4" s="1"/>
  <c r="J13" i="3"/>
  <c r="D11" i="4"/>
  <c r="B21" i="4"/>
  <c r="B22" i="4" s="1"/>
  <c r="F21" i="4"/>
  <c r="F22" i="4" s="1"/>
  <c r="C21" i="4"/>
  <c r="C22" i="4" s="1"/>
  <c r="G11" i="4"/>
  <c r="J24" i="3"/>
  <c r="G12" i="4" l="1"/>
  <c r="F12" i="4"/>
  <c r="C12" i="4"/>
  <c r="D12" i="4"/>
  <c r="B12" i="4"/>
  <c r="H22" i="4"/>
  <c r="H12" i="4" l="1"/>
  <c r="G92" i="2" l="1"/>
  <c r="F92" i="2"/>
  <c r="E92" i="2"/>
  <c r="D92" i="2"/>
  <c r="C92" i="2"/>
  <c r="G87" i="2" a="1"/>
  <c r="G87" i="2" s="1"/>
  <c r="F87" i="2" a="1"/>
  <c r="F89" i="2" s="1"/>
  <c r="E87" i="2" a="1"/>
  <c r="E89" i="2" s="1"/>
  <c r="D87" i="2" a="1"/>
  <c r="D89" i="2" s="1"/>
  <c r="C87" i="2" a="1"/>
  <c r="C89" i="2" s="1"/>
  <c r="A84" i="2"/>
  <c r="G80" i="2"/>
  <c r="F80" i="2"/>
  <c r="E80" i="2"/>
  <c r="D80" i="2"/>
  <c r="C80" i="2"/>
  <c r="G75" i="2" a="1"/>
  <c r="G76" i="2" s="1"/>
  <c r="F75" i="2" a="1"/>
  <c r="F77" i="2" s="1"/>
  <c r="E75" i="2" a="1"/>
  <c r="E76" i="2" s="1"/>
  <c r="D75" i="2" a="1"/>
  <c r="D77" i="2" s="1"/>
  <c r="C75" i="2" a="1"/>
  <c r="C76" i="2" s="1"/>
  <c r="A72" i="2"/>
  <c r="G68" i="2"/>
  <c r="F68" i="2"/>
  <c r="E68" i="2"/>
  <c r="D68" i="2"/>
  <c r="C68" i="2"/>
  <c r="G63" i="2" a="1"/>
  <c r="G65" i="2" s="1"/>
  <c r="F63" i="2" a="1"/>
  <c r="F64" i="2" s="1"/>
  <c r="E63" i="2" a="1"/>
  <c r="E65" i="2" s="1"/>
  <c r="D63" i="2" a="1"/>
  <c r="D64" i="2" s="1"/>
  <c r="C63" i="2" a="1"/>
  <c r="C65" i="2" s="1"/>
  <c r="A60" i="2"/>
  <c r="G56" i="2"/>
  <c r="F56" i="2"/>
  <c r="E56" i="2"/>
  <c r="D56" i="2"/>
  <c r="C56" i="2"/>
  <c r="G51" i="2" a="1"/>
  <c r="F51" i="2" a="1"/>
  <c r="F52" i="2" s="1"/>
  <c r="E51" i="2" a="1"/>
  <c r="D51" i="2" a="1"/>
  <c r="D52" i="2" s="1"/>
  <c r="C51" i="2" a="1"/>
  <c r="A48" i="2"/>
  <c r="G39" i="2"/>
  <c r="F39" i="2"/>
  <c r="E39" i="2"/>
  <c r="D39" i="2"/>
  <c r="G34" i="2" a="1"/>
  <c r="G34" i="2" s="1"/>
  <c r="F34" i="2" a="1"/>
  <c r="F36" i="2" s="1"/>
  <c r="E34" i="2" a="1"/>
  <c r="E34" i="2" s="1"/>
  <c r="D34" i="2" a="1"/>
  <c r="D36" i="2" s="1"/>
  <c r="C34" i="2" a="1"/>
  <c r="C34" i="2" s="1"/>
  <c r="A31" i="2"/>
  <c r="G25" i="2"/>
  <c r="F25" i="2"/>
  <c r="E25" i="2"/>
  <c r="D25" i="2"/>
  <c r="C25" i="2"/>
  <c r="B25" i="2"/>
  <c r="B20" i="2" a="1"/>
  <c r="B22" i="2" s="1"/>
  <c r="G19" i="2"/>
  <c r="F19" i="2"/>
  <c r="E19" i="2"/>
  <c r="D19" i="2"/>
  <c r="C19" i="2"/>
  <c r="B19" i="2"/>
  <c r="A17" i="2"/>
  <c r="G13" i="2"/>
  <c r="F13" i="2"/>
  <c r="E13" i="2"/>
  <c r="D13" i="2"/>
  <c r="C13" i="2"/>
  <c r="B8" i="2" a="1"/>
  <c r="F10" i="2" s="1"/>
  <c r="G7" i="2"/>
  <c r="F7" i="2"/>
  <c r="E7" i="2"/>
  <c r="D7" i="2"/>
  <c r="C7" i="2"/>
  <c r="B7" i="2"/>
  <c r="E64" i="2" l="1"/>
  <c r="E35" i="2"/>
  <c r="G36" i="2"/>
  <c r="D63" i="2"/>
  <c r="D65" i="2"/>
  <c r="D66" i="2" s="1"/>
  <c r="D67" i="2" s="1"/>
  <c r="D69" i="2" s="1"/>
  <c r="E77" i="2"/>
  <c r="F65" i="2"/>
  <c r="E36" i="2"/>
  <c r="G35" i="2"/>
  <c r="F63" i="2"/>
  <c r="G88" i="2"/>
  <c r="E87" i="2"/>
  <c r="G89" i="2"/>
  <c r="G64" i="2"/>
  <c r="E88" i="2"/>
  <c r="F53" i="2"/>
  <c r="G77" i="2"/>
  <c r="F35" i="2"/>
  <c r="F88" i="2"/>
  <c r="D35" i="2"/>
  <c r="D88" i="2"/>
  <c r="D53" i="2"/>
  <c r="C64" i="2"/>
  <c r="C35" i="2"/>
  <c r="C36" i="2"/>
  <c r="C87" i="2"/>
  <c r="C88" i="2"/>
  <c r="C77" i="2"/>
  <c r="C8" i="2"/>
  <c r="D20" i="2"/>
  <c r="E8" i="2"/>
  <c r="B21" i="2"/>
  <c r="B9" i="2"/>
  <c r="F21" i="2"/>
  <c r="E9" i="2"/>
  <c r="C22" i="2"/>
  <c r="D10" i="2"/>
  <c r="G10" i="2"/>
  <c r="D8" i="2"/>
  <c r="G20" i="2"/>
  <c r="F9" i="2"/>
  <c r="D22" i="2"/>
  <c r="G9" i="2"/>
  <c r="E53" i="2"/>
  <c r="E52" i="2"/>
  <c r="E51" i="2"/>
  <c r="C53" i="2"/>
  <c r="C52" i="2"/>
  <c r="C51" i="2"/>
  <c r="G53" i="2"/>
  <c r="G52" i="2"/>
  <c r="G51" i="2"/>
  <c r="C21" i="2"/>
  <c r="E22" i="2"/>
  <c r="D75" i="2"/>
  <c r="D78" i="2" s="1"/>
  <c r="D79" i="2" s="1"/>
  <c r="D81" i="2" s="1"/>
  <c r="F75" i="2"/>
  <c r="F8" i="2"/>
  <c r="B10" i="2"/>
  <c r="B20" i="2"/>
  <c r="D21" i="2"/>
  <c r="F22" i="2"/>
  <c r="D76" i="2"/>
  <c r="F76" i="2"/>
  <c r="G8" i="2"/>
  <c r="C10" i="2"/>
  <c r="C20" i="2"/>
  <c r="E21" i="2"/>
  <c r="G22" i="2"/>
  <c r="D34" i="2"/>
  <c r="F34" i="2"/>
  <c r="C63" i="2"/>
  <c r="C66" i="2" s="1"/>
  <c r="E63" i="2"/>
  <c r="G63" i="2"/>
  <c r="D87" i="2"/>
  <c r="F87" i="2"/>
  <c r="G21" i="2"/>
  <c r="D51" i="2"/>
  <c r="F51" i="2"/>
  <c r="C75" i="2"/>
  <c r="E75" i="2"/>
  <c r="E78" i="2" s="1"/>
  <c r="E79" i="2" s="1"/>
  <c r="E81" i="2" s="1"/>
  <c r="G75" i="2"/>
  <c r="G78" i="2" s="1"/>
  <c r="C9" i="2"/>
  <c r="E10" i="2"/>
  <c r="E20" i="2"/>
  <c r="B8" i="2"/>
  <c r="D9" i="2"/>
  <c r="F20" i="2"/>
  <c r="G37" i="2" l="1"/>
  <c r="E66" i="2"/>
  <c r="E67" i="2" s="1"/>
  <c r="E69" i="2" s="1"/>
  <c r="E37" i="2"/>
  <c r="E38" i="2" s="1"/>
  <c r="E40" i="2" s="1"/>
  <c r="C37" i="2"/>
  <c r="D37" i="2"/>
  <c r="D90" i="2"/>
  <c r="F90" i="2"/>
  <c r="F91" i="2" s="1"/>
  <c r="F93" i="2" s="1"/>
  <c r="G90" i="2"/>
  <c r="G79" i="2"/>
  <c r="G81" i="2" s="1"/>
  <c r="G66" i="2"/>
  <c r="G67" i="2" s="1"/>
  <c r="G69" i="2" s="1"/>
  <c r="E90" i="2"/>
  <c r="E91" i="2" s="1"/>
  <c r="E93" i="2" s="1"/>
  <c r="C67" i="2"/>
  <c r="C69" i="2" s="1"/>
  <c r="F66" i="2"/>
  <c r="F67" i="2" s="1"/>
  <c r="F69" i="2" s="1"/>
  <c r="F54" i="2"/>
  <c r="F37" i="2"/>
  <c r="F78" i="2"/>
  <c r="F79" i="2" s="1"/>
  <c r="F81" i="2" s="1"/>
  <c r="D54" i="2"/>
  <c r="D55" i="2" s="1"/>
  <c r="D57" i="2" s="1"/>
  <c r="F55" i="2"/>
  <c r="F57" i="2" s="1"/>
  <c r="G91" i="2"/>
  <c r="G93" i="2" s="1"/>
  <c r="C90" i="2"/>
  <c r="C78" i="2"/>
  <c r="C79" i="2" s="1"/>
  <c r="C81" i="2" s="1"/>
  <c r="F23" i="2"/>
  <c r="D23" i="2"/>
  <c r="G23" i="2"/>
  <c r="B23" i="2"/>
  <c r="C11" i="2"/>
  <c r="C12" i="2" s="1"/>
  <c r="C14" i="2" s="1"/>
  <c r="G11" i="2"/>
  <c r="D11" i="2"/>
  <c r="B11" i="2"/>
  <c r="E23" i="2"/>
  <c r="E11" i="2"/>
  <c r="F11" i="2"/>
  <c r="F38" i="2"/>
  <c r="F40" i="2" s="1"/>
  <c r="C54" i="2"/>
  <c r="C55" i="2" s="1"/>
  <c r="C57" i="2" s="1"/>
  <c r="D38" i="2"/>
  <c r="D40" i="2" s="1"/>
  <c r="G54" i="2"/>
  <c r="D91" i="2"/>
  <c r="D93" i="2" s="1"/>
  <c r="C91" i="2"/>
  <c r="C93" i="2" s="1"/>
  <c r="C23" i="2"/>
  <c r="C24" i="2" s="1"/>
  <c r="C26" i="2" s="1"/>
  <c r="E54" i="2"/>
  <c r="E55" i="2" s="1"/>
  <c r="E57" i="2" s="1"/>
  <c r="G38" i="2" l="1"/>
  <c r="G40" i="2" s="1"/>
  <c r="H69" i="2"/>
  <c r="G55" i="2"/>
  <c r="G57" i="2" s="1"/>
  <c r="H57" i="2" s="1"/>
  <c r="C38" i="2"/>
  <c r="C40" i="2" s="1"/>
  <c r="F12" i="2"/>
  <c r="F14" i="2" s="1"/>
  <c r="H81" i="2"/>
  <c r="H93" i="2"/>
  <c r="D12" i="2"/>
  <c r="D14" i="2" s="1"/>
  <c r="G12" i="2"/>
  <c r="G14" i="2" s="1"/>
  <c r="B12" i="2"/>
  <c r="B14" i="2" s="1"/>
  <c r="E12" i="2"/>
  <c r="E14" i="2" s="1"/>
  <c r="B24" i="2"/>
  <c r="B26" i="2" s="1"/>
  <c r="D24" i="2"/>
  <c r="D26" i="2" s="1"/>
  <c r="E24" i="2"/>
  <c r="E26" i="2" s="1"/>
  <c r="F24" i="2"/>
  <c r="F26" i="2" s="1"/>
  <c r="G24" i="2"/>
  <c r="G26" i="2" s="1"/>
  <c r="H40" i="2" l="1"/>
  <c r="H14" i="2"/>
  <c r="H26" i="2"/>
</calcChain>
</file>

<file path=xl/sharedStrings.xml><?xml version="1.0" encoding="utf-8"?>
<sst xmlns="http://schemas.openxmlformats.org/spreadsheetml/2006/main" count="417" uniqueCount="104">
  <si>
    <t>Energy</t>
  </si>
  <si>
    <t>Mode</t>
  </si>
  <si>
    <t>MU</t>
  </si>
  <si>
    <t>Accessory</t>
  </si>
  <si>
    <t>X1</t>
  </si>
  <si>
    <t>X2</t>
  </si>
  <si>
    <t>Y1</t>
  </si>
  <si>
    <t>Y2</t>
  </si>
  <si>
    <t>Rate</t>
  </si>
  <si>
    <t>N</t>
  </si>
  <si>
    <t>M1</t>
  </si>
  <si>
    <t>//Photon Output Factors</t>
  </si>
  <si>
    <t>6X</t>
  </si>
  <si>
    <t>Fixed</t>
  </si>
  <si>
    <t>15X</t>
  </si>
  <si>
    <t>//EDW Output Factors</t>
  </si>
  <si>
    <t>EDW</t>
  </si>
  <si>
    <t>Y1IN10</t>
  </si>
  <si>
    <t>Y2OUT10</t>
  </si>
  <si>
    <t>Y1IN15</t>
  </si>
  <si>
    <t>Y2OUT15</t>
  </si>
  <si>
    <t>Y1IN20</t>
  </si>
  <si>
    <t>Y2OUT20</t>
  </si>
  <si>
    <t>Y1IN25</t>
  </si>
  <si>
    <t>Y2OUT25</t>
  </si>
  <si>
    <t>Y1IN30</t>
  </si>
  <si>
    <t>Y2OUT30</t>
  </si>
  <si>
    <t>Y1IN45</t>
  </si>
  <si>
    <t>Y2OUT45</t>
  </si>
  <si>
    <t>Y1IN60</t>
  </si>
  <si>
    <t>Y2OUT60</t>
  </si>
  <si>
    <t>//MU LINEARITY</t>
  </si>
  <si>
    <t>//Electron Output Factors</t>
  </si>
  <si>
    <t>6E</t>
  </si>
  <si>
    <t>A6</t>
  </si>
  <si>
    <t>9E</t>
  </si>
  <si>
    <t>12E</t>
  </si>
  <si>
    <t>15E</t>
  </si>
  <si>
    <t>18E</t>
  </si>
  <si>
    <t>A10</t>
  </si>
  <si>
    <t>A15</t>
  </si>
  <si>
    <t>A20</t>
  </si>
  <si>
    <t>A25</t>
  </si>
  <si>
    <t>Depth mm</t>
  </si>
  <si>
    <t>Notification</t>
  </si>
  <si>
    <t>Change To A6 Cone</t>
  </si>
  <si>
    <t>Change To A10 Cone</t>
  </si>
  <si>
    <t>Change To A15 Cone</t>
  </si>
  <si>
    <t>Change To A20 Cone</t>
  </si>
  <si>
    <t>Change To A25 Cone</t>
  </si>
  <si>
    <t>OUTPUT FACTORS</t>
  </si>
  <si>
    <t>Photons</t>
  </si>
  <si>
    <t xml:space="preserve">       Field Size</t>
  </si>
  <si>
    <t>OK?</t>
  </si>
  <si>
    <t>Rdg1</t>
  </si>
  <si>
    <t>Rdg2</t>
  </si>
  <si>
    <t>Rdg3</t>
  </si>
  <si>
    <t>Average</t>
  </si>
  <si>
    <t>OF</t>
  </si>
  <si>
    <t>Book OF</t>
  </si>
  <si>
    <t>% Difference</t>
  </si>
  <si>
    <t>Electrons</t>
  </si>
  <si>
    <t>Conditions : Depth = dmax + 0.5rcav</t>
  </si>
  <si>
    <t xml:space="preserve">rcav (mm)= </t>
  </si>
  <si>
    <t>6e</t>
  </si>
  <si>
    <t>6x6</t>
  </si>
  <si>
    <t>10x10</t>
  </si>
  <si>
    <t>15x15</t>
  </si>
  <si>
    <t>20x20</t>
  </si>
  <si>
    <t>25x25</t>
  </si>
  <si>
    <t>Continued On Next Page</t>
  </si>
  <si>
    <t>9e</t>
  </si>
  <si>
    <t>12e</t>
  </si>
  <si>
    <t>15e</t>
  </si>
  <si>
    <t>18e</t>
  </si>
  <si>
    <t>M2</t>
  </si>
  <si>
    <t>M3</t>
  </si>
  <si>
    <t>WEDGE FACTORS</t>
  </si>
  <si>
    <t>EDW Wedges Factors</t>
  </si>
  <si>
    <t xml:space="preserve">     Wedge</t>
  </si>
  <si>
    <t>Open</t>
  </si>
  <si>
    <t>In</t>
  </si>
  <si>
    <t>Out</t>
  </si>
  <si>
    <t>MU LINEARITY</t>
  </si>
  <si>
    <t>% Difference (vs 100 MU)</t>
  </si>
  <si>
    <r>
      <t xml:space="preserve">BOOK VALUES AND </t>
    </r>
    <r>
      <rPr>
        <b/>
        <sz val="22"/>
        <color theme="6"/>
        <rFont val="Cambria"/>
        <family val="2"/>
        <scheme val="major"/>
      </rPr>
      <t>21EX</t>
    </r>
    <r>
      <rPr>
        <b/>
        <sz val="22"/>
        <color theme="1"/>
        <rFont val="Cambria"/>
        <family val="2"/>
        <scheme val="major"/>
      </rPr>
      <t xml:space="preserve"> DETAILS</t>
    </r>
  </si>
  <si>
    <t>PHOTONS</t>
  </si>
  <si>
    <t>Energies</t>
  </si>
  <si>
    <t>dmax (cm)</t>
  </si>
  <si>
    <t>EDW WEDGE FACTORS (10x10, 5cm)</t>
  </si>
  <si>
    <t>4x4</t>
  </si>
  <si>
    <t>5x5</t>
  </si>
  <si>
    <t>30x30</t>
  </si>
  <si>
    <t>40x40</t>
  </si>
  <si>
    <t>Depth</t>
  </si>
  <si>
    <t>ELECTRONS</t>
  </si>
  <si>
    <t>Scan Depth (cm)</t>
  </si>
  <si>
    <t>ELECTRON DEPTH DOSES</t>
  </si>
  <si>
    <t>PDD CONE</t>
  </si>
  <si>
    <t>R100(mm)</t>
  </si>
  <si>
    <t>R90(mm)</t>
  </si>
  <si>
    <t>R80(mm)</t>
  </si>
  <si>
    <t>R50(mm)</t>
  </si>
  <si>
    <t>Rp(mm)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</si>
</sst>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mbria"/>
      <family val="2"/>
      <scheme val="major"/>
    </font>
    <font>
      <b/>
      <sz val="14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22"/>
      <color theme="6"/>
      <name val="Cambria"/>
      <family val="2"/>
      <scheme val="maj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gradientFill degree="90">
        <stop position="0">
          <color theme="6" tint="-0.25098422193060094"/>
        </stop>
        <stop position="1">
          <color theme="6" tint="-0.49803155613879818"/>
        </stop>
      </gradientFill>
    </fill>
    <fill>
      <gradientFill degree="90">
        <stop position="0">
          <color theme="6" tint="0.40000610370189521"/>
        </stop>
        <stop position="1">
          <color theme="6" tint="-0.25098422193060094"/>
        </stop>
      </gradient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rgb="FF71E462"/>
        </stop>
        <stop position="1">
          <color rgb="FF71E462"/>
        </stop>
      </gradientFill>
    </fill>
  </fills>
  <borders count="66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rgb="FFB2B2B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medium">
        <color theme="0" tint="-0.249977111117893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44DC3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2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rgb="FF3F3F3F"/>
      </right>
      <top style="thin">
        <color rgb="FF3F3F3F"/>
      </top>
      <bottom style="thin">
        <color theme="0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theme="0" tint="-0.499984740745262"/>
      </bottom>
      <diagonal/>
    </border>
    <border>
      <left style="thin">
        <color rgb="FF3F3F3F"/>
      </left>
      <right/>
      <top style="thin">
        <color rgb="FF3F3F3F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rgb="FFB2B2B2"/>
      </bottom>
      <diagonal/>
    </border>
    <border>
      <left/>
      <right/>
      <top style="thin">
        <color theme="0" tint="-0.499984740745262"/>
      </top>
      <bottom style="thin">
        <color rgb="FFB2B2B2"/>
      </bottom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64"/>
      </right>
      <top style="medium">
        <color theme="0" tint="-0.249977111117893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medium">
        <color theme="0" tint="-0.249977111117893"/>
      </bottom>
      <diagonal/>
    </border>
    <border>
      <left style="thin">
        <color indexed="64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medium">
        <color theme="0" tint="-0.249977111117893"/>
      </bottom>
      <diagonal/>
    </border>
    <border>
      <left/>
      <right style="thin">
        <color rgb="FF7F7F7F"/>
      </right>
      <top style="thin">
        <color rgb="FF7F7F7F"/>
      </top>
      <bottom style="medium">
        <color theme="0" tint="-0.249977111117893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theme="6"/>
      </right>
      <top/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</borders>
  <cellStyleXfs count="20">
    <xf numFmtId="0" fontId="0" fillId="0" borderId="0"/>
    <xf numFmtId="0" fontId="2" fillId="0" borderId="0"/>
    <xf numFmtId="0" fontId="1" fillId="2" borderId="1">
      <alignment horizontal="center" vertical="center"/>
    </xf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5" fillId="4" borderId="2" applyNumberFormat="0" applyAlignment="0" applyProtection="0"/>
    <xf numFmtId="0" fontId="2" fillId="5" borderId="4" applyNumberFormat="0" applyFon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7" fillId="10" borderId="0" applyNumberFormat="0" applyBorder="0" applyAlignment="0" applyProtection="0"/>
    <xf numFmtId="49" fontId="8" fillId="0" borderId="0">
      <alignment horizontal="center" vertical="center"/>
    </xf>
    <xf numFmtId="0" fontId="9" fillId="11" borderId="7">
      <alignment horizontal="center" vertical="center"/>
    </xf>
    <xf numFmtId="0" fontId="10" fillId="12" borderId="9">
      <alignment horizontal="center"/>
    </xf>
    <xf numFmtId="0" fontId="2" fillId="5" borderId="10">
      <alignment horizontal="center"/>
    </xf>
    <xf numFmtId="0" fontId="7" fillId="10" borderId="0"/>
    <xf numFmtId="0" fontId="2" fillId="13" borderId="0"/>
    <xf numFmtId="165" fontId="3" fillId="3" borderId="2"/>
    <xf numFmtId="0" fontId="2" fillId="9" borderId="11"/>
  </cellStyleXfs>
  <cellXfs count="110">
    <xf numFmtId="0" fontId="0" fillId="0" borderId="0" xfId="0"/>
    <xf numFmtId="49" fontId="8" fillId="0" borderId="5" xfId="12" applyNumberFormat="1" applyFont="1" applyFill="1" applyBorder="1">
      <alignment horizontal="center" vertical="center"/>
    </xf>
    <xf numFmtId="0" fontId="0" fillId="0" borderId="0" xfId="0" applyFont="1" applyFill="1" applyBorder="1"/>
    <xf numFmtId="49" fontId="8" fillId="0" borderId="6" xfId="12" applyNumberFormat="1" applyFont="1" applyFill="1" applyBorder="1">
      <alignment horizontal="center" vertical="center"/>
    </xf>
    <xf numFmtId="0" fontId="9" fillId="11" borderId="8" xfId="13" applyFont="1" applyFill="1" applyBorder="1">
      <alignment horizontal="center" vertical="center"/>
    </xf>
    <xf numFmtId="0" fontId="10" fillId="12" borderId="0" xfId="14" applyFont="1" applyFill="1" applyBorder="1">
      <alignment horizontal="center"/>
    </xf>
    <xf numFmtId="0" fontId="2" fillId="5" borderId="11" xfId="15" applyFont="1" applyFill="1" applyBorder="1">
      <alignment horizontal="center"/>
    </xf>
    <xf numFmtId="0" fontId="2" fillId="5" borderId="12" xfId="15" applyFont="1" applyFill="1" applyBorder="1">
      <alignment horizontal="center"/>
    </xf>
    <xf numFmtId="0" fontId="2" fillId="5" borderId="13" xfId="15" applyFont="1" applyFill="1" applyBorder="1">
      <alignment horizontal="center"/>
    </xf>
    <xf numFmtId="0" fontId="11" fillId="10" borderId="9" xfId="11" applyFont="1" applyFill="1" applyBorder="1"/>
    <xf numFmtId="0" fontId="10" fillId="10" borderId="9" xfId="16" applyFont="1" applyFill="1" applyBorder="1" applyAlignment="1">
      <alignment horizontal="center"/>
    </xf>
    <xf numFmtId="0" fontId="9" fillId="11" borderId="7" xfId="13" applyFont="1" applyFill="1" applyBorder="1">
      <alignment horizontal="center" vertical="center"/>
    </xf>
    <xf numFmtId="0" fontId="2" fillId="9" borderId="0" xfId="10" applyFont="1" applyFill="1" applyBorder="1"/>
    <xf numFmtId="0" fontId="0" fillId="9" borderId="0" xfId="10" applyFont="1" applyFill="1" applyBorder="1"/>
    <xf numFmtId="0" fontId="2" fillId="13" borderId="14" xfId="17" applyFont="1" applyFill="1" applyBorder="1"/>
    <xf numFmtId="164" fontId="3" fillId="3" borderId="2" xfId="3" applyNumberFormat="1" applyFont="1" applyFill="1" applyBorder="1"/>
    <xf numFmtId="164" fontId="2" fillId="8" borderId="15" xfId="9" applyNumberFormat="1" applyFont="1" applyFill="1" applyBorder="1"/>
    <xf numFmtId="165" fontId="2" fillId="8" borderId="0" xfId="9" applyNumberFormat="1" applyFont="1" applyFill="1" applyBorder="1"/>
    <xf numFmtId="165" fontId="2" fillId="8" borderId="16" xfId="9" applyNumberFormat="1" applyFont="1" applyFill="1" applyBorder="1"/>
    <xf numFmtId="10" fontId="4" fillId="4" borderId="3" xfId="4" applyNumberFormat="1" applyFont="1" applyFill="1" applyBorder="1"/>
    <xf numFmtId="10" fontId="4" fillId="4" borderId="17" xfId="4" applyNumberFormat="1" applyFont="1" applyFill="1" applyBorder="1"/>
    <xf numFmtId="0" fontId="6" fillId="14" borderId="18" xfId="5" applyFont="1" applyFill="1" applyBorder="1"/>
    <xf numFmtId="0" fontId="10" fillId="12" borderId="9" xfId="14" applyFont="1" applyFill="1" applyBorder="1">
      <alignment horizontal="center"/>
    </xf>
    <xf numFmtId="165" fontId="0" fillId="8" borderId="16" xfId="9" applyNumberFormat="1" applyFont="1" applyFill="1" applyBorder="1"/>
    <xf numFmtId="0" fontId="9" fillId="11" borderId="7" xfId="13" applyFont="1" applyFill="1" applyBorder="1">
      <alignment horizontal="center" vertical="center"/>
    </xf>
    <xf numFmtId="0" fontId="2" fillId="5" borderId="19" xfId="6" applyFont="1" applyFill="1" applyBorder="1" applyAlignment="1">
      <alignment horizontal="center"/>
    </xf>
    <xf numFmtId="165" fontId="3" fillId="3" borderId="20" xfId="18" applyNumberFormat="1" applyFont="1" applyFill="1" applyBorder="1"/>
    <xf numFmtId="0" fontId="2" fillId="5" borderId="21" xfId="15" applyFont="1" applyFill="1" applyBorder="1">
      <alignment horizontal="center"/>
    </xf>
    <xf numFmtId="0" fontId="11" fillId="10" borderId="9" xfId="11" applyFont="1" applyFill="1" applyBorder="1" applyAlignment="1">
      <alignment horizontal="center"/>
    </xf>
    <xf numFmtId="0" fontId="2" fillId="13" borderId="0" xfId="17" applyFont="1" applyFill="1" applyBorder="1"/>
    <xf numFmtId="0" fontId="0" fillId="0" borderId="0" xfId="0" applyFont="1" applyFill="1" applyBorder="1" applyAlignment="1">
      <alignment horizontal="center"/>
    </xf>
    <xf numFmtId="0" fontId="11" fillId="10" borderId="9" xfId="11" applyFont="1" applyFill="1" applyBorder="1" applyAlignment="1">
      <alignment horizontal="center"/>
    </xf>
    <xf numFmtId="164" fontId="3" fillId="3" borderId="22" xfId="3" applyNumberFormat="1" applyFont="1" applyFill="1" applyBorder="1"/>
    <xf numFmtId="0" fontId="9" fillId="11" borderId="23" xfId="13" applyFont="1" applyFill="1" applyBorder="1">
      <alignment horizontal="center" vertical="center"/>
    </xf>
    <xf numFmtId="0" fontId="9" fillId="11" borderId="24" xfId="13" applyFont="1" applyFill="1" applyBorder="1">
      <alignment horizontal="center" vertical="center"/>
    </xf>
    <xf numFmtId="0" fontId="9" fillId="11" borderId="25" xfId="13" applyFont="1" applyFill="1" applyBorder="1">
      <alignment horizontal="center" vertical="center"/>
    </xf>
    <xf numFmtId="0" fontId="10" fillId="12" borderId="26" xfId="14" applyFont="1" applyFill="1" applyBorder="1">
      <alignment horizontal="center"/>
    </xf>
    <xf numFmtId="0" fontId="10" fillId="12" borderId="27" xfId="14" applyFont="1" applyFill="1" applyBorder="1">
      <alignment horizontal="center"/>
    </xf>
    <xf numFmtId="0" fontId="10" fillId="10" borderId="11" xfId="16" applyFont="1" applyFill="1" applyBorder="1" applyAlignment="1">
      <alignment horizontal="center"/>
    </xf>
    <xf numFmtId="0" fontId="10" fillId="10" borderId="12" xfId="16" applyFont="1" applyFill="1" applyBorder="1" applyAlignment="1">
      <alignment horizontal="center"/>
    </xf>
    <xf numFmtId="0" fontId="2" fillId="9" borderId="26" xfId="19" applyFont="1" applyFill="1" applyBorder="1"/>
    <xf numFmtId="0" fontId="0" fillId="9" borderId="0" xfId="10" applyFont="1" applyFill="1" applyBorder="1" applyAlignment="1">
      <alignment horizontal="left"/>
    </xf>
    <xf numFmtId="0" fontId="0" fillId="9" borderId="26" xfId="10" applyFont="1" applyFill="1" applyBorder="1"/>
    <xf numFmtId="164" fontId="3" fillId="3" borderId="28" xfId="3" applyNumberFormat="1" applyFont="1" applyFill="1" applyBorder="1"/>
    <xf numFmtId="0" fontId="2" fillId="9" borderId="26" xfId="10" applyFont="1" applyFill="1" applyBorder="1"/>
    <xf numFmtId="164" fontId="2" fillId="8" borderId="29" xfId="9" applyNumberFormat="1" applyFont="1" applyFill="1" applyBorder="1"/>
    <xf numFmtId="0" fontId="2" fillId="13" borderId="29" xfId="17" applyFont="1" applyFill="1" applyBorder="1"/>
    <xf numFmtId="0" fontId="2" fillId="9" borderId="30" xfId="10" applyFont="1" applyFill="1" applyBorder="1"/>
    <xf numFmtId="0" fontId="2" fillId="13" borderId="31" xfId="17" applyFont="1" applyFill="1" applyBorder="1"/>
    <xf numFmtId="10" fontId="4" fillId="4" borderId="32" xfId="4" applyNumberFormat="1" applyFont="1" applyFill="1" applyBorder="1"/>
    <xf numFmtId="10" fontId="4" fillId="4" borderId="33" xfId="4" applyNumberFormat="1" applyFont="1" applyFill="1" applyBorder="1"/>
    <xf numFmtId="10" fontId="4" fillId="4" borderId="34" xfId="4" applyNumberFormat="1" applyFont="1" applyFill="1" applyBorder="1"/>
    <xf numFmtId="0" fontId="0" fillId="0" borderId="30" xfId="0" applyFont="1" applyFill="1" applyBorder="1"/>
    <xf numFmtId="0" fontId="0" fillId="0" borderId="35" xfId="0" applyFont="1" applyFill="1" applyBorder="1"/>
    <xf numFmtId="0" fontId="0" fillId="0" borderId="36" xfId="0" applyFont="1" applyFill="1" applyBorder="1"/>
    <xf numFmtId="0" fontId="10" fillId="10" borderId="37" xfId="16" applyFont="1" applyFill="1" applyBorder="1" applyAlignment="1">
      <alignment horizontal="center"/>
    </xf>
    <xf numFmtId="0" fontId="10" fillId="10" borderId="38" xfId="16" applyFont="1" applyFill="1" applyBorder="1" applyAlignment="1">
      <alignment horizontal="center"/>
    </xf>
    <xf numFmtId="49" fontId="0" fillId="9" borderId="39" xfId="10" applyNumberFormat="1" applyFont="1" applyFill="1" applyBorder="1" applyAlignment="1">
      <alignment vertical="center" wrapText="1"/>
    </xf>
    <xf numFmtId="49" fontId="8" fillId="0" borderId="5" xfId="12" applyBorder="1" applyAlignment="1">
      <alignment horizontal="center" vertical="center"/>
    </xf>
    <xf numFmtId="49" fontId="8" fillId="0" borderId="6" xfId="12" applyBorder="1" applyAlignment="1">
      <alignment horizontal="center" vertical="center"/>
    </xf>
    <xf numFmtId="0" fontId="13" fillId="7" borderId="40" xfId="8" applyFont="1" applyBorder="1" applyAlignment="1">
      <alignment horizontal="center"/>
    </xf>
    <xf numFmtId="0" fontId="13" fillId="7" borderId="15" xfId="8" applyFont="1" applyBorder="1" applyAlignment="1">
      <alignment horizontal="center"/>
    </xf>
    <xf numFmtId="0" fontId="13" fillId="7" borderId="41" xfId="8" applyFont="1" applyBorder="1" applyAlignment="1">
      <alignment horizontal="center"/>
    </xf>
    <xf numFmtId="0" fontId="2" fillId="9" borderId="42" xfId="19" applyBorder="1"/>
    <xf numFmtId="0" fontId="2" fillId="13" borderId="13" xfId="17" applyBorder="1"/>
    <xf numFmtId="0" fontId="2" fillId="9" borderId="0" xfId="19" applyBorder="1"/>
    <xf numFmtId="1" fontId="3" fillId="3" borderId="43" xfId="3" applyNumberFormat="1" applyBorder="1"/>
    <xf numFmtId="0" fontId="2" fillId="13" borderId="27" xfId="17" applyBorder="1"/>
    <xf numFmtId="165" fontId="3" fillId="3" borderId="20" xfId="3" applyNumberFormat="1" applyBorder="1"/>
    <xf numFmtId="1" fontId="3" fillId="3" borderId="44" xfId="3" applyNumberFormat="1" applyBorder="1"/>
    <xf numFmtId="0" fontId="2" fillId="13" borderId="36" xfId="17" applyBorder="1"/>
    <xf numFmtId="0" fontId="13" fillId="7" borderId="45" xfId="8" applyFont="1" applyBorder="1" applyAlignment="1">
      <alignment horizontal="center"/>
    </xf>
    <xf numFmtId="165" fontId="3" fillId="3" borderId="2" xfId="3" applyNumberFormat="1" applyBorder="1"/>
    <xf numFmtId="0" fontId="13" fillId="7" borderId="46" xfId="8" applyFont="1" applyBorder="1" applyAlignment="1">
      <alignment horizontal="center"/>
    </xf>
    <xf numFmtId="0" fontId="13" fillId="7" borderId="0" xfId="8" applyFont="1" applyBorder="1" applyAlignment="1">
      <alignment horizontal="center"/>
    </xf>
    <xf numFmtId="0" fontId="13" fillId="7" borderId="47" xfId="8" applyFont="1" applyBorder="1" applyAlignment="1">
      <alignment horizontal="center"/>
    </xf>
    <xf numFmtId="0" fontId="13" fillId="7" borderId="48" xfId="8" applyFont="1" applyBorder="1" applyAlignment="1">
      <alignment horizontal="center"/>
    </xf>
    <xf numFmtId="0" fontId="13" fillId="7" borderId="49" xfId="8" applyFont="1" applyBorder="1" applyAlignment="1">
      <alignment horizontal="center"/>
    </xf>
    <xf numFmtId="0" fontId="13" fillId="6" borderId="40" xfId="7" applyFont="1" applyBorder="1" applyAlignment="1">
      <alignment horizontal="center"/>
    </xf>
    <xf numFmtId="0" fontId="13" fillId="6" borderId="41" xfId="7" applyFont="1" applyBorder="1" applyAlignment="1">
      <alignment horizontal="center"/>
    </xf>
    <xf numFmtId="0" fontId="13" fillId="6" borderId="50" xfId="7" applyFont="1" applyBorder="1" applyAlignment="1"/>
    <xf numFmtId="0" fontId="13" fillId="6" borderId="15" xfId="7" applyFont="1" applyBorder="1" applyAlignment="1"/>
    <xf numFmtId="0" fontId="13" fillId="6" borderId="51" xfId="7" applyFont="1" applyBorder="1" applyAlignment="1">
      <alignment horizontal="center"/>
    </xf>
    <xf numFmtId="0" fontId="13" fillId="6" borderId="40" xfId="7" applyFont="1" applyBorder="1" applyAlignment="1">
      <alignment horizontal="center"/>
    </xf>
    <xf numFmtId="0" fontId="13" fillId="6" borderId="41" xfId="7" applyFont="1" applyBorder="1" applyAlignment="1">
      <alignment horizontal="center"/>
    </xf>
    <xf numFmtId="0" fontId="13" fillId="6" borderId="52" xfId="7" applyFont="1" applyBorder="1" applyAlignment="1">
      <alignment horizontal="center"/>
    </xf>
    <xf numFmtId="0" fontId="2" fillId="9" borderId="53" xfId="19" applyBorder="1"/>
    <xf numFmtId="0" fontId="0" fillId="9" borderId="54" xfId="19" applyFont="1" applyBorder="1" applyAlignment="1">
      <alignment horizontal="center"/>
    </xf>
    <xf numFmtId="0" fontId="0" fillId="9" borderId="55" xfId="19" applyFont="1" applyBorder="1" applyAlignment="1">
      <alignment horizontal="center"/>
    </xf>
    <xf numFmtId="165" fontId="3" fillId="3" borderId="56" xfId="3" applyNumberFormat="1" applyBorder="1" applyAlignment="1">
      <alignment horizontal="center"/>
    </xf>
    <xf numFmtId="165" fontId="3" fillId="3" borderId="20" xfId="3" applyNumberFormat="1" applyBorder="1" applyAlignment="1">
      <alignment horizontal="center"/>
    </xf>
    <xf numFmtId="165" fontId="3" fillId="3" borderId="57" xfId="3" applyNumberFormat="1" applyBorder="1" applyAlignment="1">
      <alignment horizontal="center"/>
    </xf>
    <xf numFmtId="165" fontId="3" fillId="3" borderId="58" xfId="3" applyNumberFormat="1" applyBorder="1" applyAlignment="1">
      <alignment horizontal="center"/>
    </xf>
    <xf numFmtId="0" fontId="13" fillId="6" borderId="50" xfId="7" applyFont="1" applyBorder="1" applyAlignment="1">
      <alignment horizontal="center"/>
    </xf>
    <xf numFmtId="0" fontId="13" fillId="6" borderId="15" xfId="7" applyFont="1" applyBorder="1" applyAlignment="1">
      <alignment horizontal="center"/>
    </xf>
    <xf numFmtId="0" fontId="0" fillId="9" borderId="0" xfId="10" applyFont="1"/>
    <xf numFmtId="165" fontId="3" fillId="3" borderId="22" xfId="3" applyNumberFormat="1" applyBorder="1" applyAlignment="1">
      <alignment horizontal="center"/>
    </xf>
    <xf numFmtId="165" fontId="3" fillId="3" borderId="59" xfId="3" applyNumberFormat="1" applyBorder="1" applyAlignment="1">
      <alignment horizontal="center"/>
    </xf>
    <xf numFmtId="0" fontId="0" fillId="9" borderId="0" xfId="10" applyFont="1" applyAlignment="1">
      <alignment horizontal="right"/>
    </xf>
    <xf numFmtId="165" fontId="3" fillId="3" borderId="22" xfId="3" applyNumberFormat="1" applyBorder="1"/>
    <xf numFmtId="49" fontId="0" fillId="0" borderId="0" xfId="0" applyNumberFormat="1"/>
    <xf numFmtId="0" fontId="14" fillId="0" borderId="0" xfId="0" applyFont="1"/>
    <xf numFmtId="0" fontId="0" fillId="0" borderId="0" xfId="0" applyBorder="1"/>
    <xf numFmtId="49" fontId="0" fillId="0" borderId="0" xfId="0" applyNumberFormat="1" applyAlignment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</cellXfs>
  <cellStyles count="20">
    <cellStyle name="20% - Accent3" xfId="9" builtinId="38"/>
    <cellStyle name="40% - Accent3" xfId="10" builtinId="39"/>
    <cellStyle name="60% - Accent3" xfId="11" builtinId="40"/>
    <cellStyle name="Accent1" xfId="7" builtinId="29"/>
    <cellStyle name="Accent3" xfId="8" builtinId="37"/>
    <cellStyle name="Calculation" xfId="5" builtinId="22"/>
    <cellStyle name="ConditionalFormatStyle" xfId="1"/>
    <cellStyle name="Conditions" xfId="15"/>
    <cellStyle name="Header 3" xfId="16"/>
    <cellStyle name="HeaderStyle" xfId="2"/>
    <cellStyle name="MainHeader" xfId="13"/>
    <cellStyle name="Neutral" xfId="3" builtinId="28"/>
    <cellStyle name="Normal" xfId="0" builtinId="0"/>
    <cellStyle name="Note" xfId="6" builtinId="10"/>
    <cellStyle name="Null" xfId="17"/>
    <cellStyle name="NumberInput" xfId="18"/>
    <cellStyle name="Output" xfId="4" builtinId="21"/>
    <cellStyle name="Subheader" xfId="14"/>
    <cellStyle name="SubMenu" xfId="19"/>
    <cellStyle name="TEXT TITLE" xfId="12"/>
  </cellStyles>
  <dxfs count="33">
    <dxf>
      <border diagonalUp="0" diagonalDown="0">
        <left/>
        <right style="medium">
          <color theme="6"/>
        </right>
        <top/>
        <bottom/>
        <vertical/>
        <horizontal/>
      </border>
    </dxf>
    <dxf>
      <border diagonalUp="0" diagonalDown="0">
        <left style="medium">
          <color theme="6"/>
        </left>
        <right/>
        <top/>
        <bottom/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theme="0"/>
      </font>
      <fill>
        <gradientFill degree="90">
          <stop position="0">
            <color rgb="FFFF3B3B"/>
          </stop>
          <stop position="1">
            <color rgb="FFFF0000"/>
          </stop>
        </gradient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240197</xdr:colOff>
      <xdr:row>0</xdr:row>
      <xdr:rowOff>49696</xdr:rowOff>
    </xdr:from>
    <xdr:to>
      <xdr:col>1</xdr:col>
      <xdr:colOff>571501</xdr:colOff>
      <xdr:row>2</xdr:row>
      <xdr:rowOff>566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797" y="49696"/>
          <a:ext cx="331304" cy="3413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277091</xdr:colOff>
      <xdr:row>0</xdr:row>
      <xdr:rowOff>103910</xdr:rowOff>
    </xdr:from>
    <xdr:to>
      <xdr:col>2</xdr:col>
      <xdr:colOff>701156</xdr:colOff>
      <xdr:row>2</xdr:row>
      <xdr:rowOff>156500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741" y="103910"/>
          <a:ext cx="424065" cy="4335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57150</xdr:rowOff>
    </xdr:from>
    <xdr:to>
      <xdr:col>1</xdr:col>
      <xdr:colOff>822383</xdr:colOff>
      <xdr:row>2</xdr:row>
      <xdr:rowOff>108008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57150"/>
          <a:ext cx="422333" cy="4318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66675</xdr:rowOff>
    </xdr:from>
    <xdr:to>
      <xdr:col>1</xdr:col>
      <xdr:colOff>184208</xdr:colOff>
      <xdr:row>1</xdr:row>
      <xdr:rowOff>298508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66675"/>
          <a:ext cx="422333" cy="422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O1048576" totalsRowShown="0">
  <autoFilter ref="A1:O1048576"/>
  <tableColumns count="15">
    <tableColumn id="1" name="Energy"/>
    <tableColumn id="2" name="Mode"/>
    <tableColumn id="3" name="MU"/>
    <tableColumn id="4" name="Accessory"/>
    <tableColumn id="5" name="X1"/>
    <tableColumn id="6" name="X2"/>
    <tableColumn id="7" name="Y1"/>
    <tableColumn id="8" name="Y2"/>
    <tableColumn id="9" name="Rate"/>
    <tableColumn id="10" name="Depth mm"/>
    <tableColumn id="11" name="N"/>
    <tableColumn id="12" name="M1" dataDxfId="1"/>
    <tableColumn id="13" name="M2"/>
    <tableColumn id="14" name="M3" dataDxfId="0"/>
    <tableColumn id="15" name="Notification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selection activeCell="R22" sqref="R22"/>
    </sheetView>
  </sheetViews>
  <sheetFormatPr defaultColWidth="9.140625" defaultRowHeight="15" x14ac:dyDescent="0.25"/>
  <cols>
    <col min="4" max="4" width="11.85546875" customWidth="1"/>
    <col min="10" max="10" width="12.42578125" customWidth="1"/>
    <col min="12" max="12" width="12" style="108" customWidth="1"/>
    <col min="13" max="13" width="13.42578125" style="102" customWidth="1"/>
    <col min="14" max="14" width="13" style="109" customWidth="1"/>
    <col min="15" max="15" width="32.7109375" style="10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9</v>
      </c>
      <c r="L1" s="105" t="s">
        <v>10</v>
      </c>
      <c r="M1" s="106" t="s">
        <v>75</v>
      </c>
      <c r="N1" s="107" t="s">
        <v>76</v>
      </c>
      <c r="O1" s="103" t="s">
        <v>44</v>
      </c>
    </row>
    <row r="2" spans="1:15" ht="15.75" x14ac:dyDescent="0.25">
      <c r="A2" s="101" t="s">
        <v>11</v>
      </c>
    </row>
    <row r="3" spans="1:15" x14ac:dyDescent="0.25">
      <c r="A3" t="s">
        <v>12</v>
      </c>
      <c r="B3" t="s">
        <v>13</v>
      </c>
      <c r="C3">
        <v>200</v>
      </c>
      <c r="E3">
        <v>2</v>
      </c>
      <c r="F3">
        <v>2</v>
      </c>
      <c r="G3">
        <v>2</v>
      </c>
      <c r="H3">
        <v>2</v>
      </c>
      <c r="I3">
        <v>600</v>
      </c>
      <c r="J3">
        <v>15</v>
      </c>
      <c r="K3">
        <v>1</v>
      </c>
      <c r="L3" s="108">
        <v>-3.5170000000000001E-7</v>
      </c>
    </row>
    <row r="4" spans="1:15" x14ac:dyDescent="0.25">
      <c r="A4" t="s">
        <v>12</v>
      </c>
      <c r="B4" t="s">
        <v>13</v>
      </c>
      <c r="C4">
        <v>200</v>
      </c>
      <c r="E4">
        <v>5</v>
      </c>
      <c r="F4">
        <v>5</v>
      </c>
      <c r="G4">
        <v>5</v>
      </c>
      <c r="H4">
        <v>5</v>
      </c>
      <c r="I4">
        <v>600</v>
      </c>
      <c r="J4">
        <v>15</v>
      </c>
      <c r="K4">
        <v>1</v>
      </c>
      <c r="L4" s="108">
        <v>-3.8099999999999998E-7</v>
      </c>
    </row>
    <row r="5" spans="1:15" x14ac:dyDescent="0.25">
      <c r="A5" t="s">
        <v>12</v>
      </c>
      <c r="B5" t="s">
        <v>13</v>
      </c>
      <c r="C5">
        <v>200</v>
      </c>
      <c r="E5">
        <v>7.5</v>
      </c>
      <c r="F5">
        <v>7.5</v>
      </c>
      <c r="G5">
        <v>7.5</v>
      </c>
      <c r="H5">
        <v>7.5</v>
      </c>
      <c r="I5">
        <v>600</v>
      </c>
      <c r="J5">
        <v>15</v>
      </c>
      <c r="K5">
        <v>1</v>
      </c>
      <c r="L5" s="108">
        <v>-3.9369999999999999E-7</v>
      </c>
    </row>
    <row r="6" spans="1:15" x14ac:dyDescent="0.25">
      <c r="A6" t="s">
        <v>12</v>
      </c>
      <c r="B6" t="s">
        <v>13</v>
      </c>
      <c r="C6">
        <v>200</v>
      </c>
      <c r="E6">
        <v>10</v>
      </c>
      <c r="F6">
        <v>10</v>
      </c>
      <c r="G6">
        <v>10</v>
      </c>
      <c r="H6">
        <v>10</v>
      </c>
      <c r="I6">
        <v>600</v>
      </c>
      <c r="J6">
        <v>15</v>
      </c>
      <c r="K6">
        <v>1</v>
      </c>
      <c r="L6" s="108">
        <v>-4.0209999999999998E-7</v>
      </c>
    </row>
    <row r="7" spans="1:15" x14ac:dyDescent="0.25">
      <c r="A7" t="s">
        <v>12</v>
      </c>
      <c r="B7" t="s">
        <v>13</v>
      </c>
      <c r="C7">
        <v>200</v>
      </c>
      <c r="E7">
        <v>15</v>
      </c>
      <c r="F7">
        <v>15</v>
      </c>
      <c r="G7">
        <v>15</v>
      </c>
      <c r="H7">
        <v>15</v>
      </c>
      <c r="I7">
        <v>600</v>
      </c>
      <c r="J7">
        <v>15</v>
      </c>
      <c r="K7">
        <v>1</v>
      </c>
      <c r="L7" s="108">
        <v>-4.1370000000000001E-7</v>
      </c>
    </row>
    <row r="8" spans="1:15" x14ac:dyDescent="0.25">
      <c r="A8" t="s">
        <v>12</v>
      </c>
      <c r="B8" t="s">
        <v>13</v>
      </c>
      <c r="C8">
        <v>200</v>
      </c>
      <c r="E8">
        <v>20</v>
      </c>
      <c r="F8">
        <v>20</v>
      </c>
      <c r="G8">
        <v>20</v>
      </c>
      <c r="H8">
        <v>20</v>
      </c>
      <c r="I8">
        <v>600</v>
      </c>
      <c r="J8">
        <v>15</v>
      </c>
      <c r="K8">
        <v>1</v>
      </c>
      <c r="L8" s="108">
        <v>-4.2010000000000001E-7</v>
      </c>
    </row>
    <row r="9" spans="1:15" x14ac:dyDescent="0.25">
      <c r="A9" t="s">
        <v>14</v>
      </c>
      <c r="B9" t="s">
        <v>13</v>
      </c>
      <c r="C9">
        <v>200</v>
      </c>
      <c r="E9">
        <v>2</v>
      </c>
      <c r="F9">
        <v>2</v>
      </c>
      <c r="G9">
        <v>2</v>
      </c>
      <c r="H9">
        <v>2</v>
      </c>
      <c r="I9">
        <v>600</v>
      </c>
      <c r="J9">
        <v>27</v>
      </c>
      <c r="K9">
        <v>1</v>
      </c>
      <c r="L9" s="108">
        <v>-3.4799999999999999E-7</v>
      </c>
    </row>
    <row r="10" spans="1:15" x14ac:dyDescent="0.25">
      <c r="A10" t="s">
        <v>14</v>
      </c>
      <c r="B10" t="s">
        <v>13</v>
      </c>
      <c r="C10">
        <v>200</v>
      </c>
      <c r="E10">
        <v>5</v>
      </c>
      <c r="F10">
        <v>5</v>
      </c>
      <c r="G10">
        <v>5</v>
      </c>
      <c r="H10">
        <v>5</v>
      </c>
      <c r="I10">
        <v>600</v>
      </c>
      <c r="J10">
        <v>27</v>
      </c>
      <c r="K10">
        <v>1</v>
      </c>
      <c r="L10" s="108">
        <v>-3.812E-7</v>
      </c>
    </row>
    <row r="11" spans="1:15" x14ac:dyDescent="0.25">
      <c r="A11" t="s">
        <v>14</v>
      </c>
      <c r="B11" t="s">
        <v>13</v>
      </c>
      <c r="C11">
        <v>200</v>
      </c>
      <c r="E11">
        <v>7.5</v>
      </c>
      <c r="F11">
        <v>7.5</v>
      </c>
      <c r="G11">
        <v>7.5</v>
      </c>
      <c r="H11">
        <v>7.5</v>
      </c>
      <c r="I11">
        <v>600</v>
      </c>
      <c r="J11">
        <v>27</v>
      </c>
      <c r="K11">
        <v>1</v>
      </c>
      <c r="L11" s="108">
        <v>-3.9480000000000001E-7</v>
      </c>
    </row>
    <row r="12" spans="1:15" x14ac:dyDescent="0.25">
      <c r="A12" t="s">
        <v>14</v>
      </c>
      <c r="B12" t="s">
        <v>13</v>
      </c>
      <c r="C12">
        <v>200</v>
      </c>
      <c r="E12">
        <v>10</v>
      </c>
      <c r="F12">
        <v>10</v>
      </c>
      <c r="G12">
        <v>10</v>
      </c>
      <c r="H12">
        <v>10</v>
      </c>
      <c r="I12">
        <v>600</v>
      </c>
      <c r="J12">
        <v>27</v>
      </c>
      <c r="K12">
        <v>1</v>
      </c>
      <c r="L12" s="108">
        <v>-4.0349999999999998E-7</v>
      </c>
    </row>
    <row r="13" spans="1:15" x14ac:dyDescent="0.25">
      <c r="A13" t="s">
        <v>14</v>
      </c>
      <c r="B13" t="s">
        <v>13</v>
      </c>
      <c r="C13">
        <v>200</v>
      </c>
      <c r="E13">
        <v>15</v>
      </c>
      <c r="F13">
        <v>15</v>
      </c>
      <c r="G13">
        <v>15</v>
      </c>
      <c r="H13">
        <v>15</v>
      </c>
      <c r="I13">
        <v>600</v>
      </c>
      <c r="J13">
        <v>27</v>
      </c>
      <c r="K13">
        <v>1</v>
      </c>
      <c r="L13" s="108">
        <v>-4.1479999999999998E-7</v>
      </c>
    </row>
    <row r="14" spans="1:15" x14ac:dyDescent="0.25">
      <c r="A14" t="s">
        <v>14</v>
      </c>
      <c r="B14" t="s">
        <v>13</v>
      </c>
      <c r="C14">
        <v>200</v>
      </c>
      <c r="E14">
        <v>20</v>
      </c>
      <c r="F14">
        <v>20</v>
      </c>
      <c r="G14">
        <v>20</v>
      </c>
      <c r="H14">
        <v>20</v>
      </c>
      <c r="I14">
        <v>600</v>
      </c>
      <c r="J14">
        <v>27</v>
      </c>
      <c r="K14">
        <v>1</v>
      </c>
      <c r="L14" s="108">
        <v>-4.2059999999999999E-7</v>
      </c>
    </row>
    <row r="15" spans="1:15" ht="15.75" x14ac:dyDescent="0.25">
      <c r="A15" s="101" t="s">
        <v>15</v>
      </c>
    </row>
    <row r="16" spans="1:15" x14ac:dyDescent="0.25">
      <c r="A16" t="s">
        <v>12</v>
      </c>
      <c r="B16" t="s">
        <v>13</v>
      </c>
      <c r="C16">
        <v>200</v>
      </c>
      <c r="E16">
        <v>5</v>
      </c>
      <c r="F16">
        <v>5</v>
      </c>
      <c r="G16">
        <v>5</v>
      </c>
      <c r="H16">
        <v>5</v>
      </c>
      <c r="I16">
        <v>600</v>
      </c>
      <c r="J16">
        <v>50</v>
      </c>
      <c r="K16">
        <v>1</v>
      </c>
      <c r="L16" s="108">
        <v>-3.3130000000000001E-7</v>
      </c>
    </row>
    <row r="17" spans="1:19" x14ac:dyDescent="0.25">
      <c r="A17" t="s">
        <v>12</v>
      </c>
      <c r="B17" t="s">
        <v>16</v>
      </c>
      <c r="C17">
        <v>200</v>
      </c>
      <c r="D17" t="s">
        <v>17</v>
      </c>
      <c r="E17">
        <v>5</v>
      </c>
      <c r="F17">
        <v>5</v>
      </c>
      <c r="G17">
        <v>5</v>
      </c>
      <c r="H17">
        <v>5</v>
      </c>
      <c r="I17">
        <v>600</v>
      </c>
      <c r="J17">
        <v>50</v>
      </c>
      <c r="K17">
        <v>1</v>
      </c>
      <c r="L17" s="108">
        <v>-3.1399999999999998E-7</v>
      </c>
    </row>
    <row r="18" spans="1:19" x14ac:dyDescent="0.25">
      <c r="A18" t="s">
        <v>12</v>
      </c>
      <c r="B18" t="s">
        <v>16</v>
      </c>
      <c r="C18">
        <v>200</v>
      </c>
      <c r="D18" t="s">
        <v>18</v>
      </c>
      <c r="E18">
        <v>5</v>
      </c>
      <c r="F18">
        <v>5</v>
      </c>
      <c r="G18">
        <v>5</v>
      </c>
      <c r="H18">
        <v>5</v>
      </c>
      <c r="I18">
        <v>600</v>
      </c>
      <c r="J18">
        <v>50</v>
      </c>
      <c r="K18">
        <v>1</v>
      </c>
      <c r="L18" s="108">
        <v>-3.1489999999999999E-7</v>
      </c>
    </row>
    <row r="19" spans="1:19" x14ac:dyDescent="0.25">
      <c r="A19" t="s">
        <v>12</v>
      </c>
      <c r="B19" t="s">
        <v>16</v>
      </c>
      <c r="C19">
        <v>200</v>
      </c>
      <c r="D19" t="s">
        <v>19</v>
      </c>
      <c r="E19">
        <v>5</v>
      </c>
      <c r="F19">
        <v>5</v>
      </c>
      <c r="G19">
        <v>5</v>
      </c>
      <c r="H19">
        <v>5</v>
      </c>
      <c r="I19">
        <v>600</v>
      </c>
      <c r="J19">
        <v>50</v>
      </c>
      <c r="K19">
        <v>1</v>
      </c>
      <c r="L19" s="108">
        <v>-3.0559999999999998E-7</v>
      </c>
    </row>
    <row r="20" spans="1:19" x14ac:dyDescent="0.25">
      <c r="A20" t="s">
        <v>12</v>
      </c>
      <c r="B20" t="s">
        <v>16</v>
      </c>
      <c r="C20">
        <v>200</v>
      </c>
      <c r="D20" t="s">
        <v>20</v>
      </c>
      <c r="E20">
        <v>5</v>
      </c>
      <c r="F20">
        <v>5</v>
      </c>
      <c r="G20">
        <v>5</v>
      </c>
      <c r="H20">
        <v>5</v>
      </c>
      <c r="I20">
        <v>600</v>
      </c>
      <c r="J20">
        <v>50</v>
      </c>
      <c r="K20">
        <v>1</v>
      </c>
      <c r="L20" s="108">
        <v>-3.0730000000000001E-7</v>
      </c>
    </row>
    <row r="21" spans="1:19" x14ac:dyDescent="0.25">
      <c r="A21" t="s">
        <v>12</v>
      </c>
      <c r="B21" t="s">
        <v>16</v>
      </c>
      <c r="C21">
        <v>200</v>
      </c>
      <c r="D21" t="s">
        <v>21</v>
      </c>
      <c r="E21">
        <v>5</v>
      </c>
      <c r="F21">
        <v>5</v>
      </c>
      <c r="G21">
        <v>5</v>
      </c>
      <c r="H21">
        <v>5</v>
      </c>
      <c r="I21">
        <v>600</v>
      </c>
      <c r="J21">
        <v>50</v>
      </c>
      <c r="K21">
        <v>1</v>
      </c>
      <c r="L21" s="108">
        <v>-2.974E-7</v>
      </c>
      <c r="S21" s="104"/>
    </row>
    <row r="22" spans="1:19" x14ac:dyDescent="0.25">
      <c r="A22" t="s">
        <v>12</v>
      </c>
      <c r="B22" t="s">
        <v>16</v>
      </c>
      <c r="C22">
        <v>200</v>
      </c>
      <c r="D22" t="s">
        <v>22</v>
      </c>
      <c r="E22">
        <v>5</v>
      </c>
      <c r="F22">
        <v>5</v>
      </c>
      <c r="G22">
        <v>5</v>
      </c>
      <c r="H22">
        <v>5</v>
      </c>
      <c r="I22">
        <v>600</v>
      </c>
      <c r="J22">
        <v>50</v>
      </c>
      <c r="K22">
        <v>1</v>
      </c>
      <c r="L22" s="108">
        <v>-2.995E-7</v>
      </c>
    </row>
    <row r="23" spans="1:19" x14ac:dyDescent="0.25">
      <c r="A23" t="s">
        <v>12</v>
      </c>
      <c r="B23" t="s">
        <v>16</v>
      </c>
      <c r="C23">
        <v>200</v>
      </c>
      <c r="D23" t="s">
        <v>23</v>
      </c>
      <c r="E23">
        <v>5</v>
      </c>
      <c r="F23">
        <v>5</v>
      </c>
      <c r="G23">
        <v>5</v>
      </c>
      <c r="H23">
        <v>5</v>
      </c>
      <c r="I23">
        <v>600</v>
      </c>
      <c r="J23">
        <v>50</v>
      </c>
      <c r="K23">
        <v>1</v>
      </c>
      <c r="L23" s="108">
        <v>-2.8910000000000001E-7</v>
      </c>
    </row>
    <row r="24" spans="1:19" x14ac:dyDescent="0.25">
      <c r="A24" t="s">
        <v>12</v>
      </c>
      <c r="B24" t="s">
        <v>16</v>
      </c>
      <c r="C24">
        <v>200</v>
      </c>
      <c r="D24" t="s">
        <v>24</v>
      </c>
      <c r="E24">
        <v>5</v>
      </c>
      <c r="F24">
        <v>5</v>
      </c>
      <c r="G24">
        <v>5</v>
      </c>
      <c r="H24">
        <v>5</v>
      </c>
      <c r="I24">
        <v>600</v>
      </c>
      <c r="J24">
        <v>50</v>
      </c>
      <c r="K24">
        <v>1</v>
      </c>
      <c r="L24" s="108">
        <v>-2.917E-7</v>
      </c>
    </row>
    <row r="25" spans="1:19" x14ac:dyDescent="0.25">
      <c r="A25" t="s">
        <v>12</v>
      </c>
      <c r="B25" t="s">
        <v>16</v>
      </c>
      <c r="C25">
        <v>200</v>
      </c>
      <c r="D25" t="s">
        <v>25</v>
      </c>
      <c r="E25">
        <v>5</v>
      </c>
      <c r="F25">
        <v>5</v>
      </c>
      <c r="G25">
        <v>5</v>
      </c>
      <c r="H25">
        <v>5</v>
      </c>
      <c r="I25">
        <v>600</v>
      </c>
      <c r="J25">
        <v>50</v>
      </c>
      <c r="K25">
        <v>1</v>
      </c>
      <c r="L25" s="108">
        <v>-2.805E-7</v>
      </c>
    </row>
    <row r="26" spans="1:19" x14ac:dyDescent="0.25">
      <c r="A26" t="s">
        <v>12</v>
      </c>
      <c r="B26" t="s">
        <v>16</v>
      </c>
      <c r="C26">
        <v>200</v>
      </c>
      <c r="D26" t="s">
        <v>26</v>
      </c>
      <c r="E26">
        <v>5</v>
      </c>
      <c r="F26">
        <v>5</v>
      </c>
      <c r="G26">
        <v>5</v>
      </c>
      <c r="H26">
        <v>5</v>
      </c>
      <c r="I26">
        <v>600</v>
      </c>
      <c r="J26">
        <v>50</v>
      </c>
      <c r="K26">
        <v>1</v>
      </c>
      <c r="L26" s="108">
        <v>-2.8360000000000002E-7</v>
      </c>
    </row>
    <row r="27" spans="1:19" x14ac:dyDescent="0.25">
      <c r="A27" t="s">
        <v>12</v>
      </c>
      <c r="B27" t="s">
        <v>16</v>
      </c>
      <c r="C27">
        <v>200</v>
      </c>
      <c r="D27" t="s">
        <v>27</v>
      </c>
      <c r="E27">
        <v>5</v>
      </c>
      <c r="F27">
        <v>5</v>
      </c>
      <c r="G27">
        <v>5</v>
      </c>
      <c r="H27">
        <v>5</v>
      </c>
      <c r="I27">
        <v>600</v>
      </c>
      <c r="J27">
        <v>50</v>
      </c>
      <c r="K27">
        <v>1</v>
      </c>
      <c r="L27" s="108">
        <v>-2.5209999999999999E-7</v>
      </c>
    </row>
    <row r="28" spans="1:19" x14ac:dyDescent="0.25">
      <c r="A28" t="s">
        <v>12</v>
      </c>
      <c r="B28" t="s">
        <v>16</v>
      </c>
      <c r="C28">
        <v>200</v>
      </c>
      <c r="D28" t="s">
        <v>28</v>
      </c>
      <c r="E28">
        <v>5</v>
      </c>
      <c r="F28">
        <v>5</v>
      </c>
      <c r="G28">
        <v>5</v>
      </c>
      <c r="H28">
        <v>5</v>
      </c>
      <c r="I28">
        <v>600</v>
      </c>
      <c r="J28">
        <v>50</v>
      </c>
      <c r="K28">
        <v>1</v>
      </c>
      <c r="L28" s="108">
        <v>-2.5699999999999999E-7</v>
      </c>
    </row>
    <row r="29" spans="1:19" x14ac:dyDescent="0.25">
      <c r="A29" t="s">
        <v>12</v>
      </c>
      <c r="B29" t="s">
        <v>16</v>
      </c>
      <c r="C29">
        <v>200</v>
      </c>
      <c r="D29" t="s">
        <v>29</v>
      </c>
      <c r="E29">
        <v>5</v>
      </c>
      <c r="F29">
        <v>5</v>
      </c>
      <c r="G29">
        <v>5</v>
      </c>
      <c r="H29">
        <v>5</v>
      </c>
      <c r="I29">
        <v>600</v>
      </c>
      <c r="J29">
        <v>50</v>
      </c>
      <c r="K29">
        <v>1</v>
      </c>
      <c r="L29" s="108">
        <v>-2.1430000000000001E-7</v>
      </c>
    </row>
    <row r="30" spans="1:19" x14ac:dyDescent="0.25">
      <c r="A30" t="s">
        <v>12</v>
      </c>
      <c r="B30" t="s">
        <v>16</v>
      </c>
      <c r="C30">
        <v>200</v>
      </c>
      <c r="D30" t="s">
        <v>30</v>
      </c>
      <c r="E30">
        <v>5</v>
      </c>
      <c r="F30">
        <v>5</v>
      </c>
      <c r="G30">
        <v>5</v>
      </c>
      <c r="H30">
        <v>5</v>
      </c>
      <c r="I30">
        <v>600</v>
      </c>
      <c r="J30">
        <v>50</v>
      </c>
      <c r="K30">
        <v>1</v>
      </c>
      <c r="L30" s="108">
        <v>-2.2140000000000001E-7</v>
      </c>
    </row>
    <row r="31" spans="1:19" x14ac:dyDescent="0.25">
      <c r="A31" t="s">
        <v>14</v>
      </c>
      <c r="B31" t="s">
        <v>13</v>
      </c>
      <c r="C31">
        <v>200</v>
      </c>
      <c r="E31">
        <v>5</v>
      </c>
      <c r="F31">
        <v>5</v>
      </c>
      <c r="G31">
        <v>5</v>
      </c>
      <c r="H31">
        <v>5</v>
      </c>
      <c r="I31">
        <v>600</v>
      </c>
      <c r="J31">
        <v>50</v>
      </c>
      <c r="K31">
        <v>1</v>
      </c>
      <c r="L31" s="108">
        <v>-3.5611999999999999E-7</v>
      </c>
    </row>
    <row r="32" spans="1:19" x14ac:dyDescent="0.25">
      <c r="A32" t="s">
        <v>14</v>
      </c>
      <c r="B32" t="s">
        <v>16</v>
      </c>
      <c r="C32">
        <v>200</v>
      </c>
      <c r="D32" t="s">
        <v>17</v>
      </c>
      <c r="E32">
        <v>5</v>
      </c>
      <c r="F32">
        <v>5</v>
      </c>
      <c r="G32">
        <v>5</v>
      </c>
      <c r="H32">
        <v>5</v>
      </c>
      <c r="I32">
        <v>600</v>
      </c>
      <c r="J32">
        <v>50</v>
      </c>
      <c r="K32">
        <v>1</v>
      </c>
      <c r="L32" s="108">
        <v>-3.4830000000000002E-7</v>
      </c>
    </row>
    <row r="33" spans="1:12" x14ac:dyDescent="0.25">
      <c r="A33" t="s">
        <v>14</v>
      </c>
      <c r="B33" t="s">
        <v>16</v>
      </c>
      <c r="C33">
        <v>200</v>
      </c>
      <c r="D33" t="s">
        <v>18</v>
      </c>
      <c r="E33">
        <v>5</v>
      </c>
      <c r="F33">
        <v>5</v>
      </c>
      <c r="G33">
        <v>5</v>
      </c>
      <c r="H33">
        <v>5</v>
      </c>
      <c r="I33">
        <v>600</v>
      </c>
      <c r="J33">
        <v>50</v>
      </c>
      <c r="K33">
        <v>1</v>
      </c>
      <c r="L33" s="108">
        <v>-3.495E-7</v>
      </c>
    </row>
    <row r="34" spans="1:12" x14ac:dyDescent="0.25">
      <c r="A34" t="s">
        <v>14</v>
      </c>
      <c r="B34" t="s">
        <v>16</v>
      </c>
      <c r="C34">
        <v>200</v>
      </c>
      <c r="D34" t="s">
        <v>19</v>
      </c>
      <c r="E34">
        <v>5</v>
      </c>
      <c r="F34">
        <v>5</v>
      </c>
      <c r="G34">
        <v>5</v>
      </c>
      <c r="H34">
        <v>5</v>
      </c>
      <c r="I34">
        <v>600</v>
      </c>
      <c r="J34">
        <v>50</v>
      </c>
      <c r="K34">
        <v>1</v>
      </c>
      <c r="L34" s="108">
        <v>-3.4120000000000001E-7</v>
      </c>
    </row>
    <row r="35" spans="1:12" x14ac:dyDescent="0.25">
      <c r="A35" t="s">
        <v>14</v>
      </c>
      <c r="B35" t="s">
        <v>16</v>
      </c>
      <c r="C35">
        <v>200</v>
      </c>
      <c r="D35" t="s">
        <v>20</v>
      </c>
      <c r="E35">
        <v>5</v>
      </c>
      <c r="F35">
        <v>5</v>
      </c>
      <c r="G35">
        <v>5</v>
      </c>
      <c r="H35">
        <v>5</v>
      </c>
      <c r="I35">
        <v>600</v>
      </c>
      <c r="J35">
        <v>50</v>
      </c>
      <c r="K35">
        <v>1</v>
      </c>
      <c r="L35" s="108">
        <v>-3.4280000000000003E-7</v>
      </c>
    </row>
    <row r="36" spans="1:12" x14ac:dyDescent="0.25">
      <c r="A36" t="s">
        <v>14</v>
      </c>
      <c r="B36" t="s">
        <v>16</v>
      </c>
      <c r="C36">
        <v>200</v>
      </c>
      <c r="D36" t="s">
        <v>21</v>
      </c>
      <c r="E36">
        <v>5</v>
      </c>
      <c r="F36">
        <v>5</v>
      </c>
      <c r="G36">
        <v>5</v>
      </c>
      <c r="H36">
        <v>5</v>
      </c>
      <c r="I36">
        <v>600</v>
      </c>
      <c r="J36">
        <v>50</v>
      </c>
      <c r="K36">
        <v>1</v>
      </c>
      <c r="L36" s="108">
        <v>-3.3389999999999999E-7</v>
      </c>
    </row>
    <row r="37" spans="1:12" x14ac:dyDescent="0.25">
      <c r="A37" t="s">
        <v>14</v>
      </c>
      <c r="B37" t="s">
        <v>16</v>
      </c>
      <c r="C37">
        <v>200</v>
      </c>
      <c r="D37" t="s">
        <v>22</v>
      </c>
      <c r="E37">
        <v>5</v>
      </c>
      <c r="F37">
        <v>5</v>
      </c>
      <c r="G37">
        <v>5</v>
      </c>
      <c r="H37">
        <v>5</v>
      </c>
      <c r="I37">
        <v>600</v>
      </c>
      <c r="J37">
        <v>50</v>
      </c>
      <c r="K37">
        <v>1</v>
      </c>
      <c r="L37" s="108">
        <v>-3.3599999999999999E-7</v>
      </c>
    </row>
    <row r="38" spans="1:12" x14ac:dyDescent="0.25">
      <c r="A38" t="s">
        <v>14</v>
      </c>
      <c r="B38" t="s">
        <v>16</v>
      </c>
      <c r="C38">
        <v>200</v>
      </c>
      <c r="D38" t="s">
        <v>23</v>
      </c>
      <c r="E38">
        <v>5</v>
      </c>
      <c r="F38">
        <v>5</v>
      </c>
      <c r="G38">
        <v>5</v>
      </c>
      <c r="H38">
        <v>5</v>
      </c>
      <c r="I38">
        <v>600</v>
      </c>
      <c r="J38">
        <v>50</v>
      </c>
      <c r="K38">
        <v>1</v>
      </c>
      <c r="L38" s="108">
        <v>-3.2660000000000003E-7</v>
      </c>
    </row>
    <row r="39" spans="1:12" x14ac:dyDescent="0.25">
      <c r="A39" t="s">
        <v>14</v>
      </c>
      <c r="B39" t="s">
        <v>16</v>
      </c>
      <c r="C39">
        <v>200</v>
      </c>
      <c r="D39" t="s">
        <v>24</v>
      </c>
      <c r="E39">
        <v>5</v>
      </c>
      <c r="F39">
        <v>5</v>
      </c>
      <c r="G39">
        <v>5</v>
      </c>
      <c r="H39">
        <v>5</v>
      </c>
      <c r="I39">
        <v>600</v>
      </c>
      <c r="J39">
        <v>50</v>
      </c>
      <c r="K39">
        <v>1</v>
      </c>
      <c r="L39" s="108">
        <v>-3.2920000000000001E-7</v>
      </c>
    </row>
    <row r="40" spans="1:12" x14ac:dyDescent="0.25">
      <c r="A40" t="s">
        <v>14</v>
      </c>
      <c r="B40" t="s">
        <v>16</v>
      </c>
      <c r="C40">
        <v>200</v>
      </c>
      <c r="D40" t="s">
        <v>25</v>
      </c>
      <c r="E40">
        <v>5</v>
      </c>
      <c r="F40">
        <v>5</v>
      </c>
      <c r="G40">
        <v>5</v>
      </c>
      <c r="H40">
        <v>5</v>
      </c>
      <c r="I40">
        <v>600</v>
      </c>
      <c r="J40">
        <v>50</v>
      </c>
      <c r="K40">
        <v>1</v>
      </c>
      <c r="L40" s="108">
        <v>-3.1899999999999998E-7</v>
      </c>
    </row>
    <row r="41" spans="1:12" x14ac:dyDescent="0.25">
      <c r="A41" t="s">
        <v>14</v>
      </c>
      <c r="B41" t="s">
        <v>16</v>
      </c>
      <c r="C41">
        <v>200</v>
      </c>
      <c r="D41" t="s">
        <v>26</v>
      </c>
      <c r="E41">
        <v>5</v>
      </c>
      <c r="F41">
        <v>5</v>
      </c>
      <c r="G41">
        <v>5</v>
      </c>
      <c r="H41">
        <v>5</v>
      </c>
      <c r="I41">
        <v>600</v>
      </c>
      <c r="J41">
        <v>50</v>
      </c>
      <c r="K41">
        <v>1</v>
      </c>
      <c r="L41" s="108">
        <v>-3.2210000000000001E-7</v>
      </c>
    </row>
    <row r="42" spans="1:12" x14ac:dyDescent="0.25">
      <c r="A42" t="s">
        <v>14</v>
      </c>
      <c r="B42" t="s">
        <v>16</v>
      </c>
      <c r="C42">
        <v>200</v>
      </c>
      <c r="D42" t="s">
        <v>27</v>
      </c>
      <c r="E42">
        <v>5</v>
      </c>
      <c r="F42">
        <v>5</v>
      </c>
      <c r="G42">
        <v>5</v>
      </c>
      <c r="H42">
        <v>5</v>
      </c>
      <c r="I42">
        <v>600</v>
      </c>
      <c r="J42">
        <v>50</v>
      </c>
      <c r="K42">
        <v>1</v>
      </c>
      <c r="L42" s="108">
        <v>-2.9279999999999997E-7</v>
      </c>
    </row>
    <row r="43" spans="1:12" x14ac:dyDescent="0.25">
      <c r="A43" t="s">
        <v>14</v>
      </c>
      <c r="B43" t="s">
        <v>16</v>
      </c>
      <c r="C43">
        <v>200</v>
      </c>
      <c r="D43" t="s">
        <v>28</v>
      </c>
      <c r="E43">
        <v>5</v>
      </c>
      <c r="F43">
        <v>5</v>
      </c>
      <c r="G43">
        <v>5</v>
      </c>
      <c r="H43">
        <v>5</v>
      </c>
      <c r="I43">
        <v>600</v>
      </c>
      <c r="J43">
        <v>50</v>
      </c>
      <c r="K43">
        <v>1</v>
      </c>
      <c r="L43" s="108">
        <v>-2.9770000000000003E-7</v>
      </c>
    </row>
    <row r="44" spans="1:12" x14ac:dyDescent="0.25">
      <c r="A44" t="s">
        <v>14</v>
      </c>
      <c r="B44" t="s">
        <v>16</v>
      </c>
      <c r="C44">
        <v>200</v>
      </c>
      <c r="D44" t="s">
        <v>29</v>
      </c>
      <c r="E44">
        <v>5</v>
      </c>
      <c r="F44">
        <v>5</v>
      </c>
      <c r="G44">
        <v>5</v>
      </c>
      <c r="H44">
        <v>5</v>
      </c>
      <c r="I44">
        <v>600</v>
      </c>
      <c r="J44">
        <v>50</v>
      </c>
      <c r="K44">
        <v>1</v>
      </c>
      <c r="L44" s="108">
        <v>-2.5610000000000002E-7</v>
      </c>
    </row>
    <row r="45" spans="1:12" x14ac:dyDescent="0.25">
      <c r="A45" t="s">
        <v>14</v>
      </c>
      <c r="B45" t="s">
        <v>16</v>
      </c>
      <c r="C45">
        <v>200</v>
      </c>
      <c r="D45" t="s">
        <v>30</v>
      </c>
      <c r="E45">
        <v>5</v>
      </c>
      <c r="F45">
        <v>5</v>
      </c>
      <c r="G45">
        <v>5</v>
      </c>
      <c r="H45">
        <v>5</v>
      </c>
      <c r="I45">
        <v>600</v>
      </c>
      <c r="J45">
        <v>50</v>
      </c>
      <c r="K45">
        <v>1</v>
      </c>
      <c r="L45" s="108">
        <v>-2.636E-7</v>
      </c>
    </row>
    <row r="46" spans="1:12" ht="15.75" x14ac:dyDescent="0.25">
      <c r="A46" s="101" t="s">
        <v>31</v>
      </c>
    </row>
    <row r="47" spans="1:12" x14ac:dyDescent="0.25">
      <c r="A47" t="s">
        <v>12</v>
      </c>
      <c r="B47" t="s">
        <v>13</v>
      </c>
      <c r="C47">
        <v>10</v>
      </c>
      <c r="E47">
        <v>5</v>
      </c>
      <c r="F47">
        <v>5</v>
      </c>
      <c r="G47">
        <v>5</v>
      </c>
      <c r="H47">
        <v>5</v>
      </c>
      <c r="I47">
        <v>600</v>
      </c>
      <c r="J47">
        <v>50</v>
      </c>
      <c r="K47">
        <v>1</v>
      </c>
      <c r="L47" s="108">
        <v>-1.6700000000000001E-8</v>
      </c>
    </row>
    <row r="48" spans="1:12" x14ac:dyDescent="0.25">
      <c r="A48" t="s">
        <v>12</v>
      </c>
      <c r="B48" t="s">
        <v>13</v>
      </c>
      <c r="C48">
        <v>20</v>
      </c>
      <c r="E48">
        <v>5</v>
      </c>
      <c r="F48">
        <v>5</v>
      </c>
      <c r="G48">
        <v>5</v>
      </c>
      <c r="H48">
        <v>5</v>
      </c>
      <c r="I48">
        <v>600</v>
      </c>
      <c r="J48">
        <v>50</v>
      </c>
      <c r="K48">
        <v>1</v>
      </c>
      <c r="L48" s="108">
        <v>-3.32E-8</v>
      </c>
    </row>
    <row r="49" spans="1:15" x14ac:dyDescent="0.25">
      <c r="A49" t="s">
        <v>12</v>
      </c>
      <c r="B49" t="s">
        <v>13</v>
      </c>
      <c r="C49">
        <v>50</v>
      </c>
      <c r="E49">
        <v>5</v>
      </c>
      <c r="F49">
        <v>5</v>
      </c>
      <c r="G49">
        <v>5</v>
      </c>
      <c r="H49">
        <v>5</v>
      </c>
      <c r="I49">
        <v>600</v>
      </c>
      <c r="J49">
        <v>50</v>
      </c>
      <c r="K49">
        <v>1</v>
      </c>
      <c r="L49" s="108">
        <v>-8.2899999999999995E-8</v>
      </c>
    </row>
    <row r="50" spans="1:15" x14ac:dyDescent="0.25">
      <c r="A50" t="s">
        <v>12</v>
      </c>
      <c r="B50" t="s">
        <v>13</v>
      </c>
      <c r="C50">
        <v>100</v>
      </c>
      <c r="E50">
        <v>5</v>
      </c>
      <c r="F50">
        <v>5</v>
      </c>
      <c r="G50">
        <v>5</v>
      </c>
      <c r="H50">
        <v>5</v>
      </c>
      <c r="I50">
        <v>600</v>
      </c>
      <c r="J50">
        <v>50</v>
      </c>
      <c r="K50">
        <v>1</v>
      </c>
      <c r="L50" s="108">
        <v>-1.656E-7</v>
      </c>
    </row>
    <row r="51" spans="1:15" x14ac:dyDescent="0.25">
      <c r="A51" t="s">
        <v>12</v>
      </c>
      <c r="B51" t="s">
        <v>13</v>
      </c>
      <c r="C51">
        <v>200</v>
      </c>
      <c r="E51">
        <v>5</v>
      </c>
      <c r="F51">
        <v>5</v>
      </c>
      <c r="G51">
        <v>5</v>
      </c>
      <c r="H51">
        <v>5</v>
      </c>
      <c r="I51">
        <v>600</v>
      </c>
      <c r="J51">
        <v>50</v>
      </c>
      <c r="K51">
        <v>1</v>
      </c>
      <c r="L51" s="108">
        <v>-3.3109999999999999E-7</v>
      </c>
    </row>
    <row r="52" spans="1:15" x14ac:dyDescent="0.25">
      <c r="A52" t="s">
        <v>12</v>
      </c>
      <c r="B52" t="s">
        <v>13</v>
      </c>
      <c r="C52">
        <v>500</v>
      </c>
      <c r="E52">
        <v>5</v>
      </c>
      <c r="F52">
        <v>5</v>
      </c>
      <c r="G52">
        <v>5</v>
      </c>
      <c r="H52">
        <v>5</v>
      </c>
      <c r="I52">
        <v>600</v>
      </c>
      <c r="J52">
        <v>50</v>
      </c>
      <c r="K52">
        <v>1</v>
      </c>
      <c r="L52" s="108">
        <v>-8.2760000000000003E-7</v>
      </c>
    </row>
    <row r="53" spans="1:15" x14ac:dyDescent="0.25">
      <c r="A53" t="s">
        <v>14</v>
      </c>
      <c r="B53" t="s">
        <v>13</v>
      </c>
      <c r="C53">
        <v>10</v>
      </c>
      <c r="E53">
        <v>5</v>
      </c>
      <c r="F53">
        <v>5</v>
      </c>
      <c r="G53">
        <v>5</v>
      </c>
      <c r="H53">
        <v>5</v>
      </c>
      <c r="I53">
        <v>600</v>
      </c>
      <c r="J53">
        <v>50</v>
      </c>
      <c r="K53">
        <v>1</v>
      </c>
      <c r="L53" s="108">
        <v>-1.8299999999999998E-8</v>
      </c>
    </row>
    <row r="54" spans="1:15" x14ac:dyDescent="0.25">
      <c r="A54" t="s">
        <v>14</v>
      </c>
      <c r="B54" t="s">
        <v>13</v>
      </c>
      <c r="C54">
        <v>20</v>
      </c>
      <c r="E54">
        <v>5</v>
      </c>
      <c r="F54">
        <v>5</v>
      </c>
      <c r="G54">
        <v>5</v>
      </c>
      <c r="H54">
        <v>5</v>
      </c>
      <c r="I54">
        <v>600</v>
      </c>
      <c r="J54">
        <v>50</v>
      </c>
      <c r="K54">
        <v>1</v>
      </c>
      <c r="L54" s="108">
        <v>-3.62E-8</v>
      </c>
    </row>
    <row r="55" spans="1:15" x14ac:dyDescent="0.25">
      <c r="A55" t="s">
        <v>14</v>
      </c>
      <c r="B55" t="s">
        <v>13</v>
      </c>
      <c r="C55">
        <v>50</v>
      </c>
      <c r="E55">
        <v>5</v>
      </c>
      <c r="F55">
        <v>5</v>
      </c>
      <c r="G55">
        <v>5</v>
      </c>
      <c r="H55">
        <v>5</v>
      </c>
      <c r="I55">
        <v>600</v>
      </c>
      <c r="J55">
        <v>50</v>
      </c>
      <c r="K55">
        <v>1</v>
      </c>
      <c r="L55" s="108">
        <v>-9.0400000000000002E-8</v>
      </c>
    </row>
    <row r="56" spans="1:15" x14ac:dyDescent="0.25">
      <c r="A56" t="s">
        <v>14</v>
      </c>
      <c r="B56" t="s">
        <v>13</v>
      </c>
      <c r="C56">
        <v>100</v>
      </c>
      <c r="E56">
        <v>5</v>
      </c>
      <c r="F56">
        <v>5</v>
      </c>
      <c r="G56">
        <v>5</v>
      </c>
      <c r="H56">
        <v>5</v>
      </c>
      <c r="I56">
        <v>600</v>
      </c>
      <c r="J56">
        <v>50</v>
      </c>
      <c r="K56">
        <v>1</v>
      </c>
      <c r="L56" s="108">
        <v>-1.807E-7</v>
      </c>
    </row>
    <row r="57" spans="1:15" x14ac:dyDescent="0.25">
      <c r="A57" t="s">
        <v>14</v>
      </c>
      <c r="B57" t="s">
        <v>13</v>
      </c>
      <c r="C57">
        <v>200</v>
      </c>
      <c r="E57">
        <v>5</v>
      </c>
      <c r="F57">
        <v>5</v>
      </c>
      <c r="G57">
        <v>5</v>
      </c>
      <c r="H57">
        <v>5</v>
      </c>
      <c r="I57">
        <v>600</v>
      </c>
      <c r="J57">
        <v>50</v>
      </c>
      <c r="K57">
        <v>1</v>
      </c>
      <c r="L57" s="108">
        <v>-3.6139999999999999E-7</v>
      </c>
    </row>
    <row r="58" spans="1:15" x14ac:dyDescent="0.25">
      <c r="A58" t="s">
        <v>14</v>
      </c>
      <c r="B58" t="s">
        <v>13</v>
      </c>
      <c r="C58">
        <v>500</v>
      </c>
      <c r="E58">
        <v>5</v>
      </c>
      <c r="F58">
        <v>5</v>
      </c>
      <c r="G58">
        <v>5</v>
      </c>
      <c r="H58">
        <v>5</v>
      </c>
      <c r="I58">
        <v>600</v>
      </c>
      <c r="J58">
        <v>50</v>
      </c>
      <c r="K58">
        <v>1</v>
      </c>
      <c r="L58" s="108">
        <v>-9.0370000000000003E-7</v>
      </c>
    </row>
    <row r="59" spans="1:15" ht="15.75" x14ac:dyDescent="0.25">
      <c r="A59" s="101" t="s">
        <v>32</v>
      </c>
    </row>
    <row r="60" spans="1:15" x14ac:dyDescent="0.25">
      <c r="A60" t="s">
        <v>33</v>
      </c>
      <c r="B60" t="s">
        <v>13</v>
      </c>
      <c r="C60">
        <v>200</v>
      </c>
      <c r="D60" t="s">
        <v>34</v>
      </c>
      <c r="I60">
        <v>600</v>
      </c>
      <c r="J60">
        <v>14.5</v>
      </c>
      <c r="K60">
        <v>1</v>
      </c>
      <c r="L60" s="108">
        <v>-4.0820000000000002E-7</v>
      </c>
      <c r="O60" s="103" t="s">
        <v>45</v>
      </c>
    </row>
    <row r="61" spans="1:15" x14ac:dyDescent="0.25">
      <c r="A61" t="s">
        <v>35</v>
      </c>
      <c r="B61" t="s">
        <v>13</v>
      </c>
      <c r="C61">
        <v>200</v>
      </c>
      <c r="D61" t="s">
        <v>34</v>
      </c>
      <c r="I61">
        <v>600</v>
      </c>
      <c r="J61">
        <v>21.5</v>
      </c>
      <c r="K61">
        <v>1</v>
      </c>
      <c r="L61" s="108">
        <v>-4.165E-7</v>
      </c>
    </row>
    <row r="62" spans="1:15" x14ac:dyDescent="0.25">
      <c r="A62" t="s">
        <v>36</v>
      </c>
      <c r="B62" t="s">
        <v>13</v>
      </c>
      <c r="C62">
        <v>200</v>
      </c>
      <c r="D62" t="s">
        <v>34</v>
      </c>
      <c r="I62">
        <v>600</v>
      </c>
      <c r="J62">
        <v>30.5</v>
      </c>
      <c r="K62">
        <v>1</v>
      </c>
      <c r="L62" s="108">
        <v>-4.1829999999999998E-7</v>
      </c>
    </row>
    <row r="63" spans="1:15" x14ac:dyDescent="0.25">
      <c r="A63" t="s">
        <v>37</v>
      </c>
      <c r="B63" t="s">
        <v>13</v>
      </c>
      <c r="C63">
        <v>200</v>
      </c>
      <c r="D63" t="s">
        <v>34</v>
      </c>
      <c r="I63">
        <v>600</v>
      </c>
      <c r="J63">
        <v>33.5</v>
      </c>
      <c r="K63">
        <v>1</v>
      </c>
      <c r="L63" s="108">
        <v>-4.277E-7</v>
      </c>
    </row>
    <row r="64" spans="1:15" x14ac:dyDescent="0.25">
      <c r="A64" t="s">
        <v>38</v>
      </c>
      <c r="B64" t="s">
        <v>13</v>
      </c>
      <c r="C64">
        <v>200</v>
      </c>
      <c r="D64" t="s">
        <v>34</v>
      </c>
      <c r="I64">
        <v>600</v>
      </c>
      <c r="J64">
        <v>23.5</v>
      </c>
      <c r="K64">
        <v>1</v>
      </c>
      <c r="L64" s="108">
        <v>-4.495E-7</v>
      </c>
    </row>
    <row r="65" spans="1:15" x14ac:dyDescent="0.25">
      <c r="A65" t="s">
        <v>33</v>
      </c>
      <c r="B65" t="s">
        <v>13</v>
      </c>
      <c r="C65">
        <v>200</v>
      </c>
      <c r="D65" t="s">
        <v>39</v>
      </c>
      <c r="I65">
        <v>600</v>
      </c>
      <c r="J65">
        <v>14.5</v>
      </c>
      <c r="K65">
        <v>1</v>
      </c>
      <c r="L65" s="108">
        <v>-4.2310000000000002E-7</v>
      </c>
      <c r="O65" s="103" t="s">
        <v>46</v>
      </c>
    </row>
    <row r="66" spans="1:15" x14ac:dyDescent="0.25">
      <c r="A66" t="s">
        <v>35</v>
      </c>
      <c r="B66" t="s">
        <v>13</v>
      </c>
      <c r="C66">
        <v>200</v>
      </c>
      <c r="D66" t="s">
        <v>39</v>
      </c>
      <c r="I66">
        <v>600</v>
      </c>
      <c r="J66">
        <v>21.5</v>
      </c>
      <c r="K66">
        <v>1</v>
      </c>
      <c r="L66" s="108">
        <v>-4.2609999999999998E-7</v>
      </c>
    </row>
    <row r="67" spans="1:15" x14ac:dyDescent="0.25">
      <c r="A67" t="s">
        <v>36</v>
      </c>
      <c r="B67" t="s">
        <v>13</v>
      </c>
      <c r="C67">
        <v>200</v>
      </c>
      <c r="D67" t="s">
        <v>39</v>
      </c>
      <c r="I67">
        <v>600</v>
      </c>
      <c r="J67">
        <v>30.5</v>
      </c>
      <c r="K67">
        <v>1</v>
      </c>
      <c r="L67" s="108">
        <v>-4.32E-7</v>
      </c>
    </row>
    <row r="68" spans="1:15" x14ac:dyDescent="0.25">
      <c r="A68" t="s">
        <v>37</v>
      </c>
      <c r="B68" t="s">
        <v>13</v>
      </c>
      <c r="C68">
        <v>200</v>
      </c>
      <c r="D68" t="s">
        <v>39</v>
      </c>
      <c r="I68">
        <v>600</v>
      </c>
      <c r="J68">
        <v>33.5</v>
      </c>
      <c r="K68">
        <v>1</v>
      </c>
      <c r="L68" s="108">
        <v>-4.3720000000000002E-7</v>
      </c>
    </row>
    <row r="69" spans="1:15" x14ac:dyDescent="0.25">
      <c r="A69" t="s">
        <v>38</v>
      </c>
      <c r="B69" t="s">
        <v>13</v>
      </c>
      <c r="C69">
        <v>200</v>
      </c>
      <c r="D69" t="s">
        <v>39</v>
      </c>
      <c r="I69">
        <v>600</v>
      </c>
      <c r="J69">
        <v>23.5</v>
      </c>
      <c r="K69">
        <v>1</v>
      </c>
      <c r="L69" s="108">
        <v>-4.5159999999999999E-7</v>
      </c>
    </row>
    <row r="70" spans="1:15" x14ac:dyDescent="0.25">
      <c r="A70" t="s">
        <v>33</v>
      </c>
      <c r="B70" t="s">
        <v>13</v>
      </c>
      <c r="C70">
        <v>200</v>
      </c>
      <c r="D70" t="s">
        <v>40</v>
      </c>
      <c r="I70">
        <v>600</v>
      </c>
      <c r="J70">
        <v>14.5</v>
      </c>
      <c r="K70">
        <v>1</v>
      </c>
      <c r="L70" s="108">
        <v>-4.2360000000000001E-7</v>
      </c>
      <c r="O70" s="103" t="s">
        <v>47</v>
      </c>
    </row>
    <row r="71" spans="1:15" x14ac:dyDescent="0.25">
      <c r="A71" t="s">
        <v>35</v>
      </c>
      <c r="B71" t="s">
        <v>13</v>
      </c>
      <c r="C71">
        <v>200</v>
      </c>
      <c r="D71" t="s">
        <v>40</v>
      </c>
      <c r="I71">
        <v>600</v>
      </c>
      <c r="J71">
        <v>21.5</v>
      </c>
      <c r="K71">
        <v>1</v>
      </c>
      <c r="L71" s="108">
        <v>-4.2539999999999998E-7</v>
      </c>
    </row>
    <row r="72" spans="1:15" x14ac:dyDescent="0.25">
      <c r="A72" t="s">
        <v>36</v>
      </c>
      <c r="B72" t="s">
        <v>13</v>
      </c>
      <c r="C72">
        <v>200</v>
      </c>
      <c r="D72" t="s">
        <v>40</v>
      </c>
      <c r="I72">
        <v>600</v>
      </c>
      <c r="J72">
        <v>30.5</v>
      </c>
      <c r="K72">
        <v>1</v>
      </c>
      <c r="L72" s="108">
        <v>-4.291E-7</v>
      </c>
    </row>
    <row r="73" spans="1:15" x14ac:dyDescent="0.25">
      <c r="A73" t="s">
        <v>37</v>
      </c>
      <c r="B73" t="s">
        <v>13</v>
      </c>
      <c r="C73">
        <v>200</v>
      </c>
      <c r="D73" t="s">
        <v>40</v>
      </c>
      <c r="I73">
        <v>600</v>
      </c>
      <c r="J73">
        <v>33.5</v>
      </c>
      <c r="K73">
        <v>1</v>
      </c>
      <c r="L73" s="108">
        <v>-4.326E-7</v>
      </c>
    </row>
    <row r="74" spans="1:15" x14ac:dyDescent="0.25">
      <c r="A74" t="s">
        <v>38</v>
      </c>
      <c r="B74" t="s">
        <v>13</v>
      </c>
      <c r="C74">
        <v>200</v>
      </c>
      <c r="D74" t="s">
        <v>40</v>
      </c>
      <c r="I74">
        <v>600</v>
      </c>
      <c r="J74">
        <v>23.5</v>
      </c>
      <c r="K74">
        <v>1</v>
      </c>
      <c r="L74" s="108">
        <v>-4.4289999999999998E-7</v>
      </c>
    </row>
    <row r="75" spans="1:15" x14ac:dyDescent="0.25">
      <c r="A75" t="s">
        <v>33</v>
      </c>
      <c r="B75" t="s">
        <v>13</v>
      </c>
      <c r="C75">
        <v>200</v>
      </c>
      <c r="D75" t="s">
        <v>41</v>
      </c>
      <c r="I75">
        <v>600</v>
      </c>
      <c r="J75">
        <v>14.5</v>
      </c>
      <c r="K75">
        <v>1</v>
      </c>
      <c r="L75" s="108">
        <v>-4.2819999999999998E-7</v>
      </c>
      <c r="O75" s="103" t="s">
        <v>48</v>
      </c>
    </row>
    <row r="76" spans="1:15" x14ac:dyDescent="0.25">
      <c r="A76" t="s">
        <v>35</v>
      </c>
      <c r="B76" t="s">
        <v>13</v>
      </c>
      <c r="C76">
        <v>200</v>
      </c>
      <c r="D76" t="s">
        <v>41</v>
      </c>
      <c r="I76">
        <v>600</v>
      </c>
      <c r="J76">
        <v>21.5</v>
      </c>
      <c r="K76">
        <v>1</v>
      </c>
      <c r="L76" s="108">
        <v>-4.2049999999999999E-7</v>
      </c>
    </row>
    <row r="77" spans="1:15" x14ac:dyDescent="0.25">
      <c r="A77" t="s">
        <v>36</v>
      </c>
      <c r="B77" t="s">
        <v>13</v>
      </c>
      <c r="C77">
        <v>200</v>
      </c>
      <c r="D77" t="s">
        <v>41</v>
      </c>
      <c r="I77">
        <v>600</v>
      </c>
      <c r="J77">
        <v>30.5</v>
      </c>
      <c r="K77">
        <v>1</v>
      </c>
      <c r="L77" s="108">
        <v>-4.2269999999999999E-7</v>
      </c>
    </row>
    <row r="78" spans="1:15" x14ac:dyDescent="0.25">
      <c r="A78" t="s">
        <v>37</v>
      </c>
      <c r="B78" t="s">
        <v>13</v>
      </c>
      <c r="C78">
        <v>200</v>
      </c>
      <c r="D78" t="s">
        <v>41</v>
      </c>
      <c r="I78">
        <v>600</v>
      </c>
      <c r="J78">
        <v>33.5</v>
      </c>
      <c r="K78">
        <v>1</v>
      </c>
      <c r="L78" s="108">
        <v>-4.2580000000000001E-7</v>
      </c>
    </row>
    <row r="79" spans="1:15" x14ac:dyDescent="0.25">
      <c r="A79" t="s">
        <v>38</v>
      </c>
      <c r="B79" t="s">
        <v>13</v>
      </c>
      <c r="C79">
        <v>200</v>
      </c>
      <c r="D79" t="s">
        <v>41</v>
      </c>
      <c r="I79">
        <v>600</v>
      </c>
      <c r="J79">
        <v>23.5</v>
      </c>
      <c r="K79">
        <v>1</v>
      </c>
      <c r="L79" s="108">
        <v>-4.3430000000000002E-7</v>
      </c>
    </row>
    <row r="80" spans="1:15" x14ac:dyDescent="0.25">
      <c r="A80" t="s">
        <v>33</v>
      </c>
      <c r="B80" t="s">
        <v>13</v>
      </c>
      <c r="C80">
        <v>200</v>
      </c>
      <c r="D80" t="s">
        <v>42</v>
      </c>
      <c r="I80">
        <v>600</v>
      </c>
      <c r="J80">
        <v>14.5</v>
      </c>
      <c r="K80">
        <v>1</v>
      </c>
      <c r="L80" s="108">
        <v>-4.2749999999999998E-7</v>
      </c>
      <c r="O80" s="103" t="s">
        <v>49</v>
      </c>
    </row>
    <row r="81" spans="1:12" x14ac:dyDescent="0.25">
      <c r="A81" t="s">
        <v>35</v>
      </c>
      <c r="B81" t="s">
        <v>13</v>
      </c>
      <c r="C81">
        <v>200</v>
      </c>
      <c r="D81" t="s">
        <v>42</v>
      </c>
      <c r="I81">
        <v>600</v>
      </c>
      <c r="J81">
        <v>21.5</v>
      </c>
      <c r="K81">
        <v>1</v>
      </c>
      <c r="L81" s="108">
        <v>-4.122E-7</v>
      </c>
    </row>
    <row r="82" spans="1:12" x14ac:dyDescent="0.25">
      <c r="A82" t="s">
        <v>36</v>
      </c>
      <c r="B82" t="s">
        <v>13</v>
      </c>
      <c r="C82">
        <v>200</v>
      </c>
      <c r="D82" t="s">
        <v>42</v>
      </c>
      <c r="I82">
        <v>600</v>
      </c>
      <c r="J82">
        <v>30.5</v>
      </c>
      <c r="K82">
        <v>1</v>
      </c>
      <c r="L82" s="108">
        <v>-4.1059999999999998E-7</v>
      </c>
    </row>
    <row r="83" spans="1:12" x14ac:dyDescent="0.25">
      <c r="A83" t="s">
        <v>37</v>
      </c>
      <c r="B83" t="s">
        <v>13</v>
      </c>
      <c r="C83">
        <v>200</v>
      </c>
      <c r="D83" t="s">
        <v>42</v>
      </c>
      <c r="I83">
        <v>600</v>
      </c>
      <c r="J83">
        <v>33.5</v>
      </c>
      <c r="K83">
        <v>1</v>
      </c>
      <c r="L83" s="108">
        <v>-4.1230000000000001E-7</v>
      </c>
    </row>
    <row r="84" spans="1:12" x14ac:dyDescent="0.25">
      <c r="A84" t="s">
        <v>38</v>
      </c>
      <c r="B84" t="s">
        <v>13</v>
      </c>
      <c r="C84">
        <v>200</v>
      </c>
      <c r="D84" t="s">
        <v>42</v>
      </c>
      <c r="I84">
        <v>600</v>
      </c>
      <c r="J84">
        <v>23.5</v>
      </c>
      <c r="K84">
        <v>1</v>
      </c>
      <c r="L84" s="108">
        <v>-4.2090000000000002E-7</v>
      </c>
    </row>
  </sheetData>
  <pageMargins left="0.7" right="0.7" top="0.75" bottom="0.75" header="0.3" footer="0.3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L35" sqref="L35"/>
    </sheetView>
  </sheetViews>
  <sheetFormatPr defaultColWidth="9.140625" defaultRowHeight="15" x14ac:dyDescent="0.25"/>
  <cols>
    <col min="1" max="1" width="9.140625" style="2"/>
    <col min="2" max="2" width="11.140625" style="2" customWidth="1"/>
    <col min="3" max="3" width="11.28515625" style="2" customWidth="1"/>
    <col min="4" max="4" width="10.140625" style="2" bestFit="1" customWidth="1"/>
    <col min="5" max="7" width="10" style="2" bestFit="1" customWidth="1"/>
    <col min="8" max="11" width="9.140625" style="2"/>
  </cols>
  <sheetData>
    <row r="1" spans="1:8" ht="15" customHeight="1" x14ac:dyDescent="0.25">
      <c r="A1" s="1" t="s">
        <v>50</v>
      </c>
      <c r="B1" s="1"/>
      <c r="C1" s="1"/>
      <c r="D1" s="1"/>
      <c r="E1" s="1"/>
      <c r="F1" s="1"/>
      <c r="G1" s="1"/>
      <c r="H1" s="1"/>
    </row>
    <row r="2" spans="1:8" ht="15.75" customHeight="1" thickBot="1" x14ac:dyDescent="0.3">
      <c r="A2" s="3"/>
      <c r="B2" s="3"/>
      <c r="C2" s="3"/>
      <c r="D2" s="3"/>
      <c r="E2" s="3"/>
      <c r="F2" s="3"/>
      <c r="G2" s="3"/>
      <c r="H2" s="3"/>
    </row>
    <row r="3" spans="1:8" ht="18" x14ac:dyDescent="0.25">
      <c r="A3" s="4" t="s">
        <v>51</v>
      </c>
      <c r="B3" s="4"/>
      <c r="C3" s="4"/>
      <c r="D3" s="4"/>
      <c r="E3" s="4"/>
      <c r="F3" s="4"/>
      <c r="G3" s="4"/>
      <c r="H3" s="4"/>
    </row>
    <row r="4" spans="1:8" ht="15.75" x14ac:dyDescent="0.25">
      <c r="A4" s="5" t="str">
        <f>LowX&amp;"X"</f>
        <v>6X</v>
      </c>
      <c r="B4" s="5"/>
      <c r="C4" s="5"/>
      <c r="D4" s="5"/>
      <c r="E4" s="5"/>
      <c r="F4" s="5"/>
      <c r="G4" s="5"/>
      <c r="H4" s="5"/>
    </row>
    <row r="5" spans="1:8" x14ac:dyDescent="0.25">
      <c r="A5" s="6" t="str">
        <f>"Conditions : Depth = dmax @ "&amp; LowX_dmax &amp;"cm"</f>
        <v>Conditions : Depth = dmax @ 1.6cm</v>
      </c>
      <c r="B5" s="7"/>
      <c r="C5" s="7"/>
      <c r="D5" s="7"/>
      <c r="E5" s="7"/>
      <c r="F5" s="7"/>
      <c r="G5" s="7"/>
      <c r="H5" s="8"/>
    </row>
    <row r="6" spans="1:8" ht="18" x14ac:dyDescent="0.25">
      <c r="A6" s="9"/>
      <c r="B6" s="10" t="s">
        <v>52</v>
      </c>
      <c r="C6" s="10"/>
      <c r="D6" s="10"/>
      <c r="E6" s="10"/>
      <c r="F6" s="10"/>
      <c r="G6" s="10"/>
      <c r="H6" s="11" t="s">
        <v>53</v>
      </c>
    </row>
    <row r="7" spans="1:8" x14ac:dyDescent="0.25">
      <c r="A7" s="12"/>
      <c r="B7" s="13" t="e">
        <f>INDEX(X_OF_FOVs,1,1)</f>
        <v>#NAME?</v>
      </c>
      <c r="C7" s="12" t="e">
        <f>INDEX(X_OF_FOVs,1,3)</f>
        <v>#NAME?</v>
      </c>
      <c r="D7" s="12" t="e">
        <f>INDEX(X_OF_FOVs,1,4)</f>
        <v>#NAME?</v>
      </c>
      <c r="E7" s="12" t="e">
        <f>INDEX(X_OF_FOVs,1,5)</f>
        <v>#NAME?</v>
      </c>
      <c r="F7" s="13" t="e">
        <f>INDEX(X_OF_FOVs,1,7)</f>
        <v>#NAME?</v>
      </c>
      <c r="G7" s="13" t="e">
        <f>INDEX(X_OF_FOVs,1,8)</f>
        <v>#NAME?</v>
      </c>
      <c r="H7" s="14"/>
    </row>
    <row r="8" spans="1:8" x14ac:dyDescent="0.25">
      <c r="A8" s="12" t="s">
        <v>54</v>
      </c>
      <c r="B8" s="15">
        <f t="array" ref="B8:G10">IF(ABS(TRANSPOSE(X1OF))&gt;0,TRANSPOSE(X1OF),"")</f>
        <v>-3.5170000000000001E-7</v>
      </c>
      <c r="C8" s="15">
        <v>-3.8099999999999998E-7</v>
      </c>
      <c r="D8" s="15">
        <v>-3.9369999999999999E-7</v>
      </c>
      <c r="E8" s="15">
        <v>-4.0209999999999998E-7</v>
      </c>
      <c r="F8" s="15">
        <v>-4.1370000000000001E-7</v>
      </c>
      <c r="G8" s="15">
        <v>-4.2010000000000001E-7</v>
      </c>
      <c r="H8" s="14"/>
    </row>
    <row r="9" spans="1:8" x14ac:dyDescent="0.25">
      <c r="A9" s="12" t="s">
        <v>55</v>
      </c>
      <c r="B9" s="15" t="str">
        <v/>
      </c>
      <c r="C9" s="15" t="str">
        <v/>
      </c>
      <c r="D9" s="15" t="str">
        <v/>
      </c>
      <c r="E9" s="15" t="str">
        <v/>
      </c>
      <c r="F9" s="15" t="str">
        <v/>
      </c>
      <c r="G9" s="15" t="str">
        <v/>
      </c>
      <c r="H9" s="14"/>
    </row>
    <row r="10" spans="1:8" ht="15.75" thickBot="1" x14ac:dyDescent="0.3">
      <c r="A10" s="12" t="s">
        <v>56</v>
      </c>
      <c r="B10" s="15" t="str">
        <v/>
      </c>
      <c r="C10" s="15" t="str">
        <v/>
      </c>
      <c r="D10" s="15" t="str">
        <v/>
      </c>
      <c r="E10" s="15" t="str">
        <v/>
      </c>
      <c r="F10" s="15" t="str">
        <v/>
      </c>
      <c r="G10" s="15" t="str">
        <v/>
      </c>
      <c r="H10" s="14"/>
    </row>
    <row r="11" spans="1:8" x14ac:dyDescent="0.25">
      <c r="A11" s="12" t="s">
        <v>57</v>
      </c>
      <c r="B11" s="16">
        <f t="shared" ref="B11:G11" si="0">IFERROR(AVERAGE(B8:B10),"")</f>
        <v>-3.5170000000000001E-7</v>
      </c>
      <c r="C11" s="16">
        <f t="shared" si="0"/>
        <v>-3.8099999999999998E-7</v>
      </c>
      <c r="D11" s="16">
        <f t="shared" si="0"/>
        <v>-3.9369999999999999E-7</v>
      </c>
      <c r="E11" s="16">
        <f t="shared" si="0"/>
        <v>-4.0209999999999998E-7</v>
      </c>
      <c r="F11" s="16">
        <f t="shared" si="0"/>
        <v>-4.1370000000000001E-7</v>
      </c>
      <c r="G11" s="16">
        <f t="shared" si="0"/>
        <v>-4.2010000000000001E-7</v>
      </c>
      <c r="H11" s="14"/>
    </row>
    <row r="12" spans="1:8" x14ac:dyDescent="0.25">
      <c r="A12" s="12" t="s">
        <v>58</v>
      </c>
      <c r="B12" s="17">
        <f t="shared" ref="B12:G12" si="1">IFERROR(B11/$C$11,"")</f>
        <v>0.92309711286089247</v>
      </c>
      <c r="C12" s="17">
        <f t="shared" si="1"/>
        <v>1</v>
      </c>
      <c r="D12" s="17">
        <f t="shared" si="1"/>
        <v>1.0333333333333334</v>
      </c>
      <c r="E12" s="17">
        <f t="shared" si="1"/>
        <v>1.0553805774278215</v>
      </c>
      <c r="F12" s="17">
        <f t="shared" si="1"/>
        <v>1.0858267716535435</v>
      </c>
      <c r="G12" s="17">
        <f t="shared" si="1"/>
        <v>1.1026246719160107</v>
      </c>
      <c r="H12" s="14"/>
    </row>
    <row r="13" spans="1:8" ht="15.75" thickBot="1" x14ac:dyDescent="0.3">
      <c r="A13" s="12" t="s">
        <v>59</v>
      </c>
      <c r="B13" s="18">
        <f>LowX_4x4</f>
        <v>0.93400000000000005</v>
      </c>
      <c r="C13" s="18">
        <f>LowX_10x10</f>
        <v>1</v>
      </c>
      <c r="D13" s="18">
        <f>LowX_15x15</f>
        <v>1.0329999999999999</v>
      </c>
      <c r="E13" s="18">
        <f>LowX_20x20</f>
        <v>1.0529999999999999</v>
      </c>
      <c r="F13" s="18">
        <f>LowX_30x30</f>
        <v>1.081</v>
      </c>
      <c r="G13" s="18">
        <f>LowX_40x40</f>
        <v>1.1000000000000001</v>
      </c>
      <c r="H13" s="14"/>
    </row>
    <row r="14" spans="1:8" x14ac:dyDescent="0.25">
      <c r="A14" s="12" t="s">
        <v>60</v>
      </c>
      <c r="B14" s="19">
        <f t="shared" ref="B14:G14" si="2">IFERROR((B12-B13)/ABS(B13),"")</f>
        <v>-1.1673326701399984E-2</v>
      </c>
      <c r="C14" s="19">
        <f t="shared" si="2"/>
        <v>0</v>
      </c>
      <c r="D14" s="19">
        <f t="shared" si="2"/>
        <v>3.2268473701211876E-4</v>
      </c>
      <c r="E14" s="19">
        <f t="shared" si="2"/>
        <v>2.2607572913785436E-3</v>
      </c>
      <c r="F14" s="19">
        <f t="shared" si="2"/>
        <v>4.4650986619273868E-3</v>
      </c>
      <c r="G14" s="20">
        <f t="shared" si="2"/>
        <v>2.3860653781914254E-3</v>
      </c>
      <c r="H14" s="21" t="str">
        <f>IF(AND(AND(NOT(ISBLANK(B14)),NOT(ISBLANK(C14)),NOT(ISBLANK(D14)),NOT(ISBLANK(E14)),NOT(ISBLANK(F14)),NOT(ISBLANK(G14))),AND(B14&lt;0.02,C14&lt;0.02,D14&lt;0.02,E14&lt;0.02,F14&lt;0.02,G14&lt;0.02)),"PASSED","FAIL")</f>
        <v>PASSED</v>
      </c>
    </row>
    <row r="16" spans="1:8" ht="15.75" x14ac:dyDescent="0.25">
      <c r="A16" s="22" t="str">
        <f>HighX&amp;"X"</f>
        <v>15X</v>
      </c>
      <c r="B16" s="22"/>
      <c r="C16" s="22"/>
      <c r="D16" s="22"/>
      <c r="E16" s="22"/>
      <c r="F16" s="22"/>
      <c r="G16" s="22"/>
      <c r="H16" s="22"/>
    </row>
    <row r="17" spans="1:8" x14ac:dyDescent="0.25">
      <c r="A17" s="6" t="str">
        <f>"Conditions : Depth = dmax @ "&amp; HighX_dmax &amp;"cm"</f>
        <v>Conditions : Depth = dmax @ 2.7cm</v>
      </c>
      <c r="B17" s="7"/>
      <c r="C17" s="7"/>
      <c r="D17" s="7"/>
      <c r="E17" s="7"/>
      <c r="F17" s="7"/>
      <c r="G17" s="7"/>
      <c r="H17" s="8"/>
    </row>
    <row r="18" spans="1:8" ht="18" x14ac:dyDescent="0.25">
      <c r="A18" s="9"/>
      <c r="B18" s="10" t="s">
        <v>52</v>
      </c>
      <c r="C18" s="10"/>
      <c r="D18" s="10"/>
      <c r="E18" s="10"/>
      <c r="F18" s="10"/>
      <c r="G18" s="10"/>
      <c r="H18" s="11" t="s">
        <v>53</v>
      </c>
    </row>
    <row r="19" spans="1:8" x14ac:dyDescent="0.25">
      <c r="A19" s="12"/>
      <c r="B19" s="13" t="e">
        <f>INDEX(X_OF_FOVs,1,1)</f>
        <v>#NAME?</v>
      </c>
      <c r="C19" s="12" t="e">
        <f>INDEX(X_OF_FOVs,1,3)</f>
        <v>#NAME?</v>
      </c>
      <c r="D19" s="12" t="e">
        <f>INDEX(X_OF_FOVs,1,4)</f>
        <v>#NAME?</v>
      </c>
      <c r="E19" s="12" t="e">
        <f>INDEX(X_OF_FOVs,1,5)</f>
        <v>#NAME?</v>
      </c>
      <c r="F19" s="13" t="e">
        <f>INDEX(X_OF_FOVs,1,7)</f>
        <v>#NAME?</v>
      </c>
      <c r="G19" s="13" t="e">
        <f>INDEX(X_OF_FOVs,1,8)</f>
        <v>#NAME?</v>
      </c>
      <c r="H19" s="14"/>
    </row>
    <row r="20" spans="1:8" x14ac:dyDescent="0.25">
      <c r="A20" s="12" t="s">
        <v>54</v>
      </c>
      <c r="B20" s="15">
        <f t="array" ref="B20:G22">IF(ABS(TRANSPOSE(X2OF))&gt;0,TRANSPOSE(X2OF),"")</f>
        <v>-3.4799999999999999E-7</v>
      </c>
      <c r="C20" s="15">
        <v>-3.812E-7</v>
      </c>
      <c r="D20" s="15">
        <v>-3.9480000000000001E-7</v>
      </c>
      <c r="E20" s="15">
        <v>-4.0349999999999998E-7</v>
      </c>
      <c r="F20" s="15">
        <v>-4.1479999999999998E-7</v>
      </c>
      <c r="G20" s="15">
        <v>-4.2059999999999999E-7</v>
      </c>
      <c r="H20" s="14"/>
    </row>
    <row r="21" spans="1:8" x14ac:dyDescent="0.25">
      <c r="A21" s="12" t="s">
        <v>55</v>
      </c>
      <c r="B21" s="15" t="str">
        <v/>
      </c>
      <c r="C21" s="15" t="str">
        <v/>
      </c>
      <c r="D21" s="15" t="str">
        <v/>
      </c>
      <c r="E21" s="15" t="str">
        <v/>
      </c>
      <c r="F21" s="15" t="str">
        <v/>
      </c>
      <c r="G21" s="15" t="str">
        <v/>
      </c>
      <c r="H21" s="14"/>
    </row>
    <row r="22" spans="1:8" ht="15.75" thickBot="1" x14ac:dyDescent="0.3">
      <c r="A22" s="12" t="s">
        <v>56</v>
      </c>
      <c r="B22" s="15" t="str">
        <v/>
      </c>
      <c r="C22" s="15" t="str">
        <v/>
      </c>
      <c r="D22" s="15" t="str">
        <v/>
      </c>
      <c r="E22" s="15" t="str">
        <v/>
      </c>
      <c r="F22" s="15" t="str">
        <v/>
      </c>
      <c r="G22" s="15" t="str">
        <v/>
      </c>
      <c r="H22" s="14"/>
    </row>
    <row r="23" spans="1:8" x14ac:dyDescent="0.25">
      <c r="A23" s="12" t="s">
        <v>57</v>
      </c>
      <c r="B23" s="16">
        <f t="shared" ref="B23:G23" si="3">IFERROR(AVERAGE(B20:B22),"")</f>
        <v>-3.4799999999999999E-7</v>
      </c>
      <c r="C23" s="16">
        <f t="shared" si="3"/>
        <v>-3.812E-7</v>
      </c>
      <c r="D23" s="16">
        <f t="shared" si="3"/>
        <v>-3.9480000000000001E-7</v>
      </c>
      <c r="E23" s="16">
        <f t="shared" si="3"/>
        <v>-4.0349999999999998E-7</v>
      </c>
      <c r="F23" s="16">
        <f t="shared" si="3"/>
        <v>-4.1479999999999998E-7</v>
      </c>
      <c r="G23" s="16">
        <f t="shared" si="3"/>
        <v>-4.2059999999999999E-7</v>
      </c>
      <c r="H23" s="14"/>
    </row>
    <row r="24" spans="1:8" x14ac:dyDescent="0.25">
      <c r="A24" s="12" t="s">
        <v>58</v>
      </c>
      <c r="B24" s="17">
        <f t="shared" ref="B24:G24" si="4">IFERROR(B23/$C$23,"")</f>
        <v>0.91290661070304302</v>
      </c>
      <c r="C24" s="17">
        <f t="shared" si="4"/>
        <v>1</v>
      </c>
      <c r="D24" s="17">
        <f t="shared" si="4"/>
        <v>1.0356768100734524</v>
      </c>
      <c r="E24" s="17">
        <f t="shared" si="4"/>
        <v>1.0584994753410282</v>
      </c>
      <c r="F24" s="17">
        <f t="shared" si="4"/>
        <v>1.0881427072402938</v>
      </c>
      <c r="G24" s="17">
        <f t="shared" si="4"/>
        <v>1.1033578174186778</v>
      </c>
      <c r="H24" s="14"/>
    </row>
    <row r="25" spans="1:8" ht="15.75" thickBot="1" x14ac:dyDescent="0.3">
      <c r="A25" s="12" t="s">
        <v>59</v>
      </c>
      <c r="B25" s="23">
        <f>HighX_4x4</f>
        <v>0.92700000000000005</v>
      </c>
      <c r="C25" s="18">
        <f>HighX_10x10</f>
        <v>1</v>
      </c>
      <c r="D25" s="18">
        <f>HighX_15x15</f>
        <v>1.0289999999999999</v>
      </c>
      <c r="E25" s="18">
        <f>HighX_20x20</f>
        <v>1.0489999999999999</v>
      </c>
      <c r="F25" s="18">
        <f>HighX_30x30</f>
        <v>1.0740000000000001</v>
      </c>
      <c r="G25" s="18">
        <f>HighX_40x40</f>
        <v>1.0880000000000001</v>
      </c>
      <c r="H25" s="14"/>
    </row>
    <row r="26" spans="1:8" x14ac:dyDescent="0.25">
      <c r="A26" s="12" t="s">
        <v>60</v>
      </c>
      <c r="B26" s="19">
        <f>IFERROR((B24-B25)/ABS(B25),"")</f>
        <v>-1.5203224700061517E-2</v>
      </c>
      <c r="C26" s="19">
        <f t="shared" ref="C26:F26" si="5">IFERROR((C24-C25)/ABS(C25),"")</f>
        <v>0</v>
      </c>
      <c r="D26" s="19">
        <f t="shared" si="5"/>
        <v>6.4886395271646687E-3</v>
      </c>
      <c r="E26" s="19">
        <f t="shared" si="5"/>
        <v>9.0557438903987042E-3</v>
      </c>
      <c r="F26" s="19">
        <f t="shared" si="5"/>
        <v>1.3168256275878734E-2</v>
      </c>
      <c r="G26" s="20">
        <f>IFERROR((G24-G25)/ABS(G25),"")</f>
        <v>1.4115641009814061E-2</v>
      </c>
      <c r="H26" s="21" t="str">
        <f>IF(AND(AND(NOT(ISBLANK(B26)),NOT(ISBLANK(C26)),NOT(ISBLANK(D26)),NOT(ISBLANK(E26)),NOT(ISBLANK(F26)),NOT(ISBLANK(G26))),AND(B26&lt;0.02,C26&lt;0.02,D26&lt;0.02,E26&lt;0.02,F26&lt;0.02,G26&lt;0.02)),"PASSED","FAIL")</f>
        <v>PASSED</v>
      </c>
    </row>
    <row r="28" spans="1:8" ht="18" x14ac:dyDescent="0.25">
      <c r="A28" s="24" t="s">
        <v>61</v>
      </c>
      <c r="B28" s="24"/>
      <c r="C28" s="24"/>
      <c r="D28" s="24"/>
      <c r="E28" s="24"/>
      <c r="F28" s="24"/>
      <c r="G28" s="24"/>
      <c r="H28" s="24"/>
    </row>
    <row r="29" spans="1:8" x14ac:dyDescent="0.25">
      <c r="A29" s="6" t="s">
        <v>62</v>
      </c>
      <c r="B29" s="7"/>
      <c r="C29" s="7"/>
      <c r="D29" s="7"/>
      <c r="E29" s="7"/>
      <c r="F29" s="7"/>
      <c r="G29" s="25" t="s">
        <v>63</v>
      </c>
      <c r="H29" s="26">
        <v>3</v>
      </c>
    </row>
    <row r="30" spans="1:8" ht="15.75" x14ac:dyDescent="0.25">
      <c r="A30" s="22" t="s">
        <v>64</v>
      </c>
      <c r="B30" s="22"/>
      <c r="C30" s="22"/>
      <c r="D30" s="22"/>
      <c r="E30" s="22"/>
      <c r="F30" s="22"/>
      <c r="G30" s="22"/>
      <c r="H30" s="22"/>
    </row>
    <row r="31" spans="1:8" x14ac:dyDescent="0.25">
      <c r="A31" s="6" t="e">
        <f>"Conditions : Depth = dmax + 0.5rcav = "&amp;(Elec1_dmax/10 +0.5*$H$29/10)&amp;" cm"</f>
        <v>#NAME?</v>
      </c>
      <c r="B31" s="7"/>
      <c r="C31" s="7"/>
      <c r="D31" s="7"/>
      <c r="E31" s="7"/>
      <c r="F31" s="7"/>
      <c r="G31" s="7"/>
      <c r="H31" s="27"/>
    </row>
    <row r="32" spans="1:8" ht="18" x14ac:dyDescent="0.25">
      <c r="A32" s="28"/>
      <c r="B32" s="28"/>
      <c r="C32" s="10" t="s">
        <v>52</v>
      </c>
      <c r="D32" s="10"/>
      <c r="E32" s="10"/>
      <c r="F32" s="10"/>
      <c r="G32" s="10"/>
      <c r="H32" s="11" t="s">
        <v>53</v>
      </c>
    </row>
    <row r="33" spans="1:8" x14ac:dyDescent="0.25">
      <c r="A33" s="12"/>
      <c r="B33" s="12"/>
      <c r="C33" s="12" t="s">
        <v>65</v>
      </c>
      <c r="D33" s="12" t="s">
        <v>66</v>
      </c>
      <c r="E33" s="12" t="s">
        <v>67</v>
      </c>
      <c r="F33" s="12" t="s">
        <v>68</v>
      </c>
      <c r="G33" s="12" t="s">
        <v>69</v>
      </c>
      <c r="H33" s="29"/>
    </row>
    <row r="34" spans="1:8" x14ac:dyDescent="0.25">
      <c r="A34" s="12" t="s">
        <v>54</v>
      </c>
      <c r="B34" s="12"/>
      <c r="C34" s="15">
        <f t="array" ref="C34:C36">IF(ABS(TRANSPOSE(A6E1OF))&gt;0,TRANSPOSE(A6E1OF),"")</f>
        <v>-4.0820000000000002E-7</v>
      </c>
      <c r="D34" s="15">
        <f t="array" ref="D34:D36">IF(ABS(TRANSPOSE(A10E1OF))&gt;0,TRANSPOSE(A10E1OF),"")</f>
        <v>-4.2310000000000002E-7</v>
      </c>
      <c r="E34" s="15">
        <f t="array" ref="E34:E36">IF(ABS(TRANSPOSE(A15E1OF))&gt;0,TRANSPOSE(A15E1OF),"")</f>
        <v>-4.2360000000000001E-7</v>
      </c>
      <c r="F34" s="15">
        <f t="array" ref="F34:F36">IF(ABS(TRANSPOSE(A20E1OF))&gt;0,TRANSPOSE(A20E1OF),"")</f>
        <v>-4.2819999999999998E-7</v>
      </c>
      <c r="G34" s="15">
        <f t="array" ref="G34:G36">IF(ABS(TRANSPOSE(A25E1OF))&gt;0,TRANSPOSE(A25E1OF),"")</f>
        <v>-4.2749999999999998E-7</v>
      </c>
      <c r="H34" s="29"/>
    </row>
    <row r="35" spans="1:8" x14ac:dyDescent="0.25">
      <c r="A35" s="12" t="s">
        <v>55</v>
      </c>
      <c r="B35" s="12"/>
      <c r="C35" s="15" t="str">
        <v/>
      </c>
      <c r="D35" s="15" t="str">
        <v/>
      </c>
      <c r="E35" s="15" t="str">
        <v/>
      </c>
      <c r="F35" s="15" t="str">
        <v/>
      </c>
      <c r="G35" s="15" t="str">
        <v/>
      </c>
      <c r="H35" s="29"/>
    </row>
    <row r="36" spans="1:8" ht="15.75" thickBot="1" x14ac:dyDescent="0.3">
      <c r="A36" s="12" t="s">
        <v>56</v>
      </c>
      <c r="B36" s="12"/>
      <c r="C36" s="15" t="str">
        <v/>
      </c>
      <c r="D36" s="15" t="str">
        <v/>
      </c>
      <c r="E36" s="15" t="str">
        <v/>
      </c>
      <c r="F36" s="15" t="str">
        <v/>
      </c>
      <c r="G36" s="15" t="str">
        <v/>
      </c>
      <c r="H36" s="29"/>
    </row>
    <row r="37" spans="1:8" x14ac:dyDescent="0.25">
      <c r="A37" s="12" t="s">
        <v>57</v>
      </c>
      <c r="B37" s="12"/>
      <c r="C37" s="16">
        <f>IFERROR(AVERAGE(C34:C36),"")</f>
        <v>-4.0820000000000002E-7</v>
      </c>
      <c r="D37" s="16">
        <f>IFERROR(AVERAGE(D34:D36),"")</f>
        <v>-4.2310000000000002E-7</v>
      </c>
      <c r="E37" s="16">
        <f>IFERROR(AVERAGE(E34:E36),"")</f>
        <v>-4.2360000000000001E-7</v>
      </c>
      <c r="F37" s="16">
        <f>IFERROR(AVERAGE(F34:F36),"")</f>
        <v>-4.2819999999999998E-7</v>
      </c>
      <c r="G37" s="16">
        <f>IFERROR(AVERAGE(G34:G36),"")</f>
        <v>-4.2749999999999998E-7</v>
      </c>
      <c r="H37" s="29"/>
    </row>
    <row r="38" spans="1:8" x14ac:dyDescent="0.25">
      <c r="A38" s="12" t="s">
        <v>58</v>
      </c>
      <c r="B38" s="12"/>
      <c r="C38" s="17">
        <f>IFERROR(C37/$D$37,"")</f>
        <v>0.96478373906877801</v>
      </c>
      <c r="D38" s="17">
        <f>IFERROR(D37/$D$37,"")</f>
        <v>1</v>
      </c>
      <c r="E38" s="17">
        <f>IFERROR(E37/$D$37,"")</f>
        <v>1.0011817537225243</v>
      </c>
      <c r="F38" s="17">
        <f>IFERROR(F37/$D$37,"")</f>
        <v>1.0120538879697469</v>
      </c>
      <c r="G38" s="17">
        <f>IFERROR(G37/$D$37,"")</f>
        <v>1.0103994327582131</v>
      </c>
      <c r="H38" s="29"/>
    </row>
    <row r="39" spans="1:8" ht="15.75" thickBot="1" x14ac:dyDescent="0.3">
      <c r="A39" s="12" t="s">
        <v>59</v>
      </c>
      <c r="B39" s="12"/>
      <c r="C39" s="18">
        <f>Elec1_6x6</f>
        <v>0.96699999999999997</v>
      </c>
      <c r="D39" s="18">
        <f>Elec1_10x10</f>
        <v>1</v>
      </c>
      <c r="E39" s="18">
        <f>Elec1_15x15</f>
        <v>1.002</v>
      </c>
      <c r="F39" s="18">
        <f>Elec1_20x20</f>
        <v>1.01</v>
      </c>
      <c r="G39" s="18">
        <f>Elec1_25x25</f>
        <v>1.0049999999999999</v>
      </c>
      <c r="H39" s="29"/>
    </row>
    <row r="40" spans="1:8" x14ac:dyDescent="0.25">
      <c r="A40" s="12" t="s">
        <v>60</v>
      </c>
      <c r="B40" s="12"/>
      <c r="C40" s="19">
        <f>IFERROR((C38-C39)/ABS(C39),"")</f>
        <v>-2.2918934138799986E-3</v>
      </c>
      <c r="D40" s="19">
        <f>IFERROR((D38-D39)/ABS(D39),"")</f>
        <v>0</v>
      </c>
      <c r="E40" s="19">
        <f>IFERROR((E38-E39)/ABS(E39),"")</f>
        <v>-8.1661305137298551E-4</v>
      </c>
      <c r="F40" s="19">
        <f>IFERROR((F38-F39)/ABS(F39),"")</f>
        <v>2.0335524452939858E-3</v>
      </c>
      <c r="G40" s="19">
        <f>IFERROR((G38-G39)/ABS(G39),"")</f>
        <v>5.3725699086698475E-3</v>
      </c>
      <c r="H40" s="21" t="str">
        <f>IF(AND(AND(NOT(ISBLANK(C40)),NOT(ISBLANK(D40)),NOT(ISBLANK(E40)),NOT(ISBLANK(F40)),NOT(ISBLANK(G40))),AND(C40&lt;0.02,D40&lt;0.02,E40&lt;0.02,F40&lt;0.02,G40&lt;0.02)),"PASSED","FAIL")</f>
        <v>PASSED</v>
      </c>
    </row>
    <row r="43" spans="1:8" x14ac:dyDescent="0.25">
      <c r="A43" s="30" t="s">
        <v>70</v>
      </c>
      <c r="B43" s="30"/>
      <c r="C43" s="30"/>
      <c r="D43" s="30"/>
      <c r="E43" s="30"/>
      <c r="F43" s="30"/>
      <c r="G43" s="30"/>
      <c r="H43" s="30"/>
    </row>
    <row r="47" spans="1:8" ht="15.75" x14ac:dyDescent="0.25">
      <c r="A47" s="22" t="s">
        <v>71</v>
      </c>
      <c r="B47" s="22"/>
      <c r="C47" s="22"/>
      <c r="D47" s="22"/>
      <c r="E47" s="22"/>
      <c r="F47" s="22"/>
      <c r="G47" s="22"/>
      <c r="H47" s="22"/>
    </row>
    <row r="48" spans="1:8" x14ac:dyDescent="0.25">
      <c r="A48" s="6" t="e">
        <f>"Conditions : Depth = dmax + 0.5rcav = "&amp;(Elec2_dmax/10 +0.5*$H$29/10)&amp;" cm"</f>
        <v>#NAME?</v>
      </c>
      <c r="B48" s="7"/>
      <c r="C48" s="7"/>
      <c r="D48" s="7"/>
      <c r="E48" s="7"/>
      <c r="F48" s="7"/>
      <c r="G48" s="7"/>
      <c r="H48" s="8"/>
    </row>
    <row r="49" spans="1:8" ht="18" x14ac:dyDescent="0.25">
      <c r="A49" s="31"/>
      <c r="B49" s="31"/>
      <c r="C49" s="10" t="s">
        <v>52</v>
      </c>
      <c r="D49" s="10"/>
      <c r="E49" s="10"/>
      <c r="F49" s="10"/>
      <c r="G49" s="10"/>
      <c r="H49" s="11" t="s">
        <v>53</v>
      </c>
    </row>
    <row r="50" spans="1:8" x14ac:dyDescent="0.25">
      <c r="A50" s="12"/>
      <c r="B50" s="12"/>
      <c r="C50" s="12" t="s">
        <v>65</v>
      </c>
      <c r="D50" s="12" t="s">
        <v>66</v>
      </c>
      <c r="E50" s="12" t="s">
        <v>67</v>
      </c>
      <c r="F50" s="12" t="s">
        <v>68</v>
      </c>
      <c r="G50" s="12" t="s">
        <v>69</v>
      </c>
      <c r="H50" s="14"/>
    </row>
    <row r="51" spans="1:8" x14ac:dyDescent="0.25">
      <c r="A51" s="12" t="s">
        <v>54</v>
      </c>
      <c r="B51" s="12"/>
      <c r="C51" s="15">
        <f t="array" ref="C51:C53">IF(ABS(TRANSPOSE(A6E2OF))&gt;0,TRANSPOSE(A6E2OF),"")</f>
        <v>-4.165E-7</v>
      </c>
      <c r="D51" s="15">
        <f t="array" ref="D51:D53">IF(ABS(TRANSPOSE(A10E2OF))&gt;0,TRANSPOSE(A10E2OF),"")</f>
        <v>-4.2609999999999998E-7</v>
      </c>
      <c r="E51" s="15">
        <f t="array" ref="E51:E53">IF(ABS(TRANSPOSE(A15E2OF))&gt;0,TRANSPOSE(A15E2OF),"")</f>
        <v>-4.2539999999999998E-7</v>
      </c>
      <c r="F51" s="15">
        <f t="array" ref="F51:F53">IF(ABS(TRANSPOSE(A20E2OF))&gt;0,TRANSPOSE(A20E2OF),"")</f>
        <v>-4.165E-7</v>
      </c>
      <c r="G51" s="32">
        <f t="array" ref="G51:G53">IF(ABS(TRANSPOSE(A25E2OF))&gt;0,TRANSPOSE(A25E2OF),"")</f>
        <v>-4.122E-7</v>
      </c>
      <c r="H51" s="14"/>
    </row>
    <row r="52" spans="1:8" x14ac:dyDescent="0.25">
      <c r="A52" s="12" t="s">
        <v>55</v>
      </c>
      <c r="B52" s="12"/>
      <c r="C52" s="15" t="str">
        <v/>
      </c>
      <c r="D52" s="15" t="str">
        <v/>
      </c>
      <c r="E52" s="15" t="str">
        <v/>
      </c>
      <c r="F52" s="15" t="str">
        <v/>
      </c>
      <c r="G52" s="32" t="str">
        <v/>
      </c>
      <c r="H52" s="14"/>
    </row>
    <row r="53" spans="1:8" ht="15.75" thickBot="1" x14ac:dyDescent="0.3">
      <c r="A53" s="12" t="s">
        <v>56</v>
      </c>
      <c r="B53" s="12"/>
      <c r="C53" s="15" t="str">
        <v/>
      </c>
      <c r="D53" s="15" t="str">
        <v/>
      </c>
      <c r="E53" s="15" t="str">
        <v/>
      </c>
      <c r="F53" s="15" t="str">
        <v/>
      </c>
      <c r="G53" s="32" t="str">
        <v/>
      </c>
      <c r="H53" s="14"/>
    </row>
    <row r="54" spans="1:8" x14ac:dyDescent="0.25">
      <c r="A54" s="12" t="s">
        <v>57</v>
      </c>
      <c r="B54" s="12"/>
      <c r="C54" s="16">
        <f>IFERROR(AVERAGE(C51:C53),"")</f>
        <v>-4.165E-7</v>
      </c>
      <c r="D54" s="16">
        <f>IFERROR(AVERAGE(D51:D53),"")</f>
        <v>-4.2609999999999998E-7</v>
      </c>
      <c r="E54" s="16">
        <f>IFERROR(AVERAGE(E51:E53),"")</f>
        <v>-4.2539999999999998E-7</v>
      </c>
      <c r="F54" s="16">
        <f>IFERROR(AVERAGE(F51:F53),"")</f>
        <v>-4.165E-7</v>
      </c>
      <c r="G54" s="16">
        <f>IFERROR(AVERAGE(G51:G53),"")</f>
        <v>-4.122E-7</v>
      </c>
      <c r="H54" s="14"/>
    </row>
    <row r="55" spans="1:8" x14ac:dyDescent="0.25">
      <c r="A55" s="12" t="s">
        <v>58</v>
      </c>
      <c r="B55" s="12"/>
      <c r="C55" s="17">
        <f>IFERROR(C54/$D$54,"")</f>
        <v>0.97747007744660885</v>
      </c>
      <c r="D55" s="17">
        <f>IFERROR(D54/$D$54,"")</f>
        <v>1</v>
      </c>
      <c r="E55" s="17">
        <f>IFERROR(E54/$D$54,"")</f>
        <v>0.99835719314714855</v>
      </c>
      <c r="F55" s="17">
        <f>IFERROR(F54/$D$54,"")</f>
        <v>0.97747007744660885</v>
      </c>
      <c r="G55" s="17">
        <f>IFERROR(G54/$D$54,"")</f>
        <v>0.96737854963623571</v>
      </c>
      <c r="H55" s="14"/>
    </row>
    <row r="56" spans="1:8" ht="15.75" thickBot="1" x14ac:dyDescent="0.3">
      <c r="A56" s="12" t="s">
        <v>59</v>
      </c>
      <c r="B56" s="12"/>
      <c r="C56" s="18">
        <f>Elec2_6x6</f>
        <v>0.98199999999999998</v>
      </c>
      <c r="D56" s="18">
        <f>Elec2_10x10</f>
        <v>1</v>
      </c>
      <c r="E56" s="18">
        <f>Elec2_15x15</f>
        <v>1</v>
      </c>
      <c r="F56" s="18">
        <f>Elec2_20x20</f>
        <v>0.98699999999999999</v>
      </c>
      <c r="G56" s="18">
        <f>Elec2_25x25</f>
        <v>0.96499999999999997</v>
      </c>
      <c r="H56" s="14"/>
    </row>
    <row r="57" spans="1:8" x14ac:dyDescent="0.25">
      <c r="A57" s="12" t="s">
        <v>60</v>
      </c>
      <c r="B57" s="12"/>
      <c r="C57" s="19">
        <f>IFERROR((C55-C56)/ABS(C56),"")</f>
        <v>-4.6129557570174446E-3</v>
      </c>
      <c r="D57" s="19">
        <f>IFERROR((D55-D56)/ABS(D56),"")</f>
        <v>0</v>
      </c>
      <c r="E57" s="19">
        <f>IFERROR((E55-E56)/ABS(E56),"")</f>
        <v>-1.6428068528514528E-3</v>
      </c>
      <c r="F57" s="19">
        <f>IFERROR((F55-F56)/ABS(F56),"")</f>
        <v>-9.6554433165057085E-3</v>
      </c>
      <c r="G57" s="19">
        <f>IFERROR((G55-G56)/ABS(G56),"")</f>
        <v>2.464818275891957E-3</v>
      </c>
      <c r="H57" s="21" t="str">
        <f>IF(AND(AND(NOT(ISBLANK(C57)),NOT(ISBLANK(D57)),NOT(ISBLANK(E57)),NOT(ISBLANK(F57)),NOT(ISBLANK(G57))),AND(C57&lt;0.02,D57&lt;0.02,E57&lt;0.02,F57&lt;0.02,G57&lt;0.02)),"PASSED","FAIL")</f>
        <v>PASSED</v>
      </c>
    </row>
    <row r="59" spans="1:8" ht="15.75" x14ac:dyDescent="0.25">
      <c r="A59" s="5" t="s">
        <v>72</v>
      </c>
      <c r="B59" s="5"/>
      <c r="C59" s="5"/>
      <c r="D59" s="5"/>
      <c r="E59" s="5"/>
      <c r="F59" s="5"/>
      <c r="G59" s="5"/>
      <c r="H59" s="5"/>
    </row>
    <row r="60" spans="1:8" x14ac:dyDescent="0.25">
      <c r="A60" s="6" t="e">
        <f>"Conditions : Depth = dmax + 0.5rcav = "&amp;(Elec3_dmax/10  +0.5*$H$29/10)&amp;" cm"</f>
        <v>#NAME?</v>
      </c>
      <c r="B60" s="7"/>
      <c r="C60" s="7"/>
      <c r="D60" s="7"/>
      <c r="E60" s="7"/>
      <c r="F60" s="7"/>
      <c r="G60" s="7"/>
      <c r="H60" s="27"/>
    </row>
    <row r="61" spans="1:8" ht="18" x14ac:dyDescent="0.25">
      <c r="A61" s="31"/>
      <c r="B61" s="31"/>
      <c r="C61" s="10" t="s">
        <v>52</v>
      </c>
      <c r="D61" s="10"/>
      <c r="E61" s="10"/>
      <c r="F61" s="10"/>
      <c r="G61" s="10"/>
      <c r="H61" s="11" t="s">
        <v>53</v>
      </c>
    </row>
    <row r="62" spans="1:8" x14ac:dyDescent="0.25">
      <c r="A62" s="12"/>
      <c r="B62" s="12"/>
      <c r="C62" s="12" t="s">
        <v>65</v>
      </c>
      <c r="D62" s="12" t="s">
        <v>66</v>
      </c>
      <c r="E62" s="12" t="s">
        <v>67</v>
      </c>
      <c r="F62" s="12" t="s">
        <v>68</v>
      </c>
      <c r="G62" s="12" t="s">
        <v>69</v>
      </c>
      <c r="H62" s="14"/>
    </row>
    <row r="63" spans="1:8" x14ac:dyDescent="0.25">
      <c r="A63" s="12" t="s">
        <v>54</v>
      </c>
      <c r="B63" s="12"/>
      <c r="C63" s="15">
        <f t="array" ref="C63:C65">IF(ABS(TRANSPOSE(A6E3OF))&gt;0,TRANSPOSE(A6E3OF),"")</f>
        <v>-4.1829999999999998E-7</v>
      </c>
      <c r="D63" s="15">
        <f t="array" ref="D63:D65">IF(ABS(TRANSPOSE(A10E3OF))&gt;0,TRANSPOSE(A10E3OF),"")</f>
        <v>-4.32E-7</v>
      </c>
      <c r="E63" s="15">
        <f t="array" ref="E63:E65">IF(ABS(TRANSPOSE(A15E3OF))&gt;0,TRANSPOSE(A15E3OF),"")</f>
        <v>-4.291E-7</v>
      </c>
      <c r="F63" s="15">
        <f t="array" ref="F63:F65">IF(ABS(TRANSPOSE(A20E3OF))&gt;0,TRANSPOSE(A20E3OF),"")</f>
        <v>-4.2269999999999999E-7</v>
      </c>
      <c r="G63" s="32">
        <f t="array" ref="G63:G65">IF(ABS(TRANSPOSE(A25E3OF))&gt;0,TRANSPOSE(A25E3OF),"")</f>
        <v>-4.1059999999999998E-7</v>
      </c>
      <c r="H63" s="14"/>
    </row>
    <row r="64" spans="1:8" x14ac:dyDescent="0.25">
      <c r="A64" s="12" t="s">
        <v>55</v>
      </c>
      <c r="B64" s="12"/>
      <c r="C64" s="15" t="str">
        <v/>
      </c>
      <c r="D64" s="15" t="str">
        <v/>
      </c>
      <c r="E64" s="15" t="str">
        <v/>
      </c>
      <c r="F64" s="15" t="str">
        <v/>
      </c>
      <c r="G64" s="32" t="str">
        <v/>
      </c>
      <c r="H64" s="14"/>
    </row>
    <row r="65" spans="1:8" ht="15.75" thickBot="1" x14ac:dyDescent="0.3">
      <c r="A65" s="12" t="s">
        <v>56</v>
      </c>
      <c r="B65" s="12"/>
      <c r="C65" s="15" t="str">
        <v/>
      </c>
      <c r="D65" s="15" t="str">
        <v/>
      </c>
      <c r="E65" s="15" t="str">
        <v/>
      </c>
      <c r="F65" s="15" t="str">
        <v/>
      </c>
      <c r="G65" s="32" t="str">
        <v/>
      </c>
      <c r="H65" s="14"/>
    </row>
    <row r="66" spans="1:8" x14ac:dyDescent="0.25">
      <c r="A66" s="12" t="s">
        <v>57</v>
      </c>
      <c r="B66" s="12"/>
      <c r="C66" s="16">
        <f>IFERROR(AVERAGE(C63:C65),"")</f>
        <v>-4.1829999999999998E-7</v>
      </c>
      <c r="D66" s="16">
        <f>IFERROR(AVERAGE(D63:D65),"")</f>
        <v>-4.32E-7</v>
      </c>
      <c r="E66" s="16">
        <f>IFERROR(AVERAGE(E63:E65),"")</f>
        <v>-4.291E-7</v>
      </c>
      <c r="F66" s="16">
        <f>IFERROR(AVERAGE(F63:F65),"")</f>
        <v>-4.2269999999999999E-7</v>
      </c>
      <c r="G66" s="16">
        <f>IFERROR(AVERAGE(G63:G65),"")</f>
        <v>-4.1059999999999998E-7</v>
      </c>
      <c r="H66" s="14"/>
    </row>
    <row r="67" spans="1:8" x14ac:dyDescent="0.25">
      <c r="A67" s="12" t="s">
        <v>58</v>
      </c>
      <c r="B67" s="12"/>
      <c r="C67" s="17">
        <f>IFERROR(C66/$D$66,"")</f>
        <v>0.968287037037037</v>
      </c>
      <c r="D67" s="17">
        <f>IFERROR(D66/$D$66,"")</f>
        <v>1</v>
      </c>
      <c r="E67" s="17">
        <f>IFERROR(E66/$D$66,"")</f>
        <v>0.99328703703703702</v>
      </c>
      <c r="F67" s="17">
        <f>IFERROR(F66/$D$66,"")</f>
        <v>0.97847222222222219</v>
      </c>
      <c r="G67" s="17">
        <f>IFERROR(G66/$D$66,"")</f>
        <v>0.95046296296296295</v>
      </c>
      <c r="H67" s="14"/>
    </row>
    <row r="68" spans="1:8" ht="15.75" thickBot="1" x14ac:dyDescent="0.3">
      <c r="A68" s="12" t="s">
        <v>59</v>
      </c>
      <c r="B68" s="12"/>
      <c r="C68" s="18">
        <f>Elec3_6x6</f>
        <v>0.98099999999999998</v>
      </c>
      <c r="D68" s="18">
        <f>Elec3_10x10</f>
        <v>1</v>
      </c>
      <c r="E68" s="18">
        <f>Elec3_15x15</f>
        <v>0.99199999999999999</v>
      </c>
      <c r="F68" s="18">
        <f>Elec3_20x20</f>
        <v>0.97799999999999998</v>
      </c>
      <c r="G68" s="18">
        <f>Elec3_25x25</f>
        <v>0.95099999999999996</v>
      </c>
      <c r="H68" s="14"/>
    </row>
    <row r="69" spans="1:8" x14ac:dyDescent="0.25">
      <c r="A69" s="12" t="s">
        <v>60</v>
      </c>
      <c r="B69" s="12"/>
      <c r="C69" s="19">
        <f>IFERROR((C67-C68)/ABS(C68),"")</f>
        <v>-1.2959187525956149E-2</v>
      </c>
      <c r="D69" s="19">
        <f>IFERROR((D67-D68)/ABS(D68),"")</f>
        <v>0</v>
      </c>
      <c r="E69" s="19">
        <f>IFERROR((E67-E68)/ABS(E68),"")</f>
        <v>1.297416367980878E-3</v>
      </c>
      <c r="F69" s="19">
        <f>IFERROR((F67-F68)/ABS(F68),"")</f>
        <v>4.8284480799816692E-4</v>
      </c>
      <c r="G69" s="19">
        <f>IFERROR((G67-G68)/ABS(G68),"")</f>
        <v>-5.6470771507571252E-4</v>
      </c>
      <c r="H69" s="21" t="str">
        <f>IF(AND(AND(NOT(ISBLANK(C69)),NOT(ISBLANK(D69)),NOT(ISBLANK(E69)),NOT(ISBLANK(F69)),NOT(ISBLANK(G69))),AND(C69&lt;0.02,D69&lt;0.02,E69&lt;0.02,F69&lt;0.02,G69&lt;0.02)),"PASSED","FAIL")</f>
        <v>PASSED</v>
      </c>
    </row>
    <row r="71" spans="1:8" ht="15.75" x14ac:dyDescent="0.25">
      <c r="A71" s="5" t="s">
        <v>73</v>
      </c>
      <c r="B71" s="5"/>
      <c r="C71" s="5"/>
      <c r="D71" s="5"/>
      <c r="E71" s="5"/>
      <c r="F71" s="5"/>
      <c r="G71" s="5"/>
      <c r="H71" s="5"/>
    </row>
    <row r="72" spans="1:8" x14ac:dyDescent="0.25">
      <c r="A72" s="6" t="e">
        <f>"Conditions : Depth = dmax + 0.5rcav = "&amp;(Elec4_dmax/10 +0.5*$H$29/10)&amp;" cm"</f>
        <v>#NAME?</v>
      </c>
      <c r="B72" s="7"/>
      <c r="C72" s="7"/>
      <c r="D72" s="7"/>
      <c r="E72" s="7"/>
      <c r="F72" s="7"/>
      <c r="G72" s="7"/>
      <c r="H72" s="27"/>
    </row>
    <row r="73" spans="1:8" ht="18" x14ac:dyDescent="0.25">
      <c r="A73" s="31"/>
      <c r="B73" s="31"/>
      <c r="C73" s="10" t="s">
        <v>52</v>
      </c>
      <c r="D73" s="10"/>
      <c r="E73" s="10"/>
      <c r="F73" s="10"/>
      <c r="G73" s="10"/>
      <c r="H73" s="11" t="s">
        <v>53</v>
      </c>
    </row>
    <row r="74" spans="1:8" x14ac:dyDescent="0.25">
      <c r="A74" s="12"/>
      <c r="B74" s="12"/>
      <c r="C74" s="12" t="s">
        <v>65</v>
      </c>
      <c r="D74" s="12" t="s">
        <v>66</v>
      </c>
      <c r="E74" s="12" t="s">
        <v>67</v>
      </c>
      <c r="F74" s="12" t="s">
        <v>68</v>
      </c>
      <c r="G74" s="12" t="s">
        <v>69</v>
      </c>
      <c r="H74" s="14"/>
    </row>
    <row r="75" spans="1:8" x14ac:dyDescent="0.25">
      <c r="A75" s="12" t="s">
        <v>54</v>
      </c>
      <c r="B75" s="12"/>
      <c r="C75" s="15">
        <f t="array" ref="C75:C77">IF(ABS(TRANSPOSE(A6E4OF))&gt;0,TRANSPOSE(A6E4OF),"")</f>
        <v>-4.277E-7</v>
      </c>
      <c r="D75" s="15">
        <f t="array" ref="D75:D77">IF(ABS(TRANSPOSE(A10E4OF))&gt;0,TRANSPOSE(A10E4OF),"")</f>
        <v>-4.3720000000000002E-7</v>
      </c>
      <c r="E75" s="15">
        <f t="array" ref="E75:E77">IF(ABS(TRANSPOSE(A15E4OF))&gt;0,TRANSPOSE(A15E4OF),"")</f>
        <v>-4.326E-7</v>
      </c>
      <c r="F75" s="15">
        <f t="array" ref="F75:F77">IF(ABS(TRANSPOSE(A20E4OF))&gt;0,TRANSPOSE(A20E4OF),"")</f>
        <v>-4.2580000000000001E-7</v>
      </c>
      <c r="G75" s="32">
        <f t="array" ref="G75:G77">IF(ABS(TRANSPOSE(A25E4OF))&gt;0,TRANSPOSE(A25E4OF),"")</f>
        <v>-4.1230000000000001E-7</v>
      </c>
      <c r="H75" s="14"/>
    </row>
    <row r="76" spans="1:8" x14ac:dyDescent="0.25">
      <c r="A76" s="12" t="s">
        <v>55</v>
      </c>
      <c r="B76" s="12"/>
      <c r="C76" s="15" t="str">
        <v/>
      </c>
      <c r="D76" s="15" t="str">
        <v/>
      </c>
      <c r="E76" s="15" t="str">
        <v/>
      </c>
      <c r="F76" s="15" t="str">
        <v/>
      </c>
      <c r="G76" s="32" t="str">
        <v/>
      </c>
      <c r="H76" s="14"/>
    </row>
    <row r="77" spans="1:8" ht="15.75" thickBot="1" x14ac:dyDescent="0.3">
      <c r="A77" s="12" t="s">
        <v>56</v>
      </c>
      <c r="B77" s="12"/>
      <c r="C77" s="15" t="str">
        <v/>
      </c>
      <c r="D77" s="15" t="str">
        <v/>
      </c>
      <c r="E77" s="15" t="str">
        <v/>
      </c>
      <c r="F77" s="15" t="str">
        <v/>
      </c>
      <c r="G77" s="32" t="str">
        <v/>
      </c>
      <c r="H77" s="14"/>
    </row>
    <row r="78" spans="1:8" x14ac:dyDescent="0.25">
      <c r="A78" s="12" t="s">
        <v>57</v>
      </c>
      <c r="B78" s="12"/>
      <c r="C78" s="16">
        <f>IFERROR(AVERAGE(C75:C77),"")</f>
        <v>-4.277E-7</v>
      </c>
      <c r="D78" s="16">
        <f>IFERROR(AVERAGE(D75:D77),"")</f>
        <v>-4.3720000000000002E-7</v>
      </c>
      <c r="E78" s="16">
        <f>IFERROR(AVERAGE(E75:E77),"")</f>
        <v>-4.326E-7</v>
      </c>
      <c r="F78" s="16">
        <f>IFERROR(AVERAGE(F75:F77),"")</f>
        <v>-4.2580000000000001E-7</v>
      </c>
      <c r="G78" s="16">
        <f>IFERROR(AVERAGE(G75:G77),"")</f>
        <v>-4.1230000000000001E-7</v>
      </c>
      <c r="H78" s="14"/>
    </row>
    <row r="79" spans="1:8" x14ac:dyDescent="0.25">
      <c r="A79" s="12" t="s">
        <v>58</v>
      </c>
      <c r="B79" s="12"/>
      <c r="C79" s="17">
        <f>IFERROR(C78/$D$78,"")</f>
        <v>0.97827081427264406</v>
      </c>
      <c r="D79" s="17">
        <f>IFERROR(D78/$D$78,"")</f>
        <v>1</v>
      </c>
      <c r="E79" s="17">
        <f>IFERROR(E78/$D$78,"")</f>
        <v>0.98947849954254341</v>
      </c>
      <c r="F79" s="17">
        <f>IFERROR(F78/$D$78,"")</f>
        <v>0.97392497712717285</v>
      </c>
      <c r="G79" s="17">
        <f>IFERROR(G78/$D$78,"")</f>
        <v>0.94304666056724606</v>
      </c>
      <c r="H79" s="14"/>
    </row>
    <row r="80" spans="1:8" ht="15.75" thickBot="1" x14ac:dyDescent="0.3">
      <c r="A80" s="12" t="s">
        <v>59</v>
      </c>
      <c r="B80" s="12"/>
      <c r="C80" s="18">
        <f>Elec4_6x6</f>
        <v>0.98899999999999999</v>
      </c>
      <c r="D80" s="18">
        <f>Elec4_10x10</f>
        <v>1</v>
      </c>
      <c r="E80" s="18">
        <f>Elec4_15x15</f>
        <v>0.98499999999999999</v>
      </c>
      <c r="F80" s="18">
        <f>Elec4_20x20</f>
        <v>0.97399999999999998</v>
      </c>
      <c r="G80" s="18">
        <f>Elec4_25x25</f>
        <v>0.94399999999999995</v>
      </c>
      <c r="H80" s="14"/>
    </row>
    <row r="81" spans="1:8" x14ac:dyDescent="0.25">
      <c r="A81" s="12" t="s">
        <v>60</v>
      </c>
      <c r="B81" s="12"/>
      <c r="C81" s="19">
        <f>IFERROR((C79-C80)/ABS(C80),"")</f>
        <v>-1.084851944120923E-2</v>
      </c>
      <c r="D81" s="19">
        <f>IFERROR((D79-D80)/ABS(D80),"")</f>
        <v>0</v>
      </c>
      <c r="E81" s="19">
        <f>IFERROR((E79-E80)/ABS(E80),"")</f>
        <v>4.5467000431912933E-3</v>
      </c>
      <c r="F81" s="19">
        <f>IFERROR((F79-F80)/ABS(F80),"")</f>
        <v>-7.702553678349492E-5</v>
      </c>
      <c r="G81" s="19">
        <f>IFERROR((G79-G80)/ABS(G80),"")</f>
        <v>-1.0098934669003027E-3</v>
      </c>
      <c r="H81" s="21" t="str">
        <f>IF(AND(AND(NOT(ISBLANK(C81)),NOT(ISBLANK(D81)),NOT(ISBLANK(E81)),NOT(ISBLANK(F81)),NOT(ISBLANK(G81))),AND(C81&lt;0.02,D81&lt;0.02,E81&lt;0.02,F81&lt;0.02,G81&lt;0.02)),"PASSED","FAIL")</f>
        <v>PASSED</v>
      </c>
    </row>
    <row r="83" spans="1:8" ht="15.75" x14ac:dyDescent="0.25">
      <c r="A83" s="5" t="s">
        <v>74</v>
      </c>
      <c r="B83" s="5"/>
      <c r="C83" s="5"/>
      <c r="D83" s="5"/>
      <c r="E83" s="5"/>
      <c r="F83" s="5"/>
      <c r="G83" s="5"/>
      <c r="H83" s="5"/>
    </row>
    <row r="84" spans="1:8" x14ac:dyDescent="0.25">
      <c r="A84" s="6" t="e">
        <f>"Conditions : Depth = dmax + 0.5rcav = "&amp;(Elec5_dmax/10 +0.5*$H$29/10)&amp;" cm"</f>
        <v>#NAME?</v>
      </c>
      <c r="B84" s="7"/>
      <c r="C84" s="7"/>
      <c r="D84" s="7"/>
      <c r="E84" s="7"/>
      <c r="F84" s="7"/>
      <c r="G84" s="7"/>
      <c r="H84" s="27"/>
    </row>
    <row r="85" spans="1:8" ht="18" x14ac:dyDescent="0.25">
      <c r="A85" s="31"/>
      <c r="B85" s="31"/>
      <c r="C85" s="10" t="s">
        <v>52</v>
      </c>
      <c r="D85" s="10"/>
      <c r="E85" s="10"/>
      <c r="F85" s="10"/>
      <c r="G85" s="10"/>
      <c r="H85" s="11" t="s">
        <v>53</v>
      </c>
    </row>
    <row r="86" spans="1:8" x14ac:dyDescent="0.25">
      <c r="A86" s="12"/>
      <c r="B86" s="12"/>
      <c r="C86" s="12" t="s">
        <v>65</v>
      </c>
      <c r="D86" s="12" t="s">
        <v>66</v>
      </c>
      <c r="E86" s="12" t="s">
        <v>67</v>
      </c>
      <c r="F86" s="12" t="s">
        <v>68</v>
      </c>
      <c r="G86" s="12" t="s">
        <v>69</v>
      </c>
      <c r="H86" s="14"/>
    </row>
    <row r="87" spans="1:8" x14ac:dyDescent="0.25">
      <c r="A87" s="12" t="s">
        <v>54</v>
      </c>
      <c r="B87" s="12"/>
      <c r="C87" s="15">
        <f t="array" ref="C87:C89">IF(ABS(TRANSPOSE(A6E5OF))&gt;0,TRANSPOSE(A6E5OF),"")</f>
        <v>-4.495E-7</v>
      </c>
      <c r="D87" s="15">
        <f t="array" ref="D87:D89">IF(ABS(TRANSPOSE(A10E5OF))&gt;0,TRANSPOSE(A10E5OF),"")</f>
        <v>-4.5159999999999999E-7</v>
      </c>
      <c r="E87" s="15">
        <f t="array" ref="E87:E89">IF(ABS(TRANSPOSE(A15E5OF))&gt;0,TRANSPOSE(A15E5OF),"")</f>
        <v>-4.4289999999999998E-7</v>
      </c>
      <c r="F87" s="15">
        <f t="array" ref="F87:F89">IF(ABS(TRANSPOSE(A20E5OF))&gt;0,TRANSPOSE(A20E5OF),"")</f>
        <v>-4.3430000000000002E-7</v>
      </c>
      <c r="G87" s="32">
        <f t="array" ref="G87:G89">IF(ABS(TRANSPOSE(A25E5OF))&gt;0,TRANSPOSE(A25E5OF),"")</f>
        <v>-4.2090000000000002E-7</v>
      </c>
      <c r="H87" s="14"/>
    </row>
    <row r="88" spans="1:8" x14ac:dyDescent="0.25">
      <c r="A88" s="12" t="s">
        <v>55</v>
      </c>
      <c r="B88" s="12"/>
      <c r="C88" s="15" t="str">
        <v/>
      </c>
      <c r="D88" s="15" t="str">
        <v/>
      </c>
      <c r="E88" s="15" t="str">
        <v/>
      </c>
      <c r="F88" s="15" t="str">
        <v/>
      </c>
      <c r="G88" s="32" t="str">
        <v/>
      </c>
      <c r="H88" s="14"/>
    </row>
    <row r="89" spans="1:8" ht="15.75" thickBot="1" x14ac:dyDescent="0.3">
      <c r="A89" s="12" t="s">
        <v>56</v>
      </c>
      <c r="B89" s="12"/>
      <c r="C89" s="15" t="str">
        <v/>
      </c>
      <c r="D89" s="15" t="str">
        <v/>
      </c>
      <c r="E89" s="15" t="str">
        <v/>
      </c>
      <c r="F89" s="15" t="str">
        <v/>
      </c>
      <c r="G89" s="32" t="str">
        <v/>
      </c>
      <c r="H89" s="14"/>
    </row>
    <row r="90" spans="1:8" x14ac:dyDescent="0.25">
      <c r="A90" s="12" t="s">
        <v>57</v>
      </c>
      <c r="B90" s="12"/>
      <c r="C90" s="16">
        <f>IFERROR(AVERAGE(C87:C89),"")</f>
        <v>-4.495E-7</v>
      </c>
      <c r="D90" s="16">
        <f>IFERROR(AVERAGE(D87:D89),"")</f>
        <v>-4.5159999999999999E-7</v>
      </c>
      <c r="E90" s="16">
        <f>IFERROR(AVERAGE(E87:E89),"")</f>
        <v>-4.4289999999999998E-7</v>
      </c>
      <c r="F90" s="16">
        <f>IFERROR(AVERAGE(F87:F89),"")</f>
        <v>-4.3430000000000002E-7</v>
      </c>
      <c r="G90" s="16">
        <f>IFERROR(AVERAGE(G87:G89),"")</f>
        <v>-4.2090000000000002E-7</v>
      </c>
      <c r="H90" s="14"/>
    </row>
    <row r="91" spans="1:8" x14ac:dyDescent="0.25">
      <c r="A91" s="12" t="s">
        <v>58</v>
      </c>
      <c r="B91" s="12"/>
      <c r="C91" s="17">
        <f>IFERROR(C90/$D$90,"")</f>
        <v>0.99534986713906115</v>
      </c>
      <c r="D91" s="17">
        <f>IFERROR(D90/$D$90,"")</f>
        <v>1</v>
      </c>
      <c r="E91" s="17">
        <f>IFERROR(E90/$D$90,"")</f>
        <v>0.98073516386182458</v>
      </c>
      <c r="F91" s="17">
        <f>IFERROR(F90/$D$90,"")</f>
        <v>0.96169176262178924</v>
      </c>
      <c r="G91" s="17">
        <f>IFERROR(G90/$D$90,"")</f>
        <v>0.93201948627103637</v>
      </c>
      <c r="H91" s="14"/>
    </row>
    <row r="92" spans="1:8" ht="15.75" thickBot="1" x14ac:dyDescent="0.3">
      <c r="A92" s="12" t="s">
        <v>59</v>
      </c>
      <c r="B92" s="12"/>
      <c r="C92" s="18">
        <f>Elec5_6x6</f>
        <v>0.998</v>
      </c>
      <c r="D92" s="18">
        <f>Elec5_10x10</f>
        <v>1</v>
      </c>
      <c r="E92" s="18">
        <f>Elec5_15x15</f>
        <v>0.97799999999999998</v>
      </c>
      <c r="F92" s="18">
        <f>Elec5_20x20</f>
        <v>0.96299999999999997</v>
      </c>
      <c r="G92" s="18">
        <f>Elec5_25x25</f>
        <v>0.92900000000000005</v>
      </c>
      <c r="H92" s="14"/>
    </row>
    <row r="93" spans="1:8" x14ac:dyDescent="0.25">
      <c r="A93" s="12" t="s">
        <v>60</v>
      </c>
      <c r="B93" s="12"/>
      <c r="C93" s="19">
        <f>IFERROR((C91-C92)/ABS(C92),"")</f>
        <v>-2.6554437484357187E-3</v>
      </c>
      <c r="D93" s="19">
        <f>IFERROR((D91-D92)/ABS(D92),"")</f>
        <v>0</v>
      </c>
      <c r="E93" s="19">
        <f>IFERROR((E91-E92)/ABS(E92),"")</f>
        <v>2.7966910652603236E-3</v>
      </c>
      <c r="F93" s="19">
        <f>IFERROR((F91-F92)/ABS(F92),"")</f>
        <v>-1.3585019503745902E-3</v>
      </c>
      <c r="G93" s="19">
        <f>IFERROR((G91-G92)/ABS(G92),"")</f>
        <v>3.2502543283491067E-3</v>
      </c>
      <c r="H93" s="21" t="str">
        <f>IF(AND(AND(NOT(ISBLANK(D93)),NOT(ISBLANK(E93)),NOT(ISBLANK(F93)),NOT(ISBLANK(G93))),AND(D93&lt;0.02,E93&lt;0.02,F93&lt;0.02,G93&lt;0.02)),"PASSED","FAIL")</f>
        <v>PASSED</v>
      </c>
    </row>
  </sheetData>
  <mergeCells count="27">
    <mergeCell ref="A83:H83"/>
    <mergeCell ref="A84:H84"/>
    <mergeCell ref="C85:G85"/>
    <mergeCell ref="A59:H59"/>
    <mergeCell ref="A60:H60"/>
    <mergeCell ref="C61:G61"/>
    <mergeCell ref="A71:H71"/>
    <mergeCell ref="A72:H72"/>
    <mergeCell ref="C73:G73"/>
    <mergeCell ref="A32:B32"/>
    <mergeCell ref="C32:G32"/>
    <mergeCell ref="A43:H43"/>
    <mergeCell ref="A47:H47"/>
    <mergeCell ref="A48:H48"/>
    <mergeCell ref="C49:G49"/>
    <mergeCell ref="A17:H17"/>
    <mergeCell ref="B18:G18"/>
    <mergeCell ref="A28:H28"/>
    <mergeCell ref="A29:F29"/>
    <mergeCell ref="A30:H30"/>
    <mergeCell ref="A31:H31"/>
    <mergeCell ref="A1:H2"/>
    <mergeCell ref="A3:H3"/>
    <mergeCell ref="A4:H4"/>
    <mergeCell ref="A5:H5"/>
    <mergeCell ref="B6:G6"/>
    <mergeCell ref="A16:H16"/>
  </mergeCells>
  <conditionalFormatting sqref="B14:G14">
    <cfRule type="cellIs" dxfId="32" priority="14" operator="notBetween">
      <formula>-0.02</formula>
      <formula>0.02</formula>
    </cfRule>
  </conditionalFormatting>
  <conditionalFormatting sqref="H14">
    <cfRule type="cellIs" dxfId="31" priority="13" operator="notEqual">
      <formula>"PASSED"</formula>
    </cfRule>
  </conditionalFormatting>
  <conditionalFormatting sqref="H26">
    <cfRule type="cellIs" dxfId="30" priority="12" operator="notEqual">
      <formula>"PASSED"</formula>
    </cfRule>
  </conditionalFormatting>
  <conditionalFormatting sqref="H40">
    <cfRule type="cellIs" dxfId="29" priority="11" operator="notEqual">
      <formula>"PASSED"</formula>
    </cfRule>
  </conditionalFormatting>
  <conditionalFormatting sqref="H57">
    <cfRule type="cellIs" dxfId="28" priority="10" operator="notEqual">
      <formula>"PASSED"</formula>
    </cfRule>
  </conditionalFormatting>
  <conditionalFormatting sqref="H69">
    <cfRule type="cellIs" dxfId="27" priority="9" operator="notEqual">
      <formula>"PASSED"</formula>
    </cfRule>
  </conditionalFormatting>
  <conditionalFormatting sqref="H81">
    <cfRule type="cellIs" dxfId="26" priority="8" operator="notEqual">
      <formula>"PASSED"</formula>
    </cfRule>
  </conditionalFormatting>
  <conditionalFormatting sqref="H93">
    <cfRule type="cellIs" dxfId="25" priority="7" operator="notEqual">
      <formula>"PASSED"</formula>
    </cfRule>
  </conditionalFormatting>
  <conditionalFormatting sqref="B26:G26">
    <cfRule type="cellIs" dxfId="24" priority="6" operator="notBetween">
      <formula>-0.02</formula>
      <formula>0.02</formula>
    </cfRule>
  </conditionalFormatting>
  <conditionalFormatting sqref="C40:G40">
    <cfRule type="cellIs" dxfId="23" priority="5" operator="notBetween">
      <formula>-0.02</formula>
      <formula>0.02</formula>
    </cfRule>
  </conditionalFormatting>
  <conditionalFormatting sqref="C57:G57">
    <cfRule type="cellIs" dxfId="22" priority="4" operator="notBetween">
      <formula>-0.02</formula>
      <formula>0.02</formula>
    </cfRule>
  </conditionalFormatting>
  <conditionalFormatting sqref="C69:G69">
    <cfRule type="cellIs" dxfId="21" priority="3" operator="notBetween">
      <formula>-0.02</formula>
      <formula>0.02</formula>
    </cfRule>
  </conditionalFormatting>
  <conditionalFormatting sqref="C81:G81">
    <cfRule type="cellIs" dxfId="20" priority="2" operator="notBetween">
      <formula>-0.02</formula>
      <formula>0.02</formula>
    </cfRule>
  </conditionalFormatting>
  <conditionalFormatting sqref="C93:G93">
    <cfRule type="cellIs" dxfId="19" priority="1" operator="notBetween">
      <formula>-0.02</formula>
      <formula>0.02</formula>
    </cfRule>
  </conditionalFormatting>
  <pageMargins left="0.7" right="0.7" top="0.75" bottom="0.75" header="0.3" footer="0.3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L15" sqref="L15"/>
    </sheetView>
  </sheetViews>
  <sheetFormatPr defaultColWidth="9.140625" defaultRowHeight="15" x14ac:dyDescent="0.25"/>
  <cols>
    <col min="2" max="2" width="11.42578125" customWidth="1"/>
    <col min="3" max="3" width="11.5703125" customWidth="1"/>
    <col min="4" max="4" width="12" customWidth="1"/>
    <col min="5" max="5" width="11.28515625" customWidth="1"/>
    <col min="6" max="6" width="10.5703125" customWidth="1"/>
    <col min="7" max="7" width="11.140625" customWidth="1"/>
    <col min="8" max="8" width="11.5703125" customWidth="1"/>
    <col min="9" max="9" width="11" customWidth="1"/>
  </cols>
  <sheetData>
    <row r="1" spans="1:10" x14ac:dyDescent="0.25">
      <c r="A1" s="1" t="s">
        <v>77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8" x14ac:dyDescent="0.25">
      <c r="A3" s="33" t="s">
        <v>78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ht="15.75" x14ac:dyDescent="0.25">
      <c r="A4" s="36" t="str">
        <f>LowX &amp;"X"</f>
        <v>6X</v>
      </c>
      <c r="B4" s="5"/>
      <c r="C4" s="5"/>
      <c r="D4" s="5"/>
      <c r="E4" s="5"/>
      <c r="F4" s="5"/>
      <c r="G4" s="5"/>
      <c r="H4" s="5"/>
      <c r="I4" s="5"/>
      <c r="J4" s="37"/>
    </row>
    <row r="5" spans="1:10" x14ac:dyDescent="0.25">
      <c r="A5" s="6" t="str">
        <f>"Conditions : FOV: 10x10, Depth = 5 cm"</f>
        <v>Conditions : FOV: 10x10, Depth = 5 cm</v>
      </c>
      <c r="B5" s="7"/>
      <c r="C5" s="7"/>
      <c r="D5" s="7"/>
      <c r="E5" s="7"/>
      <c r="F5" s="7"/>
      <c r="G5" s="7"/>
      <c r="H5" s="7"/>
      <c r="I5" s="7"/>
      <c r="J5" s="27"/>
    </row>
    <row r="6" spans="1:10" ht="18" x14ac:dyDescent="0.25">
      <c r="A6" s="38"/>
      <c r="B6" s="39" t="s">
        <v>79</v>
      </c>
      <c r="C6" s="39"/>
      <c r="D6" s="39"/>
      <c r="E6" s="39"/>
      <c r="F6" s="39"/>
      <c r="G6" s="39"/>
      <c r="H6" s="39"/>
      <c r="I6" s="39"/>
      <c r="J6" s="11" t="s">
        <v>53</v>
      </c>
    </row>
    <row r="7" spans="1:10" x14ac:dyDescent="0.25">
      <c r="A7" s="40"/>
      <c r="B7" s="41" t="s">
        <v>80</v>
      </c>
      <c r="C7" s="13">
        <v>10</v>
      </c>
      <c r="D7" s="13">
        <v>15</v>
      </c>
      <c r="E7" s="13">
        <v>20</v>
      </c>
      <c r="F7" s="13">
        <v>25</v>
      </c>
      <c r="G7" s="13">
        <v>30</v>
      </c>
      <c r="H7" s="13">
        <v>45</v>
      </c>
      <c r="I7" s="13">
        <v>60</v>
      </c>
      <c r="J7" s="14"/>
    </row>
    <row r="8" spans="1:10" x14ac:dyDescent="0.25">
      <c r="A8" s="42" t="s">
        <v>81</v>
      </c>
      <c r="B8" s="15">
        <f>AVERAGE(INDEX(X1EDW,1,))</f>
        <v>-3.3130000000000001E-7</v>
      </c>
      <c r="C8" s="15">
        <f>AVERAGE(INDEX(X1EDW,2,))</f>
        <v>-3.1399999999999998E-7</v>
      </c>
      <c r="D8" s="15">
        <f>AVERAGE(INDEX(X1EDW,4,))</f>
        <v>-3.0559999999999998E-7</v>
      </c>
      <c r="E8" s="15">
        <f>AVERAGE(INDEX(X1EDW,6,))</f>
        <v>-2.974E-7</v>
      </c>
      <c r="F8" s="15">
        <f>AVERAGE(INDEX(X1EDW,8,))</f>
        <v>-2.8910000000000001E-7</v>
      </c>
      <c r="G8" s="15">
        <f>AVERAGE(INDEX(X1EDW,10,))</f>
        <v>-2.805E-7</v>
      </c>
      <c r="H8" s="15">
        <f>AVERAGE(INDEX(X1EDW,12,))</f>
        <v>-2.5209999999999999E-7</v>
      </c>
      <c r="I8" s="32">
        <f>AVERAGE(INDEX(X1EDW,14,))</f>
        <v>-2.1430000000000001E-7</v>
      </c>
      <c r="J8" s="14"/>
    </row>
    <row r="9" spans="1:10" ht="15.75" thickBot="1" x14ac:dyDescent="0.3">
      <c r="A9" s="42" t="s">
        <v>82</v>
      </c>
      <c r="B9" s="43"/>
      <c r="C9" s="15">
        <f>AVERAGE(INDEX(X1EDW,3,))</f>
        <v>-3.1489999999999999E-7</v>
      </c>
      <c r="D9" s="15">
        <f>AVERAGE(INDEX(X1EDW,5,))</f>
        <v>-3.0730000000000001E-7</v>
      </c>
      <c r="E9" s="15">
        <f>AVERAGE(INDEX(X1EDW,7,))</f>
        <v>-2.995E-7</v>
      </c>
      <c r="F9" s="15">
        <f>AVERAGE(INDEX(X1EDW,9,))</f>
        <v>-2.917E-7</v>
      </c>
      <c r="G9" s="15">
        <f>AVERAGE(INDEX(X1EDW,11,))</f>
        <v>-2.8360000000000002E-7</v>
      </c>
      <c r="H9" s="15">
        <f>AVERAGE(INDEX(X1EDW,13,))</f>
        <v>-2.5699999999999999E-7</v>
      </c>
      <c r="I9" s="32">
        <f>AVERAGE(INDEX(X1EDW,15,))</f>
        <v>-2.2140000000000001E-7</v>
      </c>
      <c r="J9" s="14"/>
    </row>
    <row r="10" spans="1:10" x14ac:dyDescent="0.25">
      <c r="A10" s="44" t="s">
        <v>57</v>
      </c>
      <c r="B10" s="45">
        <f>IFERROR(AVERAGE(B8:B9),"")</f>
        <v>-3.3130000000000001E-7</v>
      </c>
      <c r="C10" s="16">
        <f>IFERROR(AVERAGE(C8:C9),"")</f>
        <v>-3.1445000000000001E-7</v>
      </c>
      <c r="D10" s="16">
        <f>IFERROR(AVERAGE(D8:D9),"")</f>
        <v>-3.0644999999999999E-7</v>
      </c>
      <c r="E10" s="16">
        <f t="shared" ref="E10:H10" si="0">IFERROR(AVERAGE(E8:E9),"")</f>
        <v>-2.9844999999999998E-7</v>
      </c>
      <c r="F10" s="16">
        <f t="shared" si="0"/>
        <v>-2.9040000000000001E-7</v>
      </c>
      <c r="G10" s="16">
        <f t="shared" si="0"/>
        <v>-2.8205000000000001E-7</v>
      </c>
      <c r="H10" s="16">
        <f t="shared" si="0"/>
        <v>-2.5454999999999996E-7</v>
      </c>
      <c r="I10" s="16">
        <f>IFERROR(AVERAGE(I8:I9),"")</f>
        <v>-2.1785000000000001E-7</v>
      </c>
      <c r="J10" s="14"/>
    </row>
    <row r="11" spans="1:10" x14ac:dyDescent="0.25">
      <c r="A11" s="44" t="s">
        <v>58</v>
      </c>
      <c r="B11" s="46"/>
      <c r="C11" s="17">
        <f>IFERROR(C10/$B$10,"")</f>
        <v>0.94913975249019022</v>
      </c>
      <c r="D11" s="17">
        <f t="shared" ref="D11:I11" si="1">IFERROR(D10/$B$10,"")</f>
        <v>0.92499245396921215</v>
      </c>
      <c r="E11" s="17">
        <f t="shared" si="1"/>
        <v>0.90084515544823418</v>
      </c>
      <c r="F11" s="17">
        <f t="shared" si="1"/>
        <v>0.87654693631150016</v>
      </c>
      <c r="G11" s="17">
        <f t="shared" si="1"/>
        <v>0.85134319348022947</v>
      </c>
      <c r="H11" s="17">
        <f t="shared" si="1"/>
        <v>0.76833685481436753</v>
      </c>
      <c r="I11" s="17">
        <f t="shared" si="1"/>
        <v>0.65756112284938129</v>
      </c>
      <c r="J11" s="14"/>
    </row>
    <row r="12" spans="1:10" ht="15.75" thickBot="1" x14ac:dyDescent="0.3">
      <c r="A12" s="44" t="s">
        <v>59</v>
      </c>
      <c r="B12" s="14"/>
      <c r="C12" s="18">
        <f>LowX_10EDW</f>
        <v>0.94899999999999995</v>
      </c>
      <c r="D12" s="18">
        <f>LowX_15EDW</f>
        <v>0.92400000000000004</v>
      </c>
      <c r="E12" s="18">
        <f>LowX_20EDW</f>
        <v>0.9</v>
      </c>
      <c r="F12" s="18">
        <f>LowX_25EDW</f>
        <v>0.876</v>
      </c>
      <c r="G12" s="18">
        <f>LowX_30EDW</f>
        <v>0.85</v>
      </c>
      <c r="H12" s="18">
        <f>LowX_45EDW</f>
        <v>0.76600000000000001</v>
      </c>
      <c r="I12" s="18">
        <f>LowX_60EDW</f>
        <v>0.65400000000000003</v>
      </c>
      <c r="J12" s="14"/>
    </row>
    <row r="13" spans="1:10" x14ac:dyDescent="0.25">
      <c r="A13" s="47" t="s">
        <v>60</v>
      </c>
      <c r="B13" s="48"/>
      <c r="C13" s="49">
        <f t="shared" ref="C13:I13" si="2">IFERROR((C11-C12)/ABS(C12),"")</f>
        <v>1.472628979876399E-4</v>
      </c>
      <c r="D13" s="50">
        <f t="shared" si="2"/>
        <v>1.0740843822641814E-3</v>
      </c>
      <c r="E13" s="50">
        <f t="shared" si="2"/>
        <v>9.3906160914906478E-4</v>
      </c>
      <c r="F13" s="50">
        <f t="shared" si="2"/>
        <v>6.2435651997734803E-4</v>
      </c>
      <c r="G13" s="50">
        <f>IFERROR((G11-G12)/ABS(G12),"")</f>
        <v>1.5802276237993971E-3</v>
      </c>
      <c r="H13" s="50">
        <f t="shared" si="2"/>
        <v>3.0507243007408839E-3</v>
      </c>
      <c r="I13" s="51">
        <f t="shared" si="2"/>
        <v>5.4451419715309778E-3</v>
      </c>
      <c r="J13" s="21" t="str">
        <f>IF(AND(AND(NOT(ISBLANK(C13)),NOT(ISBLANK(D13)),NOT(ISBLANK(E13)),NOT(ISBLANK(F13)),NOT(ISBLANK(G13)),NOT(ISBLANK(H13)),NOT(ISBLANK(I13))),AND(ABS(C13)&lt;0.02,ABS(D13)&lt;0.02,ABS(E13)&lt;0.02,ABS(F13)&lt;0.02,ABS(G13)&lt;0.02,ABS(H13)&lt;0.02,ABS(I13)&lt;0.02)),"PASSED","FAIL")</f>
        <v>PASSED</v>
      </c>
    </row>
    <row r="14" spans="1:10" x14ac:dyDescent="0.25">
      <c r="A14" s="52"/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x14ac:dyDescent="0.25">
      <c r="A15" s="5" t="str">
        <f>HighX &amp;"X"</f>
        <v>15X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6" t="str">
        <f>"Conditions : FOV: 10x10, Depth = 5 cm"</f>
        <v>Conditions : FOV: 10x10, Depth = 5 cm</v>
      </c>
      <c r="B16" s="7"/>
      <c r="C16" s="7"/>
      <c r="D16" s="7"/>
      <c r="E16" s="7"/>
      <c r="F16" s="7"/>
      <c r="G16" s="7"/>
      <c r="H16" s="7"/>
      <c r="I16" s="7"/>
      <c r="J16" s="27"/>
    </row>
    <row r="17" spans="1:10" ht="18" x14ac:dyDescent="0.25">
      <c r="A17" s="55"/>
      <c r="B17" s="56" t="s">
        <v>79</v>
      </c>
      <c r="C17" s="56"/>
      <c r="D17" s="56"/>
      <c r="E17" s="56"/>
      <c r="F17" s="56"/>
      <c r="G17" s="56"/>
      <c r="H17" s="56"/>
      <c r="I17" s="56"/>
      <c r="J17" s="11" t="s">
        <v>53</v>
      </c>
    </row>
    <row r="18" spans="1:10" x14ac:dyDescent="0.25">
      <c r="A18" s="40"/>
      <c r="B18" s="41" t="s">
        <v>80</v>
      </c>
      <c r="C18" s="13">
        <v>10</v>
      </c>
      <c r="D18" s="13">
        <v>15</v>
      </c>
      <c r="E18" s="13">
        <v>20</v>
      </c>
      <c r="F18" s="13">
        <v>25</v>
      </c>
      <c r="G18" s="13">
        <v>30</v>
      </c>
      <c r="H18" s="13">
        <v>45</v>
      </c>
      <c r="I18" s="13">
        <v>60</v>
      </c>
      <c r="J18" s="14"/>
    </row>
    <row r="19" spans="1:10" x14ac:dyDescent="0.25">
      <c r="A19" s="42" t="s">
        <v>81</v>
      </c>
      <c r="B19" s="15">
        <f>AVERAGE(INDEX(X2EDW,1,))</f>
        <v>-3.5611999999999999E-7</v>
      </c>
      <c r="C19" s="15">
        <f>AVERAGE(INDEX(X2EDW,2,))</f>
        <v>-3.4830000000000002E-7</v>
      </c>
      <c r="D19" s="15">
        <f>AVERAGE(INDEX(X2EDW,4,))</f>
        <v>-3.4120000000000001E-7</v>
      </c>
      <c r="E19" s="15">
        <f>AVERAGE(INDEX(X2EDW,6,))</f>
        <v>-3.3389999999999999E-7</v>
      </c>
      <c r="F19" s="15">
        <f>AVERAGE(INDEX(X2EDW,8,))</f>
        <v>-3.2660000000000003E-7</v>
      </c>
      <c r="G19" s="15">
        <f>AVERAGE(INDEX(X2EDW,10,))</f>
        <v>-3.1899999999999998E-7</v>
      </c>
      <c r="H19" s="15">
        <f>AVERAGE(INDEX(X2EDW,12,))</f>
        <v>-2.9279999999999997E-7</v>
      </c>
      <c r="I19" s="32">
        <f>AVERAGE(INDEX(X2EDW,14,))</f>
        <v>-2.5610000000000002E-7</v>
      </c>
      <c r="J19" s="14"/>
    </row>
    <row r="20" spans="1:10" ht="15.75" thickBot="1" x14ac:dyDescent="0.3">
      <c r="A20" s="42" t="s">
        <v>82</v>
      </c>
      <c r="B20" s="43"/>
      <c r="C20" s="15">
        <f>AVERAGE(INDEX(X2EDW,3,))</f>
        <v>-3.495E-7</v>
      </c>
      <c r="D20" s="15">
        <f>AVERAGE(INDEX(X2EDW,5,))</f>
        <v>-3.4280000000000003E-7</v>
      </c>
      <c r="E20" s="15">
        <f>AVERAGE(INDEX(X2EDW,7,))</f>
        <v>-3.3599999999999999E-7</v>
      </c>
      <c r="F20" s="15">
        <f>AVERAGE(INDEX(X2EDW,9,))</f>
        <v>-3.2920000000000001E-7</v>
      </c>
      <c r="G20" s="15">
        <f>AVERAGE(INDEX(X2EDW,11,))</f>
        <v>-3.2210000000000001E-7</v>
      </c>
      <c r="H20" s="15">
        <f>AVERAGE(INDEX(X2EDW,13,))</f>
        <v>-2.9770000000000003E-7</v>
      </c>
      <c r="I20" s="32">
        <f>AVERAGE(INDEX(X2EDW,15,))</f>
        <v>-2.636E-7</v>
      </c>
      <c r="J20" s="14"/>
    </row>
    <row r="21" spans="1:10" x14ac:dyDescent="0.25">
      <c r="A21" s="44" t="s">
        <v>57</v>
      </c>
      <c r="B21" s="45">
        <f t="shared" ref="B21:I21" si="3">IFERROR(AVERAGE(B19:B20),"")</f>
        <v>-3.5611999999999999E-7</v>
      </c>
      <c r="C21" s="16">
        <f t="shared" si="3"/>
        <v>-3.4890000000000001E-7</v>
      </c>
      <c r="D21" s="16">
        <f t="shared" si="3"/>
        <v>-3.4200000000000002E-7</v>
      </c>
      <c r="E21" s="16">
        <f t="shared" si="3"/>
        <v>-3.3494999999999997E-7</v>
      </c>
      <c r="F21" s="16">
        <f t="shared" si="3"/>
        <v>-3.2790000000000002E-7</v>
      </c>
      <c r="G21" s="16">
        <f t="shared" si="3"/>
        <v>-3.2055E-7</v>
      </c>
      <c r="H21" s="16">
        <f t="shared" si="3"/>
        <v>-2.9525E-7</v>
      </c>
      <c r="I21" s="16">
        <f t="shared" si="3"/>
        <v>-2.5985000000000004E-7</v>
      </c>
      <c r="J21" s="14"/>
    </row>
    <row r="22" spans="1:10" x14ac:dyDescent="0.25">
      <c r="A22" s="44" t="s">
        <v>58</v>
      </c>
      <c r="B22" s="46"/>
      <c r="C22" s="17">
        <f t="shared" ref="C22:I22" si="4">IFERROR(C21/$B$21,"")</f>
        <v>0.9797259350780636</v>
      </c>
      <c r="D22" s="17">
        <f t="shared" si="4"/>
        <v>0.9603504436706729</v>
      </c>
      <c r="E22" s="17">
        <f t="shared" si="4"/>
        <v>0.94055374592833874</v>
      </c>
      <c r="F22" s="17">
        <f t="shared" si="4"/>
        <v>0.92075704818600479</v>
      </c>
      <c r="G22" s="17">
        <f t="shared" si="4"/>
        <v>0.90011793777378413</v>
      </c>
      <c r="H22" s="17">
        <f t="shared" si="4"/>
        <v>0.82907446928001804</v>
      </c>
      <c r="I22" s="17">
        <f t="shared" si="4"/>
        <v>0.72966977423340462</v>
      </c>
      <c r="J22" s="14"/>
    </row>
    <row r="23" spans="1:10" ht="15.75" thickBot="1" x14ac:dyDescent="0.3">
      <c r="A23" s="44" t="s">
        <v>59</v>
      </c>
      <c r="B23" s="14"/>
      <c r="C23" s="18">
        <f>HighX_10EDW</f>
        <v>0.96099999999999997</v>
      </c>
      <c r="D23" s="18">
        <f>HighX_15EDW</f>
        <v>0.94099999999999995</v>
      </c>
      <c r="E23" s="18">
        <f>HighX_20EDW</f>
        <v>0.92200000000000004</v>
      </c>
      <c r="F23" s="18">
        <f>HighX_25EDW</f>
        <v>0.90200000000000002</v>
      </c>
      <c r="G23" s="18">
        <f>HighX_30EDW</f>
        <v>0.88200000000000001</v>
      </c>
      <c r="H23" s="18">
        <f>HighX_45EDW</f>
        <v>0.81100000000000005</v>
      </c>
      <c r="I23" s="18">
        <f>HighX_60EDW</f>
        <v>0.71299999999999997</v>
      </c>
      <c r="J23" s="14"/>
    </row>
    <row r="24" spans="1:10" x14ac:dyDescent="0.25">
      <c r="A24" s="47" t="s">
        <v>60</v>
      </c>
      <c r="B24" s="48"/>
      <c r="C24" s="49">
        <f t="shared" ref="C24:I24" si="5">IFERROR((C22-C23)/ABS(C23),"")</f>
        <v>1.948588457654905E-2</v>
      </c>
      <c r="D24" s="50">
        <f t="shared" si="5"/>
        <v>2.0563702094232687E-2</v>
      </c>
      <c r="E24" s="50">
        <f t="shared" si="5"/>
        <v>2.0123368685833722E-2</v>
      </c>
      <c r="F24" s="50">
        <f t="shared" si="5"/>
        <v>2.0794953643020805E-2</v>
      </c>
      <c r="G24" s="50">
        <f t="shared" si="5"/>
        <v>2.0541879562113514E-2</v>
      </c>
      <c r="H24" s="50">
        <f t="shared" si="5"/>
        <v>2.2286645228135622E-2</v>
      </c>
      <c r="I24" s="51">
        <f t="shared" si="5"/>
        <v>2.3379767508281423E-2</v>
      </c>
      <c r="J24" s="21" t="str">
        <f>IF(AND(AND(NOT(ISBLANK(C24)),NOT(ISBLANK(D24)),NOT(ISBLANK(E24)),NOT(ISBLANK(F24)),NOT(ISBLANK(G24)),NOT(ISBLANK(H24)),NOT(ISBLANK(I24))),AND(ABS(C24)&lt;0.02,ABS(D24)&lt;0.02,ABS(E24)&lt;0.02,ABS(F24)&lt;0.02,ABS(G24)&lt;0.02,ABS(H24)&lt;0.02,ABS(I24)&lt;0.02)),"PASSED","FAIL")</f>
        <v>FAIL</v>
      </c>
    </row>
  </sheetData>
  <mergeCells count="8">
    <mergeCell ref="A16:J16"/>
    <mergeCell ref="B17:I17"/>
    <mergeCell ref="A1:J2"/>
    <mergeCell ref="A3:J3"/>
    <mergeCell ref="A4:J4"/>
    <mergeCell ref="A5:J5"/>
    <mergeCell ref="B6:I6"/>
    <mergeCell ref="A15:J15"/>
  </mergeCells>
  <conditionalFormatting sqref="C13:I13">
    <cfRule type="cellIs" dxfId="18" priority="6" operator="notBetween">
      <formula>-0.02</formula>
      <formula>0.02</formula>
    </cfRule>
  </conditionalFormatting>
  <conditionalFormatting sqref="C24:I24">
    <cfRule type="cellIs" dxfId="17" priority="5" operator="notBetween">
      <formula>-0.02</formula>
      <formula>0.02</formula>
    </cfRule>
  </conditionalFormatting>
  <conditionalFormatting sqref="J13">
    <cfRule type="cellIs" dxfId="16" priority="4" operator="notEqual">
      <formula>"PASSED"</formula>
    </cfRule>
  </conditionalFormatting>
  <conditionalFormatting sqref="B13">
    <cfRule type="cellIs" dxfId="15" priority="3" operator="notBetween">
      <formula>-0.02</formula>
      <formula>0.02</formula>
    </cfRule>
  </conditionalFormatting>
  <conditionalFormatting sqref="B24">
    <cfRule type="cellIs" dxfId="14" priority="2" operator="notBetween">
      <formula>-0.02</formula>
      <formula>0.02</formula>
    </cfRule>
  </conditionalFormatting>
  <conditionalFormatting sqref="J24">
    <cfRule type="cellIs" dxfId="13" priority="1" operator="notEqual">
      <formula>"PASSED"</formula>
    </cfRule>
  </conditionalFormatting>
  <pageMargins left="0.7" right="0.7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8" sqref="F28"/>
    </sheetView>
  </sheetViews>
  <sheetFormatPr defaultRowHeight="15" x14ac:dyDescent="0.25"/>
  <cols>
    <col min="2" max="2" width="12.7109375" customWidth="1"/>
    <col min="3" max="3" width="12.28515625" customWidth="1"/>
    <col min="4" max="4" width="12.5703125" customWidth="1"/>
    <col min="5" max="5" width="13.42578125" customWidth="1"/>
    <col min="6" max="6" width="12.28515625" customWidth="1"/>
    <col min="7" max="7" width="13.140625" customWidth="1"/>
  </cols>
  <sheetData>
    <row r="1" spans="1:8" x14ac:dyDescent="0.25">
      <c r="A1" s="1" t="s">
        <v>83</v>
      </c>
      <c r="B1" s="1"/>
      <c r="C1" s="1"/>
      <c r="D1" s="1"/>
      <c r="E1" s="1"/>
      <c r="F1" s="1"/>
      <c r="G1" s="1"/>
      <c r="H1" s="1"/>
    </row>
    <row r="2" spans="1:8" ht="15.75" thickBot="1" x14ac:dyDescent="0.3">
      <c r="A2" s="3"/>
      <c r="B2" s="3"/>
      <c r="C2" s="3"/>
      <c r="D2" s="3"/>
      <c r="E2" s="3"/>
      <c r="F2" s="3"/>
      <c r="G2" s="3"/>
      <c r="H2" s="3"/>
    </row>
    <row r="3" spans="1:8" ht="18" x14ac:dyDescent="0.25">
      <c r="A3" s="4" t="s">
        <v>51</v>
      </c>
      <c r="B3" s="4"/>
      <c r="C3" s="4"/>
      <c r="D3" s="4"/>
      <c r="E3" s="4"/>
      <c r="F3" s="4"/>
      <c r="G3" s="4"/>
      <c r="H3" s="4"/>
    </row>
    <row r="4" spans="1:8" ht="15.75" x14ac:dyDescent="0.25">
      <c r="A4" s="5" t="str">
        <f>LowX&amp;"X"</f>
        <v>6X</v>
      </c>
      <c r="B4" s="5"/>
      <c r="C4" s="5"/>
      <c r="D4" s="5"/>
      <c r="E4" s="5"/>
      <c r="F4" s="5"/>
      <c r="G4" s="5"/>
      <c r="H4" s="5"/>
    </row>
    <row r="5" spans="1:8" x14ac:dyDescent="0.25">
      <c r="A5" s="6" t="str">
        <f>"Conditions : Open 10x10, d=5 cm ,SSD"</f>
        <v>Conditions : Open 10x10, d=5 cm ,SSD</v>
      </c>
      <c r="B5" s="7"/>
      <c r="C5" s="7"/>
      <c r="D5" s="7"/>
      <c r="E5" s="7"/>
      <c r="F5" s="7"/>
      <c r="G5" s="7"/>
      <c r="H5" s="8"/>
    </row>
    <row r="6" spans="1:8" ht="18" x14ac:dyDescent="0.25">
      <c r="A6" s="9"/>
      <c r="B6" s="10" t="s">
        <v>2</v>
      </c>
      <c r="C6" s="10"/>
      <c r="D6" s="10"/>
      <c r="E6" s="10"/>
      <c r="F6" s="10"/>
      <c r="G6" s="10"/>
      <c r="H6" s="11" t="s">
        <v>53</v>
      </c>
    </row>
    <row r="7" spans="1:8" x14ac:dyDescent="0.25">
      <c r="A7" s="13"/>
      <c r="B7" s="13">
        <v>10</v>
      </c>
      <c r="C7" s="12">
        <v>20</v>
      </c>
      <c r="D7" s="12">
        <v>50</v>
      </c>
      <c r="E7" s="12">
        <v>100</v>
      </c>
      <c r="F7" s="13">
        <v>200</v>
      </c>
      <c r="G7" s="13">
        <v>500</v>
      </c>
      <c r="H7" s="14"/>
    </row>
    <row r="8" spans="1:8" x14ac:dyDescent="0.25">
      <c r="A8" s="12" t="s">
        <v>54</v>
      </c>
      <c r="B8" s="15">
        <f t="array" ref="B8:G10">IF(ABS(TRANSPOSE(X1MULIN))&gt;0,TRANSPOSE(X1MULIN),"")</f>
        <v>-1.6700000000000001E-8</v>
      </c>
      <c r="C8" s="15">
        <v>-3.32E-8</v>
      </c>
      <c r="D8" s="15">
        <v>-8.2899999999999995E-8</v>
      </c>
      <c r="E8" s="15">
        <v>-1.656E-7</v>
      </c>
      <c r="F8" s="15">
        <v>-3.3109999999999999E-7</v>
      </c>
      <c r="G8" s="32">
        <v>-8.2760000000000003E-7</v>
      </c>
      <c r="H8" s="14"/>
    </row>
    <row r="9" spans="1:8" x14ac:dyDescent="0.25">
      <c r="A9" s="12" t="s">
        <v>55</v>
      </c>
      <c r="B9" s="15" t="str">
        <v/>
      </c>
      <c r="C9" s="15" t="str">
        <v/>
      </c>
      <c r="D9" s="15" t="str">
        <v/>
      </c>
      <c r="E9" s="15" t="str">
        <v/>
      </c>
      <c r="F9" s="15" t="str">
        <v/>
      </c>
      <c r="G9" s="32" t="str">
        <v/>
      </c>
      <c r="H9" s="14"/>
    </row>
    <row r="10" spans="1:8" ht="15.75" thickBot="1" x14ac:dyDescent="0.3">
      <c r="A10" s="12" t="s">
        <v>56</v>
      </c>
      <c r="B10" s="15" t="str">
        <v/>
      </c>
      <c r="C10" s="15" t="str">
        <v/>
      </c>
      <c r="D10" s="15" t="str">
        <v/>
      </c>
      <c r="E10" s="15" t="str">
        <v/>
      </c>
      <c r="F10" s="15" t="str">
        <v/>
      </c>
      <c r="G10" s="32" t="str">
        <v/>
      </c>
      <c r="H10" s="14"/>
    </row>
    <row r="11" spans="1:8" x14ac:dyDescent="0.25">
      <c r="A11" s="12" t="s">
        <v>57</v>
      </c>
      <c r="B11" s="16">
        <f t="shared" ref="B11:G11" si="0">IFERROR(AVERAGE(B8:B10),"")</f>
        <v>-1.6700000000000001E-8</v>
      </c>
      <c r="C11" s="16">
        <f t="shared" si="0"/>
        <v>-3.32E-8</v>
      </c>
      <c r="D11" s="16">
        <f t="shared" si="0"/>
        <v>-8.2899999999999995E-8</v>
      </c>
      <c r="E11" s="16">
        <f t="shared" si="0"/>
        <v>-1.656E-7</v>
      </c>
      <c r="F11" s="16">
        <f t="shared" si="0"/>
        <v>-3.3109999999999999E-7</v>
      </c>
      <c r="G11" s="16">
        <f t="shared" si="0"/>
        <v>-8.2760000000000003E-7</v>
      </c>
      <c r="H11" s="14"/>
    </row>
    <row r="12" spans="1:8" ht="60" x14ac:dyDescent="0.25">
      <c r="A12" s="57" t="s">
        <v>84</v>
      </c>
      <c r="B12" s="19">
        <f>IFERROR((B11/(B7/$E7)-$E11)/ABS($E11),"")</f>
        <v>-8.4541062801932326E-3</v>
      </c>
      <c r="C12" s="19">
        <f>IFERROR((C11/(C7/$E7)-$E11)/ABS($E11),"")</f>
        <v>-2.4154589371979296E-3</v>
      </c>
      <c r="D12" s="19">
        <f>IFERROR((D11/(D7/$E7)-$E11)/ABS($E11),"")</f>
        <v>-1.2077294685989648E-3</v>
      </c>
      <c r="E12" s="19">
        <f>IFERROR((E11-$E11)/ABS($E11),"")</f>
        <v>0</v>
      </c>
      <c r="F12" s="19">
        <f>IFERROR((F11/(F7/$E7)-$E11)/ABS($E11),"")</f>
        <v>3.0193236714978115E-4</v>
      </c>
      <c r="G12" s="19">
        <f>IFERROR((G11/(G7/$E7)-$E11)/ABS($E11),"")</f>
        <v>4.8309178743952195E-4</v>
      </c>
      <c r="H12" s="21" t="str">
        <f>IF(AND(AND(NOT(LEN(B12)=0),NOT(LEN(C12)=0),NOT(LEN(D12)=0),NOT(LEN(E12)=0),NOT(LEN(F12)=0),NOT(LEN(G12)=0)), IFERROR(AND(ABS(B12)&lt;0.02,ABS(C12)&lt; 0.02,ABS(D12)&lt;0.02,ABS(E12)&lt;0.02,ABS(F12)&lt;0.02,ABS(G12)&lt;0.02),FALSE)),"PASSED","FAIL")</f>
        <v>PASSED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ht="15.75" x14ac:dyDescent="0.25">
      <c r="A14" s="22" t="str">
        <f>HighX&amp;"X"</f>
        <v>15X</v>
      </c>
      <c r="B14" s="22"/>
      <c r="C14" s="22"/>
      <c r="D14" s="22"/>
      <c r="E14" s="22"/>
      <c r="F14" s="22"/>
      <c r="G14" s="22"/>
      <c r="H14" s="22"/>
    </row>
    <row r="15" spans="1:8" x14ac:dyDescent="0.25">
      <c r="A15" s="6" t="str">
        <f>"Conditions : Open 10x10, d=5 cm ,SSD"</f>
        <v>Conditions : Open 10x10, d=5 cm ,SSD</v>
      </c>
      <c r="B15" s="7"/>
      <c r="C15" s="7"/>
      <c r="D15" s="7"/>
      <c r="E15" s="7"/>
      <c r="F15" s="7"/>
      <c r="G15" s="7"/>
      <c r="H15" s="8"/>
    </row>
    <row r="16" spans="1:8" ht="18" x14ac:dyDescent="0.25">
      <c r="A16" s="9"/>
      <c r="B16" s="10" t="s">
        <v>2</v>
      </c>
      <c r="C16" s="10"/>
      <c r="D16" s="10"/>
      <c r="E16" s="10"/>
      <c r="F16" s="10"/>
      <c r="G16" s="10"/>
      <c r="H16" s="11" t="s">
        <v>53</v>
      </c>
    </row>
    <row r="17" spans="1:8" x14ac:dyDescent="0.25">
      <c r="A17" s="13"/>
      <c r="B17" s="13">
        <v>10</v>
      </c>
      <c r="C17" s="12">
        <v>20</v>
      </c>
      <c r="D17" s="12">
        <v>50</v>
      </c>
      <c r="E17" s="12">
        <v>100</v>
      </c>
      <c r="F17" s="13">
        <v>200</v>
      </c>
      <c r="G17" s="13">
        <v>500</v>
      </c>
      <c r="H17" s="14"/>
    </row>
    <row r="18" spans="1:8" x14ac:dyDescent="0.25">
      <c r="A18" s="12" t="s">
        <v>54</v>
      </c>
      <c r="B18" s="15">
        <f t="array" ref="B18:G20">IF(ABS(TRANSPOSE(X2MULIN))&gt;0,TRANSPOSE(X2MULIN),"")</f>
        <v>-1.8299999999999998E-8</v>
      </c>
      <c r="C18" s="15">
        <v>-3.62E-8</v>
      </c>
      <c r="D18" s="15">
        <v>-9.0400000000000002E-8</v>
      </c>
      <c r="E18" s="15">
        <v>-1.807E-7</v>
      </c>
      <c r="F18" s="15">
        <v>-3.6139999999999999E-7</v>
      </c>
      <c r="G18" s="32">
        <v>-9.0370000000000003E-7</v>
      </c>
      <c r="H18" s="14"/>
    </row>
    <row r="19" spans="1:8" x14ac:dyDescent="0.25">
      <c r="A19" s="12" t="s">
        <v>55</v>
      </c>
      <c r="B19" s="15" t="str">
        <v/>
      </c>
      <c r="C19" s="15" t="str">
        <v/>
      </c>
      <c r="D19" s="15" t="str">
        <v/>
      </c>
      <c r="E19" s="15" t="str">
        <v/>
      </c>
      <c r="F19" s="15" t="str">
        <v/>
      </c>
      <c r="G19" s="32" t="str">
        <v/>
      </c>
      <c r="H19" s="14"/>
    </row>
    <row r="20" spans="1:8" ht="15.75" thickBot="1" x14ac:dyDescent="0.3">
      <c r="A20" s="12" t="s">
        <v>56</v>
      </c>
      <c r="B20" s="15" t="str">
        <v/>
      </c>
      <c r="C20" s="15" t="str">
        <v/>
      </c>
      <c r="D20" s="15" t="str">
        <v/>
      </c>
      <c r="E20" s="15" t="str">
        <v/>
      </c>
      <c r="F20" s="15" t="str">
        <v/>
      </c>
      <c r="G20" s="32" t="str">
        <v/>
      </c>
      <c r="H20" s="14"/>
    </row>
    <row r="21" spans="1:8" x14ac:dyDescent="0.25">
      <c r="A21" s="12" t="s">
        <v>57</v>
      </c>
      <c r="B21" s="16">
        <f>IFERROR(AVERAGE(B18:B20),"")</f>
        <v>-1.8299999999999998E-8</v>
      </c>
      <c r="C21" s="16">
        <f t="shared" ref="C21:G21" si="1">IFERROR(AVERAGE(C18:C20),"")</f>
        <v>-3.62E-8</v>
      </c>
      <c r="D21" s="16">
        <f t="shared" si="1"/>
        <v>-9.0400000000000002E-8</v>
      </c>
      <c r="E21" s="16">
        <f t="shared" si="1"/>
        <v>-1.807E-7</v>
      </c>
      <c r="F21" s="16">
        <f t="shared" si="1"/>
        <v>-3.6139999999999999E-7</v>
      </c>
      <c r="G21" s="16">
        <f t="shared" si="1"/>
        <v>-9.0370000000000003E-7</v>
      </c>
      <c r="H21" s="14"/>
    </row>
    <row r="22" spans="1:8" ht="60" x14ac:dyDescent="0.25">
      <c r="A22" s="57" t="s">
        <v>84</v>
      </c>
      <c r="B22" s="19">
        <f t="shared" ref="B22:G22" si="2">IFERROR((B21/(B17/$E17)-$E21)/ABS($E21),"")</f>
        <v>-1.2728278915329206E-2</v>
      </c>
      <c r="C22" s="19">
        <f t="shared" si="2"/>
        <v>-1.6602102933037967E-3</v>
      </c>
      <c r="D22" s="19">
        <f t="shared" si="2"/>
        <v>-5.5340343110131442E-4</v>
      </c>
      <c r="E22" s="19">
        <f t="shared" si="2"/>
        <v>0</v>
      </c>
      <c r="F22" s="19">
        <f t="shared" si="2"/>
        <v>0</v>
      </c>
      <c r="G22" s="19">
        <f t="shared" si="2"/>
        <v>-2.2136137244061367E-4</v>
      </c>
      <c r="H22" s="21" t="str">
        <f>IF(AND(AND(NOT(LEN(B22)=0),NOT(LEN(C22)=0),NOT(LEN(D22)=0),NOT(LEN(E22)=0),NOT(LEN(F22)=0),NOT(LEN(G22)=0)), IFERROR(AND(ABS(B22)&lt;0.02,ABS(C22)&lt; 0.02,ABS(D22)&lt;0.02,ABS(E22)&lt;0.02,ABS(F22)&lt;0.02,ABS(G22)&lt;0.02),FALSE)),"PASSED","FAIL")</f>
        <v>PASSED</v>
      </c>
    </row>
  </sheetData>
  <mergeCells count="8">
    <mergeCell ref="A15:H15"/>
    <mergeCell ref="B16:G16"/>
    <mergeCell ref="A1:H2"/>
    <mergeCell ref="A3:H3"/>
    <mergeCell ref="A4:H4"/>
    <mergeCell ref="A5:H5"/>
    <mergeCell ref="B6:G6"/>
    <mergeCell ref="A14:H14"/>
  </mergeCells>
  <conditionalFormatting sqref="H12">
    <cfRule type="cellIs" dxfId="12" priority="10" operator="notEqual">
      <formula>"PASSED"</formula>
    </cfRule>
  </conditionalFormatting>
  <conditionalFormatting sqref="C12:G12">
    <cfRule type="cellIs" dxfId="11" priority="9" operator="notBetween">
      <formula>-0.02</formula>
      <formula>0.02</formula>
    </cfRule>
  </conditionalFormatting>
  <conditionalFormatting sqref="H22">
    <cfRule type="cellIs" dxfId="10" priority="8" operator="notEqual">
      <formula>"PASSED"</formula>
    </cfRule>
  </conditionalFormatting>
  <conditionalFormatting sqref="B12">
    <cfRule type="cellIs" dxfId="9" priority="7" operator="notBetween">
      <formula>-0.02</formula>
      <formula>0.02</formula>
    </cfRule>
  </conditionalFormatting>
  <conditionalFormatting sqref="B22">
    <cfRule type="cellIs" dxfId="8" priority="6" operator="notBetween">
      <formula>-0.02</formula>
      <formula>0.02</formula>
    </cfRule>
  </conditionalFormatting>
  <conditionalFormatting sqref="C22">
    <cfRule type="cellIs" dxfId="7" priority="5" operator="notBetween">
      <formula>-0.02</formula>
      <formula>0.02</formula>
    </cfRule>
  </conditionalFormatting>
  <conditionalFormatting sqref="D22">
    <cfRule type="cellIs" dxfId="6" priority="4" operator="notBetween">
      <formula>-0.02</formula>
      <formula>0.02</formula>
    </cfRule>
  </conditionalFormatting>
  <conditionalFormatting sqref="E22">
    <cfRule type="cellIs" dxfId="5" priority="3" operator="notBetween">
      <formula>-0.02</formula>
      <formula>0.02</formula>
    </cfRule>
  </conditionalFormatting>
  <conditionalFormatting sqref="F22">
    <cfRule type="cellIs" dxfId="4" priority="2" operator="notBetween">
      <formula>-0.02</formula>
      <formula>0.02</formula>
    </cfRule>
  </conditionalFormatting>
  <conditionalFormatting sqref="G22">
    <cfRule type="cellIs" dxfId="3" priority="1" operator="notBetween">
      <formula>-0.02</formula>
      <formula>0.02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activeCell="K30" sqref="K30"/>
    </sheetView>
  </sheetViews>
  <sheetFormatPr defaultRowHeight="15" x14ac:dyDescent="0.25"/>
  <cols>
    <col min="2" max="2" width="8.28515625" customWidth="1"/>
    <col min="3" max="4" width="11.5703125" customWidth="1"/>
    <col min="9" max="9" width="12" customWidth="1"/>
  </cols>
  <sheetData>
    <row r="1" spans="1:9" ht="15" customHeight="1" x14ac:dyDescent="0.25">
      <c r="A1" s="58" t="s">
        <v>85</v>
      </c>
      <c r="B1" s="58"/>
      <c r="C1" s="58"/>
      <c r="D1" s="58"/>
      <c r="E1" s="58"/>
      <c r="F1" s="58"/>
      <c r="G1" s="58"/>
      <c r="H1" s="58"/>
      <c r="I1" s="58"/>
    </row>
    <row r="2" spans="1:9" ht="35.25" customHeight="1" thickBot="1" x14ac:dyDescent="0.3">
      <c r="A2" s="59"/>
      <c r="B2" s="59"/>
      <c r="C2" s="59"/>
      <c r="D2" s="59"/>
      <c r="E2" s="59"/>
      <c r="F2" s="59"/>
      <c r="G2" s="59"/>
      <c r="H2" s="59"/>
      <c r="I2" s="59"/>
    </row>
    <row r="3" spans="1:9" ht="19.5" thickBot="1" x14ac:dyDescent="0.35">
      <c r="A3" s="60" t="s">
        <v>86</v>
      </c>
      <c r="B3" s="61"/>
      <c r="C3" s="62"/>
    </row>
    <row r="4" spans="1:9" x14ac:dyDescent="0.25">
      <c r="A4" s="63" t="s">
        <v>87</v>
      </c>
      <c r="B4" s="64"/>
      <c r="C4" s="65" t="s">
        <v>88</v>
      </c>
    </row>
    <row r="5" spans="1:9" x14ac:dyDescent="0.25">
      <c r="A5" s="66">
        <v>6</v>
      </c>
      <c r="B5" s="67"/>
      <c r="C5" s="68">
        <v>1.6</v>
      </c>
    </row>
    <row r="6" spans="1:9" ht="15.75" thickBot="1" x14ac:dyDescent="0.3">
      <c r="A6" s="69">
        <v>15</v>
      </c>
      <c r="B6" s="70"/>
      <c r="C6" s="68">
        <v>2.7</v>
      </c>
    </row>
    <row r="7" spans="1:9" ht="18.75" x14ac:dyDescent="0.3">
      <c r="A7" s="73" t="s">
        <v>89</v>
      </c>
      <c r="B7" s="74"/>
      <c r="C7" s="74"/>
      <c r="D7" s="74"/>
      <c r="E7" s="74"/>
      <c r="F7" s="74"/>
      <c r="G7" s="74"/>
    </row>
    <row r="8" spans="1:9" x14ac:dyDescent="0.25">
      <c r="A8" s="65">
        <v>10</v>
      </c>
      <c r="B8" s="65">
        <v>15</v>
      </c>
      <c r="C8" s="65">
        <v>20</v>
      </c>
      <c r="D8" s="65">
        <v>25</v>
      </c>
      <c r="E8" s="65">
        <v>30</v>
      </c>
      <c r="F8" s="65">
        <v>45</v>
      </c>
      <c r="G8" s="65">
        <v>60</v>
      </c>
    </row>
    <row r="9" spans="1:9" x14ac:dyDescent="0.25">
      <c r="A9" s="72">
        <v>0.94899999999999995</v>
      </c>
      <c r="B9" s="72">
        <v>0.92400000000000004</v>
      </c>
      <c r="C9" s="72">
        <v>0.9</v>
      </c>
      <c r="D9" s="72">
        <v>0.876</v>
      </c>
      <c r="E9" s="72">
        <v>0.85</v>
      </c>
      <c r="F9" s="72">
        <v>0.76600000000000001</v>
      </c>
      <c r="G9" s="72">
        <v>0.65400000000000003</v>
      </c>
    </row>
    <row r="10" spans="1:9" ht="15.75" thickBot="1" x14ac:dyDescent="0.3">
      <c r="A10" s="72">
        <v>0.96099999999999997</v>
      </c>
      <c r="B10" s="72">
        <v>0.94099999999999995</v>
      </c>
      <c r="C10" s="72">
        <v>0.92200000000000004</v>
      </c>
      <c r="D10" s="72">
        <v>0.90200000000000002</v>
      </c>
      <c r="E10" s="72">
        <v>0.88200000000000001</v>
      </c>
      <c r="F10" s="72">
        <v>0.81100000000000005</v>
      </c>
      <c r="G10" s="72">
        <v>0.71299999999999997</v>
      </c>
    </row>
    <row r="11" spans="1:9" ht="19.5" thickBot="1" x14ac:dyDescent="0.35">
      <c r="A11" s="71" t="s">
        <v>50</v>
      </c>
      <c r="B11" s="62"/>
      <c r="C11" s="62"/>
      <c r="D11" s="62"/>
      <c r="E11" s="62"/>
      <c r="F11" s="62"/>
      <c r="G11" s="62"/>
      <c r="H11" s="75"/>
    </row>
    <row r="12" spans="1:9" x14ac:dyDescent="0.25">
      <c r="A12" s="65" t="s">
        <v>90</v>
      </c>
      <c r="B12" s="65" t="s">
        <v>91</v>
      </c>
      <c r="C12" s="65" t="s">
        <v>66</v>
      </c>
      <c r="D12" s="65" t="s">
        <v>67</v>
      </c>
      <c r="E12" s="65" t="s">
        <v>68</v>
      </c>
      <c r="F12" s="65" t="s">
        <v>69</v>
      </c>
      <c r="G12" s="65" t="s">
        <v>92</v>
      </c>
      <c r="H12" s="65" t="s">
        <v>93</v>
      </c>
    </row>
    <row r="13" spans="1:9" x14ac:dyDescent="0.25">
      <c r="A13" s="72">
        <v>0.93400000000000005</v>
      </c>
      <c r="B13" s="72">
        <v>0.94750000000000001</v>
      </c>
      <c r="C13" s="72">
        <v>1</v>
      </c>
      <c r="D13" s="72">
        <v>1.0329999999999999</v>
      </c>
      <c r="E13" s="72">
        <v>1.0529999999999999</v>
      </c>
      <c r="F13" s="72">
        <v>1.071</v>
      </c>
      <c r="G13" s="72">
        <v>1.081</v>
      </c>
      <c r="H13" s="72">
        <v>1.1000000000000001</v>
      </c>
    </row>
    <row r="14" spans="1:9" x14ac:dyDescent="0.25">
      <c r="A14" s="72">
        <v>0.92700000000000005</v>
      </c>
      <c r="B14" s="72">
        <v>0.94399999999999995</v>
      </c>
      <c r="C14" s="72">
        <v>1</v>
      </c>
      <c r="D14" s="72">
        <v>1.0289999999999999</v>
      </c>
      <c r="E14" s="72">
        <v>1.0489999999999999</v>
      </c>
      <c r="F14" s="72">
        <v>1.0589999999999999</v>
      </c>
      <c r="G14" s="72">
        <v>1.0740000000000001</v>
      </c>
      <c r="H14" s="72">
        <v>1.0880000000000001</v>
      </c>
    </row>
    <row r="15" spans="1:9" ht="18.75" x14ac:dyDescent="0.3">
      <c r="A15" s="76" t="str">
        <f>LowX&amp;"X Depth Doses"</f>
        <v>6X Depth Doses</v>
      </c>
      <c r="B15" s="74"/>
      <c r="C15" s="74"/>
      <c r="D15" s="74"/>
      <c r="E15" s="74"/>
      <c r="F15" s="74"/>
      <c r="G15" s="74"/>
      <c r="H15" s="77"/>
    </row>
    <row r="16" spans="1:9" x14ac:dyDescent="0.25">
      <c r="A16" t="s">
        <v>94</v>
      </c>
      <c r="B16" s="65" t="s">
        <v>90</v>
      </c>
      <c r="C16" s="65" t="s">
        <v>66</v>
      </c>
      <c r="D16" s="65" t="s">
        <v>67</v>
      </c>
      <c r="E16" s="65" t="s">
        <v>68</v>
      </c>
      <c r="F16" s="65" t="s">
        <v>69</v>
      </c>
      <c r="G16" s="65" t="s">
        <v>92</v>
      </c>
      <c r="H16" s="65" t="s">
        <v>93</v>
      </c>
    </row>
    <row r="17" spans="1:8" x14ac:dyDescent="0.25">
      <c r="A17" s="65">
        <v>5</v>
      </c>
      <c r="B17" s="72">
        <v>0.84</v>
      </c>
      <c r="C17" s="72">
        <v>0.86299999999999999</v>
      </c>
      <c r="D17" s="72">
        <v>0.87</v>
      </c>
      <c r="E17" s="72">
        <v>0.873</v>
      </c>
      <c r="F17" s="72">
        <v>0.875</v>
      </c>
      <c r="G17" s="72">
        <v>0.877</v>
      </c>
      <c r="H17" s="72">
        <v>0.88</v>
      </c>
    </row>
    <row r="18" spans="1:8" x14ac:dyDescent="0.25">
      <c r="A18" s="65">
        <v>10</v>
      </c>
      <c r="B18" s="72">
        <v>0.624</v>
      </c>
      <c r="C18" s="72">
        <v>0.66800000000000004</v>
      </c>
      <c r="D18" s="72">
        <v>0.68799999999999994</v>
      </c>
      <c r="E18" s="72">
        <v>0.69899999999999995</v>
      </c>
      <c r="F18" s="72">
        <v>0.70499999999999996</v>
      </c>
      <c r="G18" s="72">
        <v>0.71099999999999997</v>
      </c>
      <c r="H18" s="72">
        <v>0.71699999999999997</v>
      </c>
    </row>
    <row r="19" spans="1:8" x14ac:dyDescent="0.25">
      <c r="A19" s="65">
        <v>20</v>
      </c>
      <c r="B19" s="72">
        <v>0.33900000000000002</v>
      </c>
      <c r="C19" s="72">
        <v>0.38500000000000001</v>
      </c>
      <c r="D19" s="72">
        <v>0.40899999999999997</v>
      </c>
      <c r="E19" s="72">
        <v>0.42599999999999999</v>
      </c>
      <c r="F19" s="72">
        <v>0.4365</v>
      </c>
      <c r="G19" s="72">
        <v>0.44700000000000001</v>
      </c>
      <c r="H19" s="72">
        <v>0.45500000000000002</v>
      </c>
    </row>
    <row r="20" spans="1:8" ht="18.75" x14ac:dyDescent="0.3">
      <c r="A20" s="76" t="str">
        <f>HighX&amp;"X Depth Doses"</f>
        <v>15X Depth Doses</v>
      </c>
      <c r="B20" s="74"/>
      <c r="C20" s="74"/>
      <c r="D20" s="74"/>
      <c r="E20" s="74"/>
      <c r="F20" s="74"/>
      <c r="G20" s="74"/>
      <c r="H20" s="74"/>
    </row>
    <row r="21" spans="1:8" x14ac:dyDescent="0.25">
      <c r="A21" s="65" t="s">
        <v>94</v>
      </c>
      <c r="B21" s="65" t="s">
        <v>90</v>
      </c>
      <c r="C21" s="65" t="s">
        <v>66</v>
      </c>
      <c r="D21" s="65" t="s">
        <v>67</v>
      </c>
      <c r="E21" s="65" t="s">
        <v>68</v>
      </c>
      <c r="F21" s="65" t="s">
        <v>69</v>
      </c>
      <c r="G21" s="65" t="s">
        <v>92</v>
      </c>
      <c r="H21" s="65" t="s">
        <v>93</v>
      </c>
    </row>
    <row r="22" spans="1:8" x14ac:dyDescent="0.25">
      <c r="A22" s="65">
        <v>5</v>
      </c>
      <c r="B22" s="72">
        <v>0.94299999999999995</v>
      </c>
      <c r="C22" s="72">
        <v>0.94099999999999995</v>
      </c>
      <c r="D22" s="72">
        <v>0.93300000000000005</v>
      </c>
      <c r="E22" s="72">
        <v>0.93</v>
      </c>
      <c r="F22" s="72">
        <v>0.92800000000000005</v>
      </c>
      <c r="G22" s="72">
        <v>0.92600000000000005</v>
      </c>
      <c r="H22" s="72">
        <v>0.92900000000000005</v>
      </c>
    </row>
    <row r="23" spans="1:8" x14ac:dyDescent="0.25">
      <c r="A23" s="65">
        <v>10</v>
      </c>
      <c r="B23" s="72">
        <v>0.74470000000000003</v>
      </c>
      <c r="C23" s="72">
        <v>0.76600000000000001</v>
      </c>
      <c r="D23" s="72">
        <v>0.76900000000000002</v>
      </c>
      <c r="E23" s="72">
        <v>0.76900000000000002</v>
      </c>
      <c r="F23" s="72">
        <v>0.76900000000000002</v>
      </c>
      <c r="G23" s="72">
        <v>0.77500000000000002</v>
      </c>
      <c r="H23" s="72">
        <v>0.77800000000000002</v>
      </c>
    </row>
    <row r="24" spans="1:8" x14ac:dyDescent="0.25">
      <c r="A24" s="65">
        <v>20</v>
      </c>
      <c r="B24" s="72">
        <v>0.4607</v>
      </c>
      <c r="C24" s="72">
        <v>0.49430000000000002</v>
      </c>
      <c r="D24" s="72">
        <v>0.50609999999999999</v>
      </c>
      <c r="E24" s="72">
        <v>0.51439999999999997</v>
      </c>
      <c r="F24" s="72">
        <v>0.5212</v>
      </c>
      <c r="G24" s="72">
        <v>0.52529999999999999</v>
      </c>
      <c r="H24" s="72">
        <v>0.53220000000000001</v>
      </c>
    </row>
    <row r="25" spans="1:8" ht="15.75" thickBot="1" x14ac:dyDescent="0.3"/>
    <row r="26" spans="1:8" ht="19.5" thickBot="1" x14ac:dyDescent="0.35">
      <c r="A26" s="78" t="s">
        <v>95</v>
      </c>
      <c r="B26" s="79"/>
      <c r="C26" s="79"/>
      <c r="D26" s="79"/>
      <c r="E26" s="79"/>
      <c r="F26" s="79"/>
      <c r="G26" s="79"/>
      <c r="H26" s="79"/>
    </row>
    <row r="27" spans="1:8" ht="19.5" thickBot="1" x14ac:dyDescent="0.35">
      <c r="A27" s="80"/>
      <c r="B27" s="81"/>
      <c r="C27" s="82"/>
      <c r="D27" s="83" t="s">
        <v>50</v>
      </c>
      <c r="E27" s="84"/>
      <c r="F27" s="84"/>
      <c r="G27" s="84"/>
      <c r="H27" s="85"/>
    </row>
    <row r="28" spans="1:8" x14ac:dyDescent="0.25">
      <c r="A28" s="86" t="s">
        <v>87</v>
      </c>
      <c r="B28" s="87" t="s">
        <v>96</v>
      </c>
      <c r="C28" s="88"/>
      <c r="D28" s="65" t="s">
        <v>65</v>
      </c>
      <c r="E28" s="65" t="s">
        <v>66</v>
      </c>
      <c r="F28" s="65" t="s">
        <v>67</v>
      </c>
      <c r="G28" s="65" t="s">
        <v>68</v>
      </c>
      <c r="H28" s="65" t="s">
        <v>69</v>
      </c>
    </row>
    <row r="29" spans="1:8" x14ac:dyDescent="0.25">
      <c r="A29" s="66">
        <v>6</v>
      </c>
      <c r="B29" s="89">
        <v>1</v>
      </c>
      <c r="C29" s="90"/>
      <c r="D29" s="72">
        <v>0.96699999999999997</v>
      </c>
      <c r="E29" s="72">
        <v>1</v>
      </c>
      <c r="F29" s="72">
        <v>1.002</v>
      </c>
      <c r="G29" s="72">
        <v>1.01</v>
      </c>
      <c r="H29" s="72">
        <v>1.0049999999999999</v>
      </c>
    </row>
    <row r="30" spans="1:8" x14ac:dyDescent="0.25">
      <c r="A30" s="66">
        <v>9</v>
      </c>
      <c r="B30" s="89">
        <v>1.4</v>
      </c>
      <c r="C30" s="90"/>
      <c r="D30" s="72">
        <v>0.98199999999999998</v>
      </c>
      <c r="E30" s="72">
        <v>1</v>
      </c>
      <c r="F30" s="72">
        <v>1</v>
      </c>
      <c r="G30" s="72">
        <v>0.98699999999999999</v>
      </c>
      <c r="H30" s="72">
        <v>0.96499999999999997</v>
      </c>
    </row>
    <row r="31" spans="1:8" x14ac:dyDescent="0.25">
      <c r="A31" s="66">
        <v>12</v>
      </c>
      <c r="B31" s="89">
        <v>2</v>
      </c>
      <c r="C31" s="90"/>
      <c r="D31" s="72">
        <v>0.98099999999999998</v>
      </c>
      <c r="E31" s="72">
        <v>1</v>
      </c>
      <c r="F31" s="72">
        <v>0.99199999999999999</v>
      </c>
      <c r="G31" s="72">
        <v>0.97799999999999998</v>
      </c>
      <c r="H31" s="72">
        <v>0.95099999999999996</v>
      </c>
    </row>
    <row r="32" spans="1:8" x14ac:dyDescent="0.25">
      <c r="A32" s="66">
        <v>15</v>
      </c>
      <c r="B32" s="89">
        <v>2.6</v>
      </c>
      <c r="C32" s="90"/>
      <c r="D32" s="72">
        <v>0.98899999999999999</v>
      </c>
      <c r="E32" s="72">
        <v>1</v>
      </c>
      <c r="F32" s="72">
        <v>0.98499999999999999</v>
      </c>
      <c r="G32" s="72">
        <v>0.97399999999999998</v>
      </c>
      <c r="H32" s="72">
        <v>0.94399999999999995</v>
      </c>
    </row>
    <row r="33" spans="1:8" ht="15.75" thickBot="1" x14ac:dyDescent="0.3">
      <c r="A33" s="66">
        <v>18</v>
      </c>
      <c r="B33" s="91">
        <v>3</v>
      </c>
      <c r="C33" s="92"/>
      <c r="D33" s="72">
        <v>0.998</v>
      </c>
      <c r="E33" s="72">
        <v>1</v>
      </c>
      <c r="F33" s="72">
        <v>0.97799999999999998</v>
      </c>
      <c r="G33" s="72">
        <v>0.96299999999999997</v>
      </c>
      <c r="H33" s="72">
        <v>0.92900000000000005</v>
      </c>
    </row>
    <row r="34" spans="1:8" ht="18.75" x14ac:dyDescent="0.3">
      <c r="A34" s="93" t="s">
        <v>97</v>
      </c>
      <c r="B34" s="94"/>
      <c r="C34" s="94"/>
      <c r="D34" s="94"/>
      <c r="E34" s="94"/>
      <c r="F34" s="94"/>
      <c r="G34" s="93" t="s">
        <v>98</v>
      </c>
      <c r="H34" s="94"/>
    </row>
    <row r="35" spans="1:8" x14ac:dyDescent="0.25">
      <c r="A35" s="95"/>
      <c r="B35" s="95" t="str">
        <f>Elec1&amp;""</f>
        <v>6</v>
      </c>
      <c r="C35" s="95" t="str">
        <f>Elec2&amp;""</f>
        <v>9</v>
      </c>
      <c r="D35" s="95" t="str">
        <f>Elec3&amp;""</f>
        <v>12</v>
      </c>
      <c r="E35" s="95" t="str">
        <f>Elec4&amp;""</f>
        <v>15</v>
      </c>
      <c r="F35" s="95" t="str">
        <f>Elec5&amp;""</f>
        <v>18</v>
      </c>
      <c r="G35" s="96" t="s">
        <v>42</v>
      </c>
      <c r="H35" s="97"/>
    </row>
    <row r="36" spans="1:8" x14ac:dyDescent="0.25">
      <c r="A36" s="98" t="s">
        <v>99</v>
      </c>
      <c r="B36" s="72">
        <v>13</v>
      </c>
      <c r="C36" s="72">
        <v>20</v>
      </c>
      <c r="D36" s="72">
        <v>29</v>
      </c>
      <c r="E36" s="72">
        <v>32</v>
      </c>
      <c r="F36" s="99">
        <v>22</v>
      </c>
    </row>
    <row r="37" spans="1:8" x14ac:dyDescent="0.25">
      <c r="A37" s="98" t="s">
        <v>100</v>
      </c>
      <c r="B37" s="72">
        <v>18</v>
      </c>
      <c r="C37" s="72">
        <v>28</v>
      </c>
      <c r="D37" s="72">
        <v>39</v>
      </c>
      <c r="E37" s="72">
        <v>49</v>
      </c>
      <c r="F37" s="99">
        <v>56</v>
      </c>
    </row>
    <row r="38" spans="1:8" x14ac:dyDescent="0.25">
      <c r="A38" s="98" t="s">
        <v>101</v>
      </c>
      <c r="B38" s="72">
        <v>20</v>
      </c>
      <c r="C38" s="72">
        <v>30</v>
      </c>
      <c r="D38" s="72">
        <v>43</v>
      </c>
      <c r="E38" s="72">
        <v>54</v>
      </c>
      <c r="F38" s="99">
        <v>64</v>
      </c>
    </row>
    <row r="39" spans="1:8" x14ac:dyDescent="0.25">
      <c r="A39" s="98" t="s">
        <v>102</v>
      </c>
      <c r="B39" s="72">
        <v>23</v>
      </c>
      <c r="C39" s="72">
        <v>36</v>
      </c>
      <c r="D39" s="72">
        <v>50</v>
      </c>
      <c r="E39" s="72">
        <v>63</v>
      </c>
      <c r="F39" s="99">
        <v>76</v>
      </c>
    </row>
    <row r="40" spans="1:8" x14ac:dyDescent="0.25">
      <c r="A40" s="98" t="s">
        <v>103</v>
      </c>
      <c r="B40" s="72">
        <v>29</v>
      </c>
      <c r="C40" s="72">
        <v>44</v>
      </c>
      <c r="D40" s="72">
        <v>61</v>
      </c>
      <c r="E40" s="72">
        <v>77</v>
      </c>
      <c r="F40" s="99">
        <v>94</v>
      </c>
    </row>
    <row r="182" spans="1:2" x14ac:dyDescent="0.25">
      <c r="A182" s="100"/>
      <c r="B182" t="b">
        <f>ISBLANK(BLANK)</f>
        <v>1</v>
      </c>
    </row>
  </sheetData>
  <mergeCells count="16">
    <mergeCell ref="B31:C31"/>
    <mergeCell ref="B32:C32"/>
    <mergeCell ref="B33:C33"/>
    <mergeCell ref="A34:F34"/>
    <mergeCell ref="G34:H34"/>
    <mergeCell ref="G35:H35"/>
    <mergeCell ref="A7:G7"/>
    <mergeCell ref="A15:H15"/>
    <mergeCell ref="A20:H20"/>
    <mergeCell ref="A11:H11"/>
    <mergeCell ref="A26:H26"/>
    <mergeCell ref="B28:C28"/>
    <mergeCell ref="B29:C29"/>
    <mergeCell ref="B30:C30"/>
    <mergeCell ref="A1:I2"/>
    <mergeCell ref="A3:C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FormulaCells/>
</file>

<file path=customXml/item2.xml><?xml version="1.0" encoding="utf-8"?>
<FormulaCells/>
</file>

<file path=customXml/item3.xml><?xml version="1.0" encoding="utf-8"?>
<FormulaCells/>
</file>

<file path=customXml/item4.xml><?xml version="1.0" encoding="utf-8"?>
<FormulaCells/>
</file>

<file path=customXml/item5.xml><?xml version="1.0" encoding="utf-8"?>
<FormulaCells/>
</file>

<file path=customXml/item6.xml><?xml version="1.0" encoding="utf-8"?>
<FormulaCells/>
</file>

<file path=customXml/itemProps1.xml><?xml version="1.0" encoding="utf-8"?>
<ds:datastoreItem xmlns:ds="http://schemas.openxmlformats.org/officeDocument/2006/customXml" ds:itemID="{47B40ECF-DD7B-455E-B241-97492E32A350}">
  <ds:schemaRefs/>
</ds:datastoreItem>
</file>

<file path=customXml/itemProps2.xml><?xml version="1.0" encoding="utf-8"?>
<ds:datastoreItem xmlns:ds="http://schemas.openxmlformats.org/officeDocument/2006/customXml" ds:itemID="{D5D65DBA-7B39-4E87-BBB4-8F4B9FE96293}">
  <ds:schemaRefs/>
</ds:datastoreItem>
</file>

<file path=customXml/itemProps3.xml><?xml version="1.0" encoding="utf-8"?>
<ds:datastoreItem xmlns:ds="http://schemas.openxmlformats.org/officeDocument/2006/customXml" ds:itemID="{BCB55473-22AB-4787-AAE0-92F830053DA4}">
  <ds:schemaRefs/>
</ds:datastoreItem>
</file>

<file path=customXml/itemProps4.xml><?xml version="1.0" encoding="utf-8"?>
<ds:datastoreItem xmlns:ds="http://schemas.openxmlformats.org/officeDocument/2006/customXml" ds:itemID="{8C8B0C40-3A5A-42E2-851B-5E2086AA53BA}">
  <ds:schemaRefs/>
</ds:datastoreItem>
</file>

<file path=customXml/itemProps5.xml><?xml version="1.0" encoding="utf-8"?>
<ds:datastoreItem xmlns:ds="http://schemas.openxmlformats.org/officeDocument/2006/customXml" ds:itemID="{58AF4D2E-0AD3-4C02-AEBF-6A89CDDECD62}">
  <ds:schemaRefs/>
</ds:datastoreItem>
</file>

<file path=customXml/itemProps6.xml><?xml version="1.0" encoding="utf-8"?>
<ds:datastoreItem xmlns:ds="http://schemas.openxmlformats.org/officeDocument/2006/customXml" ds:itemID="{8907F5AC-E4B4-4926-B243-7E0527753CF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96</vt:i4>
      </vt:variant>
    </vt:vector>
  </HeadingPairs>
  <TitlesOfParts>
    <vt:vector size="101" baseType="lpstr">
      <vt:lpstr>Autodrive</vt:lpstr>
      <vt:lpstr>OF</vt:lpstr>
      <vt:lpstr>Wedge Factors</vt:lpstr>
      <vt:lpstr>MU Linearity</vt:lpstr>
      <vt:lpstr>Accelerator Details</vt:lpstr>
      <vt:lpstr>A10E1OF</vt:lpstr>
      <vt:lpstr>A10E2OF</vt:lpstr>
      <vt:lpstr>A10E3OF</vt:lpstr>
      <vt:lpstr>A10E4OF</vt:lpstr>
      <vt:lpstr>A10E5OF</vt:lpstr>
      <vt:lpstr>A15E1OF</vt:lpstr>
      <vt:lpstr>A15E2OF</vt:lpstr>
      <vt:lpstr>A15E3OF</vt:lpstr>
      <vt:lpstr>A15E4OF</vt:lpstr>
      <vt:lpstr>A15E5OF</vt:lpstr>
      <vt:lpstr>A20E1OF</vt:lpstr>
      <vt:lpstr>A20E2OF</vt:lpstr>
      <vt:lpstr>A20E3OF</vt:lpstr>
      <vt:lpstr>A20E4OF</vt:lpstr>
      <vt:lpstr>A20E5OF</vt:lpstr>
      <vt:lpstr>A25E1OF</vt:lpstr>
      <vt:lpstr>A25E2OF</vt:lpstr>
      <vt:lpstr>A25E3OF</vt:lpstr>
      <vt:lpstr>A25E4OF</vt:lpstr>
      <vt:lpstr>A25E5OF</vt:lpstr>
      <vt:lpstr>A6E1OF</vt:lpstr>
      <vt:lpstr>A6E2OF</vt:lpstr>
      <vt:lpstr>A6E3OF</vt:lpstr>
      <vt:lpstr>A6E4OF</vt:lpstr>
      <vt:lpstr>A6E5OF</vt:lpstr>
      <vt:lpstr>BLANK</vt:lpstr>
      <vt:lpstr>Elec1</vt:lpstr>
      <vt:lpstr>Elec1_10x10</vt:lpstr>
      <vt:lpstr>Elec1_15x15</vt:lpstr>
      <vt:lpstr>Elec1_20x20</vt:lpstr>
      <vt:lpstr>Elec1_25x25</vt:lpstr>
      <vt:lpstr>Elec1_6x6</vt:lpstr>
      <vt:lpstr>Elec2</vt:lpstr>
      <vt:lpstr>Elec2_10x10</vt:lpstr>
      <vt:lpstr>Elec2_15x15</vt:lpstr>
      <vt:lpstr>Elec2_20x20</vt:lpstr>
      <vt:lpstr>Elec2_25x25</vt:lpstr>
      <vt:lpstr>Elec2_6x6</vt:lpstr>
      <vt:lpstr>Elec3</vt:lpstr>
      <vt:lpstr>Elec3_10x10</vt:lpstr>
      <vt:lpstr>Elec3_15x15</vt:lpstr>
      <vt:lpstr>Elec3_20x20</vt:lpstr>
      <vt:lpstr>Elec3_25x25</vt:lpstr>
      <vt:lpstr>Elec3_6x6</vt:lpstr>
      <vt:lpstr>Elec4</vt:lpstr>
      <vt:lpstr>Elec4_10x10</vt:lpstr>
      <vt:lpstr>Elec4_15x15</vt:lpstr>
      <vt:lpstr>Elec4_20x20</vt:lpstr>
      <vt:lpstr>Elec4_25x25</vt:lpstr>
      <vt:lpstr>Elec4_6x6</vt:lpstr>
      <vt:lpstr>Elec5</vt:lpstr>
      <vt:lpstr>Elec5_10x10</vt:lpstr>
      <vt:lpstr>Elec5_15x15</vt:lpstr>
      <vt:lpstr>Elec5_20x20</vt:lpstr>
      <vt:lpstr>Elec5_25x25</vt:lpstr>
      <vt:lpstr>Elec5_6x6</vt:lpstr>
      <vt:lpstr>HighX</vt:lpstr>
      <vt:lpstr>HighX_10EDW</vt:lpstr>
      <vt:lpstr>HighX_10x10</vt:lpstr>
      <vt:lpstr>HighX_15EDW</vt:lpstr>
      <vt:lpstr>HighX_15x15</vt:lpstr>
      <vt:lpstr>HighX_20EDW</vt:lpstr>
      <vt:lpstr>HighX_20x20</vt:lpstr>
      <vt:lpstr>HighX_25EDW</vt:lpstr>
      <vt:lpstr>HighX_25x25</vt:lpstr>
      <vt:lpstr>HighX_30EDW</vt:lpstr>
      <vt:lpstr>HighX_30x30</vt:lpstr>
      <vt:lpstr>HighX_40x40</vt:lpstr>
      <vt:lpstr>HighX_45EDW</vt:lpstr>
      <vt:lpstr>HighX_4x4</vt:lpstr>
      <vt:lpstr>HighX_5x5</vt:lpstr>
      <vt:lpstr>HighX_60EDW</vt:lpstr>
      <vt:lpstr>HighX_dmax</vt:lpstr>
      <vt:lpstr>LowX</vt:lpstr>
      <vt:lpstr>LowX_10EDW</vt:lpstr>
      <vt:lpstr>LowX_10x10</vt:lpstr>
      <vt:lpstr>LowX_15EDW</vt:lpstr>
      <vt:lpstr>LowX_15x15</vt:lpstr>
      <vt:lpstr>LowX_20EDW</vt:lpstr>
      <vt:lpstr>LowX_20x20</vt:lpstr>
      <vt:lpstr>LowX_25EDW</vt:lpstr>
      <vt:lpstr>LowX_25x25</vt:lpstr>
      <vt:lpstr>LowX_30EDW</vt:lpstr>
      <vt:lpstr>LowX_30x30</vt:lpstr>
      <vt:lpstr>LowX_40x40</vt:lpstr>
      <vt:lpstr>LowX_45EDW</vt:lpstr>
      <vt:lpstr>LowX_4x4</vt:lpstr>
      <vt:lpstr>LowX_5x5</vt:lpstr>
      <vt:lpstr>LowX_60EDW</vt:lpstr>
      <vt:lpstr>LowX_dmax</vt:lpstr>
      <vt:lpstr>X1EDW</vt:lpstr>
      <vt:lpstr>X1MULIN</vt:lpstr>
      <vt:lpstr>X1OF</vt:lpstr>
      <vt:lpstr>X2EDW</vt:lpstr>
      <vt:lpstr>X2MULIN</vt:lpstr>
      <vt:lpstr>X2OF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Rex Cardan</cp:lastModifiedBy>
  <dcterms:created xsi:type="dcterms:W3CDTF">2017-04-26T16:21:10Z</dcterms:created>
  <dcterms:modified xsi:type="dcterms:W3CDTF">2017-04-28T19:33:35Z</dcterms:modified>
</cp:coreProperties>
</file>