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Harp Tuning\string data\2023 String Sound\Excel tool\"/>
    </mc:Choice>
  </mc:AlternateContent>
  <xr:revisionPtr revIDLastSave="0" documentId="13_ncr:1_{8DCD2D54-6FDA-4FDB-965C-2CAC47B23F28}" xr6:coauthVersionLast="47" xr6:coauthVersionMax="47" xr10:uidLastSave="{00000000-0000-0000-0000-000000000000}"/>
  <bookViews>
    <workbookView xWindow="-120" yWindow="-120" windowWidth="29040" windowHeight="15990" xr2:uid="{08BD52C6-623B-425E-8CC4-6D6B974207D4}"/>
  </bookViews>
  <sheets>
    <sheet name="Instructions" sheetId="9" r:id="rId1"/>
    <sheet name="Graphs" sheetId="1" r:id="rId2"/>
    <sheet name="Test Set" sheetId="6" r:id="rId3"/>
    <sheet name="Gut" sheetId="7" r:id="rId4"/>
    <sheet name="Fluorocarbon" sheetId="5" r:id="rId5"/>
    <sheet name="Nylon" sheetId="4" r:id="rId6"/>
    <sheet name="String Lengths" sheetId="2" r:id="rId7"/>
    <sheet name="Gut E est" sheetId="8" r:id="rId8"/>
    <sheet name="Misc ref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1" i="6" l="1"/>
  <c r="K50" i="6"/>
  <c r="K47" i="6"/>
  <c r="K46" i="6"/>
  <c r="K45" i="6"/>
  <c r="K44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E47" i="6"/>
  <c r="E44" i="6"/>
  <c r="E53" i="6"/>
  <c r="E52" i="6"/>
  <c r="E51" i="6"/>
  <c r="D52" i="6"/>
  <c r="D51" i="6"/>
  <c r="D40" i="6" l="1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E5" i="2" a="1"/>
  <c r="E5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Z38" i="6" l="1"/>
  <c r="Y40" i="6"/>
  <c r="Y39" i="6"/>
  <c r="Y38" i="6"/>
  <c r="Y37" i="6"/>
  <c r="Y35" i="6"/>
  <c r="Y34" i="6"/>
  <c r="Y33" i="6"/>
  <c r="Y32" i="6"/>
  <c r="Y31" i="6"/>
  <c r="Y29" i="6"/>
  <c r="Y28" i="6"/>
  <c r="Y27" i="6"/>
  <c r="Y26" i="6"/>
  <c r="Y25" i="6"/>
  <c r="Y23" i="6"/>
  <c r="Y22" i="6"/>
  <c r="Y21" i="6"/>
  <c r="Y20" i="6"/>
  <c r="Y19" i="6"/>
  <c r="Y17" i="6"/>
  <c r="Y16" i="6"/>
  <c r="Y15" i="6"/>
  <c r="Y14" i="6"/>
  <c r="Y13" i="6"/>
  <c r="Y11" i="6"/>
  <c r="Y10" i="6"/>
  <c r="Y9" i="6"/>
  <c r="Y8" i="6"/>
  <c r="Y7" i="6"/>
  <c r="Z39" i="6"/>
  <c r="Z15" i="6"/>
  <c r="AD119" i="7"/>
  <c r="Z119" i="7"/>
  <c r="Y119" i="7"/>
  <c r="AD118" i="7"/>
  <c r="Z118" i="7"/>
  <c r="Y118" i="7"/>
  <c r="AD117" i="7"/>
  <c r="Z117" i="7"/>
  <c r="Y117" i="7"/>
  <c r="AD116" i="7"/>
  <c r="Z116" i="7"/>
  <c r="Y116" i="7"/>
  <c r="AD115" i="7"/>
  <c r="Z115" i="7"/>
  <c r="Y115" i="7"/>
  <c r="AD114" i="7"/>
  <c r="Z114" i="7"/>
  <c r="Y114" i="7"/>
  <c r="Z113" i="7"/>
  <c r="Y113" i="7"/>
  <c r="AD112" i="7"/>
  <c r="Z112" i="7"/>
  <c r="Y112" i="7"/>
  <c r="AD111" i="7"/>
  <c r="Z111" i="7"/>
  <c r="Y111" i="7"/>
  <c r="AD110" i="7"/>
  <c r="Z110" i="7"/>
  <c r="Y110" i="7"/>
  <c r="AD109" i="7"/>
  <c r="Z109" i="7"/>
  <c r="Y109" i="7"/>
  <c r="AD108" i="7"/>
  <c r="Z108" i="7"/>
  <c r="Y108" i="7"/>
  <c r="AD107" i="7"/>
  <c r="Z107" i="7"/>
  <c r="Y107" i="7"/>
  <c r="AD106" i="7"/>
  <c r="Z106" i="7"/>
  <c r="Y106" i="7"/>
  <c r="Z105" i="7"/>
  <c r="Y105" i="7"/>
  <c r="AD104" i="7"/>
  <c r="Z104" i="7"/>
  <c r="Y104" i="7"/>
  <c r="AD103" i="7"/>
  <c r="Z103" i="7"/>
  <c r="Y103" i="7"/>
  <c r="AD102" i="7"/>
  <c r="Z102" i="7"/>
  <c r="Y102" i="7"/>
  <c r="AD101" i="7"/>
  <c r="Z101" i="7"/>
  <c r="Y101" i="7"/>
  <c r="AD100" i="7"/>
  <c r="Z100" i="7"/>
  <c r="Y100" i="7"/>
  <c r="Z99" i="7"/>
  <c r="Y99" i="7"/>
  <c r="AD98" i="7"/>
  <c r="Z98" i="7"/>
  <c r="Y98" i="7"/>
  <c r="Z97" i="7"/>
  <c r="Y97" i="7"/>
  <c r="AD96" i="7"/>
  <c r="Z96" i="7"/>
  <c r="Y96" i="7"/>
  <c r="AD95" i="7"/>
  <c r="Z95" i="7"/>
  <c r="Y95" i="7"/>
  <c r="AD94" i="7"/>
  <c r="Z94" i="7"/>
  <c r="Y94" i="7"/>
  <c r="Z93" i="7"/>
  <c r="Y93" i="7"/>
  <c r="AD92" i="7"/>
  <c r="Z92" i="7"/>
  <c r="Y92" i="7"/>
  <c r="AD91" i="7"/>
  <c r="Z91" i="7"/>
  <c r="Y91" i="7"/>
  <c r="AH90" i="7"/>
  <c r="AD90" i="7"/>
  <c r="Z90" i="7"/>
  <c r="Y90" i="7"/>
  <c r="AD89" i="7"/>
  <c r="Z89" i="7"/>
  <c r="Y89" i="7"/>
  <c r="AD88" i="7"/>
  <c r="Z88" i="7"/>
  <c r="Y88" i="7"/>
  <c r="AD87" i="7"/>
  <c r="Z87" i="7"/>
  <c r="Y87" i="7"/>
  <c r="AD86" i="7"/>
  <c r="Z86" i="7"/>
  <c r="Y86" i="7"/>
  <c r="AH85" i="7"/>
  <c r="AD85" i="7"/>
  <c r="Z85" i="7"/>
  <c r="Y85" i="7"/>
  <c r="AH79" i="7"/>
  <c r="AD79" i="7"/>
  <c r="Z79" i="7"/>
  <c r="Y79" i="7"/>
  <c r="AH78" i="7"/>
  <c r="AD78" i="7"/>
  <c r="Z78" i="7"/>
  <c r="Y78" i="7"/>
  <c r="AH77" i="7"/>
  <c r="AD77" i="7"/>
  <c r="Z77" i="7"/>
  <c r="Y77" i="7"/>
  <c r="AH76" i="7"/>
  <c r="AD76" i="7"/>
  <c r="Z76" i="7"/>
  <c r="Y76" i="7"/>
  <c r="AH75" i="7"/>
  <c r="AD75" i="7"/>
  <c r="Z75" i="7"/>
  <c r="Y75" i="7"/>
  <c r="AH74" i="7"/>
  <c r="AD74" i="7"/>
  <c r="Z74" i="7"/>
  <c r="Y74" i="7"/>
  <c r="AH73" i="7"/>
  <c r="AD73" i="7"/>
  <c r="Z73" i="7"/>
  <c r="Y73" i="7"/>
  <c r="AH72" i="7"/>
  <c r="AD72" i="7"/>
  <c r="Z72" i="7"/>
  <c r="Y72" i="7"/>
  <c r="AH71" i="7"/>
  <c r="AD71" i="7"/>
  <c r="Z71" i="7"/>
  <c r="Y71" i="7"/>
  <c r="AH70" i="7"/>
  <c r="AD70" i="7"/>
  <c r="Z70" i="7"/>
  <c r="Y70" i="7"/>
  <c r="AH69" i="7"/>
  <c r="AD69" i="7"/>
  <c r="Z69" i="7"/>
  <c r="Y69" i="7"/>
  <c r="AH68" i="7"/>
  <c r="AD68" i="7"/>
  <c r="Z68" i="7"/>
  <c r="Y68" i="7"/>
  <c r="AH67" i="7"/>
  <c r="AD67" i="7"/>
  <c r="Z67" i="7"/>
  <c r="Y67" i="7"/>
  <c r="AH66" i="7"/>
  <c r="AD66" i="7"/>
  <c r="Z66" i="7"/>
  <c r="Y66" i="7"/>
  <c r="AH65" i="7"/>
  <c r="AD65" i="7"/>
  <c r="Z65" i="7"/>
  <c r="Y65" i="7"/>
  <c r="AH64" i="7"/>
  <c r="AD64" i="7"/>
  <c r="Z64" i="7"/>
  <c r="Y64" i="7"/>
  <c r="AH63" i="7"/>
  <c r="AD63" i="7"/>
  <c r="Z63" i="7"/>
  <c r="Y63" i="7"/>
  <c r="AH62" i="7"/>
  <c r="AD62" i="7"/>
  <c r="Z62" i="7"/>
  <c r="Y62" i="7"/>
  <c r="AH61" i="7"/>
  <c r="AD61" i="7"/>
  <c r="Z61" i="7"/>
  <c r="Y61" i="7"/>
  <c r="AH60" i="7"/>
  <c r="AD60" i="7"/>
  <c r="Z60" i="7"/>
  <c r="Y60" i="7"/>
  <c r="AH59" i="7"/>
  <c r="AD59" i="7"/>
  <c r="Z59" i="7"/>
  <c r="Y59" i="7"/>
  <c r="AH58" i="7"/>
  <c r="AD58" i="7"/>
  <c r="Z58" i="7"/>
  <c r="Y58" i="7"/>
  <c r="AH57" i="7"/>
  <c r="AD57" i="7"/>
  <c r="Z57" i="7"/>
  <c r="Y57" i="7"/>
  <c r="AH56" i="7"/>
  <c r="AD56" i="7"/>
  <c r="Z56" i="7"/>
  <c r="Y56" i="7"/>
  <c r="AH55" i="7"/>
  <c r="AD55" i="7"/>
  <c r="Z55" i="7"/>
  <c r="Y55" i="7"/>
  <c r="AH54" i="7"/>
  <c r="AD54" i="7"/>
  <c r="Z54" i="7"/>
  <c r="Y54" i="7"/>
  <c r="AH53" i="7"/>
  <c r="AD53" i="7"/>
  <c r="Z53" i="7"/>
  <c r="Y53" i="7"/>
  <c r="AH52" i="7"/>
  <c r="AD52" i="7"/>
  <c r="Z52" i="7"/>
  <c r="Y52" i="7"/>
  <c r="AH51" i="7"/>
  <c r="AD51" i="7"/>
  <c r="Z51" i="7"/>
  <c r="Y51" i="7"/>
  <c r="AH50" i="7"/>
  <c r="AD50" i="7"/>
  <c r="Z50" i="7"/>
  <c r="Y50" i="7"/>
  <c r="AH49" i="7"/>
  <c r="AD49" i="7"/>
  <c r="Z49" i="7"/>
  <c r="Y49" i="7"/>
  <c r="AH48" i="7"/>
  <c r="AD48" i="7"/>
  <c r="Z48" i="7"/>
  <c r="Y48" i="7"/>
  <c r="AH47" i="7"/>
  <c r="AD47" i="7"/>
  <c r="Z47" i="7"/>
  <c r="Y47" i="7"/>
  <c r="AH46" i="7"/>
  <c r="AD46" i="7"/>
  <c r="Z46" i="7"/>
  <c r="Y46" i="7"/>
  <c r="AH45" i="7"/>
  <c r="AD45" i="7"/>
  <c r="Z45" i="7"/>
  <c r="Y45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Y7" i="7"/>
  <c r="Y6" i="7"/>
  <c r="Y5" i="7"/>
  <c r="E39" i="7"/>
  <c r="Z39" i="7" s="1"/>
  <c r="E38" i="7"/>
  <c r="Z38" i="7" s="1"/>
  <c r="E37" i="7"/>
  <c r="Z37" i="7" s="1"/>
  <c r="E36" i="7"/>
  <c r="E35" i="7"/>
  <c r="E34" i="7"/>
  <c r="E33" i="7"/>
  <c r="Z33" i="7" s="1"/>
  <c r="E32" i="7"/>
  <c r="Z32" i="7" s="1"/>
  <c r="E31" i="7"/>
  <c r="E30" i="7"/>
  <c r="Z30" i="7" s="1"/>
  <c r="E29" i="7"/>
  <c r="E28" i="7"/>
  <c r="Z28" i="7" s="1"/>
  <c r="E27" i="7"/>
  <c r="Z27" i="7" s="1"/>
  <c r="E26" i="7"/>
  <c r="Z26" i="7" s="1"/>
  <c r="E25" i="7"/>
  <c r="Z25" i="7" s="1"/>
  <c r="E24" i="7"/>
  <c r="Z24" i="7" s="1"/>
  <c r="E23" i="7"/>
  <c r="Z23" i="7" s="1"/>
  <c r="E22" i="7"/>
  <c r="Z22" i="7" s="1"/>
  <c r="E21" i="7"/>
  <c r="Z21" i="7" s="1"/>
  <c r="E20" i="7"/>
  <c r="Z20" i="7" s="1"/>
  <c r="E19" i="7"/>
  <c r="Z19" i="7" s="1"/>
  <c r="E18" i="7"/>
  <c r="E17" i="7"/>
  <c r="Z17" i="7" s="1"/>
  <c r="E16" i="7"/>
  <c r="E15" i="7"/>
  <c r="Z15" i="7" s="1"/>
  <c r="E14" i="7"/>
  <c r="Z14" i="7" s="1"/>
  <c r="E13" i="7"/>
  <c r="Z13" i="7" s="1"/>
  <c r="E12" i="7"/>
  <c r="Z12" i="7" s="1"/>
  <c r="E11" i="7"/>
  <c r="E10" i="7"/>
  <c r="Z10" i="7" s="1"/>
  <c r="E9" i="7"/>
  <c r="Z9" i="7" s="1"/>
  <c r="E8" i="7"/>
  <c r="E7" i="7"/>
  <c r="E6" i="7"/>
  <c r="Z6" i="7" s="1"/>
  <c r="E5" i="7"/>
  <c r="Z5" i="7" s="1"/>
  <c r="AH119" i="5"/>
  <c r="AG119" i="5"/>
  <c r="AF119" i="5"/>
  <c r="AD119" i="5"/>
  <c r="AC119" i="5"/>
  <c r="AB119" i="5"/>
  <c r="AA119" i="5"/>
  <c r="Z119" i="5"/>
  <c r="Y119" i="5"/>
  <c r="AH118" i="5"/>
  <c r="AG118" i="5"/>
  <c r="AF118" i="5"/>
  <c r="AD118" i="5"/>
  <c r="AC118" i="5"/>
  <c r="AB118" i="5"/>
  <c r="AA118" i="5"/>
  <c r="Z118" i="5"/>
  <c r="Y118" i="5"/>
  <c r="AH117" i="5"/>
  <c r="AG117" i="5"/>
  <c r="AF117" i="5"/>
  <c r="AD117" i="5"/>
  <c r="AC117" i="5"/>
  <c r="AB117" i="5"/>
  <c r="AA117" i="5"/>
  <c r="Z117" i="5"/>
  <c r="Y117" i="5"/>
  <c r="AH116" i="5"/>
  <c r="AG116" i="5"/>
  <c r="AF116" i="5"/>
  <c r="AD116" i="5"/>
  <c r="AC116" i="5"/>
  <c r="AB116" i="5"/>
  <c r="AA116" i="5"/>
  <c r="Z116" i="5"/>
  <c r="Y116" i="5"/>
  <c r="AH115" i="5"/>
  <c r="AG115" i="5"/>
  <c r="AF115" i="5"/>
  <c r="AD115" i="5"/>
  <c r="AC115" i="5"/>
  <c r="AB115" i="5"/>
  <c r="AA115" i="5"/>
  <c r="Z115" i="5"/>
  <c r="Y115" i="5"/>
  <c r="AH114" i="5"/>
  <c r="AG114" i="5"/>
  <c r="AF114" i="5"/>
  <c r="AD114" i="5"/>
  <c r="AC114" i="5"/>
  <c r="AB114" i="5"/>
  <c r="AA114" i="5"/>
  <c r="Z114" i="5"/>
  <c r="Y114" i="5"/>
  <c r="AH113" i="5"/>
  <c r="AG113" i="5"/>
  <c r="AF113" i="5"/>
  <c r="AD113" i="5"/>
  <c r="AC113" i="5"/>
  <c r="AB113" i="5"/>
  <c r="AA113" i="5"/>
  <c r="Z113" i="5"/>
  <c r="Y113" i="5"/>
  <c r="AH112" i="5"/>
  <c r="AG112" i="5"/>
  <c r="AF112" i="5"/>
  <c r="AD112" i="5"/>
  <c r="AC112" i="5"/>
  <c r="AB112" i="5"/>
  <c r="AA112" i="5"/>
  <c r="Z112" i="5"/>
  <c r="Y112" i="5"/>
  <c r="AH111" i="5"/>
  <c r="AG111" i="5"/>
  <c r="AF111" i="5"/>
  <c r="AD111" i="5"/>
  <c r="AC111" i="5"/>
  <c r="AB111" i="5"/>
  <c r="AA111" i="5"/>
  <c r="Z111" i="5"/>
  <c r="Y111" i="5"/>
  <c r="AH110" i="5"/>
  <c r="AG110" i="5"/>
  <c r="AF110" i="5"/>
  <c r="AD110" i="5"/>
  <c r="AC110" i="5"/>
  <c r="AB110" i="5"/>
  <c r="AA110" i="5"/>
  <c r="Z110" i="5"/>
  <c r="Y110" i="5"/>
  <c r="AH109" i="5"/>
  <c r="AG109" i="5"/>
  <c r="AF109" i="5"/>
  <c r="AD109" i="5"/>
  <c r="AC109" i="5"/>
  <c r="AB109" i="5"/>
  <c r="AA109" i="5"/>
  <c r="Z109" i="5"/>
  <c r="Y109" i="5"/>
  <c r="AH108" i="5"/>
  <c r="AG108" i="5"/>
  <c r="AF108" i="5"/>
  <c r="AD108" i="5"/>
  <c r="AC108" i="5"/>
  <c r="AB108" i="5"/>
  <c r="AA108" i="5"/>
  <c r="Z108" i="5"/>
  <c r="Y108" i="5"/>
  <c r="AH107" i="5"/>
  <c r="AG107" i="5"/>
  <c r="AF107" i="5"/>
  <c r="AD107" i="5"/>
  <c r="AC107" i="5"/>
  <c r="AB107" i="5"/>
  <c r="AA107" i="5"/>
  <c r="Z107" i="5"/>
  <c r="Y107" i="5"/>
  <c r="AH106" i="5"/>
  <c r="AG106" i="5"/>
  <c r="AF106" i="5"/>
  <c r="AD106" i="5"/>
  <c r="AC106" i="5"/>
  <c r="AB106" i="5"/>
  <c r="AA106" i="5"/>
  <c r="Z106" i="5"/>
  <c r="Y106" i="5"/>
  <c r="AH105" i="5"/>
  <c r="AG105" i="5"/>
  <c r="AF105" i="5"/>
  <c r="AD105" i="5"/>
  <c r="AC105" i="5"/>
  <c r="AB105" i="5"/>
  <c r="AA105" i="5"/>
  <c r="Z105" i="5"/>
  <c r="Y105" i="5"/>
  <c r="AH104" i="5"/>
  <c r="AG104" i="5"/>
  <c r="AF104" i="5"/>
  <c r="AD104" i="5"/>
  <c r="AC104" i="5"/>
  <c r="AB104" i="5"/>
  <c r="AA104" i="5"/>
  <c r="Z104" i="5"/>
  <c r="Y104" i="5"/>
  <c r="AH103" i="5"/>
  <c r="AG103" i="5"/>
  <c r="AF103" i="5"/>
  <c r="AD103" i="5"/>
  <c r="AC103" i="5"/>
  <c r="AB103" i="5"/>
  <c r="AA103" i="5"/>
  <c r="Z103" i="5"/>
  <c r="Y103" i="5"/>
  <c r="AH102" i="5"/>
  <c r="AG102" i="5"/>
  <c r="AF102" i="5"/>
  <c r="AD102" i="5"/>
  <c r="AC102" i="5"/>
  <c r="AB102" i="5"/>
  <c r="AA102" i="5"/>
  <c r="Z102" i="5"/>
  <c r="Y102" i="5"/>
  <c r="AH101" i="5"/>
  <c r="AG101" i="5"/>
  <c r="AF101" i="5"/>
  <c r="AD101" i="5"/>
  <c r="AC101" i="5"/>
  <c r="AB101" i="5"/>
  <c r="AA101" i="5"/>
  <c r="Z101" i="5"/>
  <c r="Y101" i="5"/>
  <c r="AH100" i="5"/>
  <c r="AG100" i="5"/>
  <c r="AF100" i="5"/>
  <c r="AD100" i="5"/>
  <c r="AC100" i="5"/>
  <c r="AB100" i="5"/>
  <c r="AA100" i="5"/>
  <c r="Z100" i="5"/>
  <c r="Y100" i="5"/>
  <c r="AH99" i="5"/>
  <c r="AG99" i="5"/>
  <c r="AF99" i="5"/>
  <c r="AD99" i="5"/>
  <c r="AC99" i="5"/>
  <c r="AB99" i="5"/>
  <c r="AA99" i="5"/>
  <c r="Z99" i="5"/>
  <c r="Y99" i="5"/>
  <c r="AH98" i="5"/>
  <c r="AG98" i="5"/>
  <c r="AF98" i="5"/>
  <c r="AD98" i="5"/>
  <c r="AC98" i="5"/>
  <c r="AB98" i="5"/>
  <c r="AA98" i="5"/>
  <c r="Z98" i="5"/>
  <c r="Y98" i="5"/>
  <c r="AH97" i="5"/>
  <c r="AG97" i="5"/>
  <c r="AF97" i="5"/>
  <c r="AD97" i="5"/>
  <c r="AC97" i="5"/>
  <c r="AB97" i="5"/>
  <c r="AA97" i="5"/>
  <c r="Z97" i="5"/>
  <c r="Y97" i="5"/>
  <c r="AH96" i="5"/>
  <c r="AG96" i="5"/>
  <c r="AF96" i="5"/>
  <c r="AD96" i="5"/>
  <c r="AC96" i="5"/>
  <c r="AB96" i="5"/>
  <c r="AA96" i="5"/>
  <c r="Z96" i="5"/>
  <c r="Y96" i="5"/>
  <c r="AH95" i="5"/>
  <c r="AG95" i="5"/>
  <c r="AF95" i="5"/>
  <c r="AD95" i="5"/>
  <c r="AC95" i="5"/>
  <c r="AB95" i="5"/>
  <c r="AA95" i="5"/>
  <c r="Z95" i="5"/>
  <c r="Y95" i="5"/>
  <c r="AH94" i="5"/>
  <c r="AG94" i="5"/>
  <c r="AF94" i="5"/>
  <c r="AD94" i="5"/>
  <c r="AC94" i="5"/>
  <c r="AB94" i="5"/>
  <c r="AA94" i="5"/>
  <c r="Z94" i="5"/>
  <c r="Y94" i="5"/>
  <c r="AH93" i="5"/>
  <c r="AG93" i="5"/>
  <c r="AF93" i="5"/>
  <c r="AD93" i="5"/>
  <c r="AC93" i="5"/>
  <c r="AB93" i="5"/>
  <c r="AA93" i="5"/>
  <c r="Z93" i="5"/>
  <c r="Y93" i="5"/>
  <c r="AH92" i="5"/>
  <c r="AG92" i="5"/>
  <c r="AF92" i="5"/>
  <c r="AD92" i="5"/>
  <c r="AC92" i="5"/>
  <c r="AB92" i="5"/>
  <c r="AA92" i="5"/>
  <c r="Z92" i="5"/>
  <c r="Y92" i="5"/>
  <c r="AH91" i="5"/>
  <c r="AG91" i="5"/>
  <c r="AF91" i="5"/>
  <c r="AD91" i="5"/>
  <c r="AC91" i="5"/>
  <c r="AB91" i="5"/>
  <c r="AA91" i="5"/>
  <c r="Z91" i="5"/>
  <c r="Y91" i="5"/>
  <c r="AH90" i="5"/>
  <c r="AG90" i="5"/>
  <c r="AF90" i="5"/>
  <c r="AD90" i="5"/>
  <c r="AC90" i="5"/>
  <c r="AB90" i="5"/>
  <c r="AA90" i="5"/>
  <c r="Z90" i="5"/>
  <c r="Y90" i="5"/>
  <c r="AH89" i="5"/>
  <c r="AG89" i="5"/>
  <c r="AF89" i="5"/>
  <c r="AD89" i="5"/>
  <c r="AC89" i="5"/>
  <c r="AB89" i="5"/>
  <c r="AA89" i="5"/>
  <c r="Z89" i="5"/>
  <c r="Y89" i="5"/>
  <c r="AH88" i="5"/>
  <c r="AG88" i="5"/>
  <c r="AF88" i="5"/>
  <c r="AD88" i="5"/>
  <c r="AC88" i="5"/>
  <c r="AB88" i="5"/>
  <c r="AA88" i="5"/>
  <c r="Z88" i="5"/>
  <c r="Y88" i="5"/>
  <c r="AH87" i="5"/>
  <c r="AG87" i="5"/>
  <c r="AF87" i="5"/>
  <c r="AD87" i="5"/>
  <c r="AC87" i="5"/>
  <c r="AB87" i="5"/>
  <c r="AA87" i="5"/>
  <c r="Z87" i="5"/>
  <c r="Y87" i="5"/>
  <c r="AH86" i="5"/>
  <c r="AG86" i="5"/>
  <c r="AF86" i="5"/>
  <c r="AD86" i="5"/>
  <c r="AC86" i="5"/>
  <c r="AB86" i="5"/>
  <c r="AA86" i="5"/>
  <c r="Z86" i="5"/>
  <c r="Y86" i="5"/>
  <c r="AH85" i="5"/>
  <c r="AG85" i="5"/>
  <c r="AF85" i="5"/>
  <c r="AD85" i="5"/>
  <c r="AC85" i="5"/>
  <c r="AB85" i="5"/>
  <c r="AA85" i="5"/>
  <c r="Z85" i="5"/>
  <c r="Y85" i="5"/>
  <c r="AH79" i="5"/>
  <c r="AG79" i="5"/>
  <c r="AF79" i="5"/>
  <c r="AD79" i="5"/>
  <c r="AC79" i="5"/>
  <c r="AB79" i="5"/>
  <c r="AA79" i="5"/>
  <c r="Z79" i="5"/>
  <c r="Y79" i="5"/>
  <c r="AH78" i="5"/>
  <c r="AG78" i="5"/>
  <c r="AF78" i="5"/>
  <c r="AD78" i="5"/>
  <c r="AC78" i="5"/>
  <c r="AB78" i="5"/>
  <c r="AA78" i="5"/>
  <c r="Z78" i="5"/>
  <c r="Y78" i="5"/>
  <c r="AH77" i="5"/>
  <c r="AG77" i="5"/>
  <c r="AF77" i="5"/>
  <c r="AD77" i="5"/>
  <c r="AC77" i="5"/>
  <c r="AB77" i="5"/>
  <c r="AA77" i="5"/>
  <c r="Z77" i="5"/>
  <c r="Y77" i="5"/>
  <c r="AH76" i="5"/>
  <c r="AG76" i="5"/>
  <c r="AF76" i="5"/>
  <c r="AD76" i="5"/>
  <c r="AC76" i="5"/>
  <c r="AB76" i="5"/>
  <c r="AA76" i="5"/>
  <c r="Z76" i="5"/>
  <c r="Y76" i="5"/>
  <c r="AH75" i="5"/>
  <c r="AG75" i="5"/>
  <c r="AF75" i="5"/>
  <c r="AD75" i="5"/>
  <c r="AC75" i="5"/>
  <c r="AB75" i="5"/>
  <c r="AA75" i="5"/>
  <c r="Z75" i="5"/>
  <c r="Y75" i="5"/>
  <c r="AH74" i="5"/>
  <c r="AG74" i="5"/>
  <c r="AF74" i="5"/>
  <c r="AD74" i="5"/>
  <c r="AC74" i="5"/>
  <c r="AB74" i="5"/>
  <c r="AA74" i="5"/>
  <c r="Z74" i="5"/>
  <c r="Y74" i="5"/>
  <c r="AH73" i="5"/>
  <c r="AG73" i="5"/>
  <c r="AF73" i="5"/>
  <c r="AD73" i="5"/>
  <c r="AC73" i="5"/>
  <c r="AB73" i="5"/>
  <c r="AA73" i="5"/>
  <c r="Z73" i="5"/>
  <c r="Y73" i="5"/>
  <c r="AH72" i="5"/>
  <c r="AG72" i="5"/>
  <c r="AF72" i="5"/>
  <c r="AD72" i="5"/>
  <c r="AC72" i="5"/>
  <c r="AB72" i="5"/>
  <c r="AA72" i="5"/>
  <c r="Z72" i="5"/>
  <c r="Y72" i="5"/>
  <c r="AH71" i="5"/>
  <c r="AG71" i="5"/>
  <c r="AF71" i="5"/>
  <c r="AD71" i="5"/>
  <c r="AC71" i="5"/>
  <c r="AB71" i="5"/>
  <c r="AA71" i="5"/>
  <c r="Z71" i="5"/>
  <c r="Y71" i="5"/>
  <c r="AH70" i="5"/>
  <c r="AG70" i="5"/>
  <c r="AF70" i="5"/>
  <c r="AD70" i="5"/>
  <c r="AC70" i="5"/>
  <c r="AB70" i="5"/>
  <c r="AA70" i="5"/>
  <c r="Z70" i="5"/>
  <c r="Y70" i="5"/>
  <c r="AH69" i="5"/>
  <c r="AG69" i="5"/>
  <c r="AF69" i="5"/>
  <c r="AD69" i="5"/>
  <c r="AC69" i="5"/>
  <c r="AB69" i="5"/>
  <c r="AA69" i="5"/>
  <c r="Z69" i="5"/>
  <c r="Y69" i="5"/>
  <c r="AH68" i="5"/>
  <c r="AG68" i="5"/>
  <c r="AF68" i="5"/>
  <c r="AD68" i="5"/>
  <c r="AC68" i="5"/>
  <c r="AB68" i="5"/>
  <c r="AA68" i="5"/>
  <c r="Z68" i="5"/>
  <c r="Y68" i="5"/>
  <c r="AH67" i="5"/>
  <c r="AG67" i="5"/>
  <c r="AF67" i="5"/>
  <c r="AD67" i="5"/>
  <c r="AC67" i="5"/>
  <c r="AB67" i="5"/>
  <c r="AA67" i="5"/>
  <c r="Z67" i="5"/>
  <c r="Y67" i="5"/>
  <c r="AH66" i="5"/>
  <c r="AG66" i="5"/>
  <c r="AF66" i="5"/>
  <c r="AD66" i="5"/>
  <c r="AC66" i="5"/>
  <c r="AB66" i="5"/>
  <c r="AA66" i="5"/>
  <c r="Z66" i="5"/>
  <c r="Y66" i="5"/>
  <c r="AH65" i="5"/>
  <c r="AG65" i="5"/>
  <c r="AF65" i="5"/>
  <c r="AD65" i="5"/>
  <c r="AC65" i="5"/>
  <c r="AB65" i="5"/>
  <c r="AA65" i="5"/>
  <c r="Z65" i="5"/>
  <c r="Y65" i="5"/>
  <c r="AH64" i="5"/>
  <c r="AG64" i="5"/>
  <c r="AF64" i="5"/>
  <c r="AD64" i="5"/>
  <c r="AC64" i="5"/>
  <c r="AB64" i="5"/>
  <c r="AA64" i="5"/>
  <c r="Z64" i="5"/>
  <c r="Y64" i="5"/>
  <c r="AH63" i="5"/>
  <c r="AG63" i="5"/>
  <c r="AF63" i="5"/>
  <c r="AD63" i="5"/>
  <c r="AC63" i="5"/>
  <c r="AB63" i="5"/>
  <c r="AA63" i="5"/>
  <c r="Z63" i="5"/>
  <c r="Y63" i="5"/>
  <c r="AH62" i="5"/>
  <c r="AG62" i="5"/>
  <c r="AF62" i="5"/>
  <c r="AD62" i="5"/>
  <c r="AC62" i="5"/>
  <c r="AB62" i="5"/>
  <c r="AA62" i="5"/>
  <c r="Z62" i="5"/>
  <c r="Y62" i="5"/>
  <c r="AH61" i="5"/>
  <c r="AG61" i="5"/>
  <c r="AF61" i="5"/>
  <c r="AD61" i="5"/>
  <c r="AC61" i="5"/>
  <c r="AB61" i="5"/>
  <c r="AA61" i="5"/>
  <c r="Z61" i="5"/>
  <c r="Y61" i="5"/>
  <c r="AH60" i="5"/>
  <c r="AG60" i="5"/>
  <c r="AF60" i="5"/>
  <c r="AD60" i="5"/>
  <c r="AC60" i="5"/>
  <c r="AB60" i="5"/>
  <c r="AA60" i="5"/>
  <c r="Z60" i="5"/>
  <c r="Y60" i="5"/>
  <c r="AH59" i="5"/>
  <c r="AG59" i="5"/>
  <c r="AF59" i="5"/>
  <c r="AD59" i="5"/>
  <c r="AC59" i="5"/>
  <c r="AB59" i="5"/>
  <c r="AA59" i="5"/>
  <c r="Z59" i="5"/>
  <c r="Y59" i="5"/>
  <c r="AH58" i="5"/>
  <c r="AG58" i="5"/>
  <c r="AF58" i="5"/>
  <c r="AD58" i="5"/>
  <c r="AC58" i="5"/>
  <c r="AB58" i="5"/>
  <c r="AA58" i="5"/>
  <c r="Z58" i="5"/>
  <c r="Y58" i="5"/>
  <c r="AH57" i="5"/>
  <c r="AG57" i="5"/>
  <c r="AF57" i="5"/>
  <c r="AD57" i="5"/>
  <c r="AC57" i="5"/>
  <c r="AB57" i="5"/>
  <c r="AA57" i="5"/>
  <c r="Z57" i="5"/>
  <c r="Y57" i="5"/>
  <c r="AH56" i="5"/>
  <c r="AG56" i="5"/>
  <c r="AF56" i="5"/>
  <c r="AD56" i="5"/>
  <c r="AC56" i="5"/>
  <c r="AB56" i="5"/>
  <c r="AA56" i="5"/>
  <c r="Z56" i="5"/>
  <c r="Y56" i="5"/>
  <c r="AH55" i="5"/>
  <c r="AG55" i="5"/>
  <c r="AF55" i="5"/>
  <c r="AD55" i="5"/>
  <c r="AC55" i="5"/>
  <c r="AB55" i="5"/>
  <c r="AA55" i="5"/>
  <c r="Z55" i="5"/>
  <c r="Y55" i="5"/>
  <c r="AH54" i="5"/>
  <c r="AG54" i="5"/>
  <c r="AF54" i="5"/>
  <c r="AD54" i="5"/>
  <c r="AC54" i="5"/>
  <c r="AB54" i="5"/>
  <c r="AA54" i="5"/>
  <c r="Z54" i="5"/>
  <c r="Y54" i="5"/>
  <c r="AH53" i="5"/>
  <c r="AG53" i="5"/>
  <c r="AF53" i="5"/>
  <c r="AD53" i="5"/>
  <c r="AC53" i="5"/>
  <c r="AB53" i="5"/>
  <c r="AA53" i="5"/>
  <c r="Z53" i="5"/>
  <c r="Y53" i="5"/>
  <c r="AH52" i="5"/>
  <c r="AG52" i="5"/>
  <c r="AF52" i="5"/>
  <c r="AD52" i="5"/>
  <c r="AC52" i="5"/>
  <c r="AB52" i="5"/>
  <c r="AA52" i="5"/>
  <c r="Z52" i="5"/>
  <c r="Y52" i="5"/>
  <c r="AH51" i="5"/>
  <c r="AG51" i="5"/>
  <c r="AF51" i="5"/>
  <c r="AD51" i="5"/>
  <c r="AC51" i="5"/>
  <c r="AB51" i="5"/>
  <c r="AA51" i="5"/>
  <c r="Z51" i="5"/>
  <c r="Y51" i="5"/>
  <c r="AH50" i="5"/>
  <c r="AG50" i="5"/>
  <c r="AF50" i="5"/>
  <c r="AD50" i="5"/>
  <c r="AC50" i="5"/>
  <c r="AB50" i="5"/>
  <c r="AA50" i="5"/>
  <c r="Z50" i="5"/>
  <c r="Y50" i="5"/>
  <c r="AH49" i="5"/>
  <c r="AG49" i="5"/>
  <c r="AF49" i="5"/>
  <c r="AD49" i="5"/>
  <c r="AC49" i="5"/>
  <c r="AB49" i="5"/>
  <c r="AA49" i="5"/>
  <c r="Z49" i="5"/>
  <c r="Y49" i="5"/>
  <c r="AH48" i="5"/>
  <c r="AG48" i="5"/>
  <c r="AF48" i="5"/>
  <c r="AD48" i="5"/>
  <c r="AC48" i="5"/>
  <c r="AB48" i="5"/>
  <c r="AA48" i="5"/>
  <c r="Z48" i="5"/>
  <c r="Y48" i="5"/>
  <c r="AH47" i="5"/>
  <c r="AG47" i="5"/>
  <c r="AF47" i="5"/>
  <c r="AD47" i="5"/>
  <c r="AC47" i="5"/>
  <c r="AB47" i="5"/>
  <c r="AA47" i="5"/>
  <c r="Z47" i="5"/>
  <c r="Y47" i="5"/>
  <c r="AH46" i="5"/>
  <c r="AG46" i="5"/>
  <c r="AF46" i="5"/>
  <c r="AD46" i="5"/>
  <c r="AC46" i="5"/>
  <c r="AB46" i="5"/>
  <c r="AA46" i="5"/>
  <c r="Z46" i="5"/>
  <c r="Y46" i="5"/>
  <c r="AH45" i="5"/>
  <c r="AG45" i="5"/>
  <c r="AF45" i="5"/>
  <c r="AD45" i="5"/>
  <c r="AC45" i="5"/>
  <c r="AB45" i="5"/>
  <c r="AA45" i="5"/>
  <c r="Z45" i="5"/>
  <c r="Y45" i="5"/>
  <c r="F79" i="5"/>
  <c r="D79" i="5"/>
  <c r="F78" i="5"/>
  <c r="D78" i="5"/>
  <c r="F77" i="5"/>
  <c r="D77" i="5"/>
  <c r="F76" i="5"/>
  <c r="D76" i="5"/>
  <c r="F75" i="5"/>
  <c r="D75" i="5"/>
  <c r="F74" i="5"/>
  <c r="D74" i="5"/>
  <c r="F73" i="5"/>
  <c r="D73" i="5"/>
  <c r="F72" i="5"/>
  <c r="D72" i="5"/>
  <c r="F71" i="5"/>
  <c r="D71" i="5"/>
  <c r="F70" i="5"/>
  <c r="D70" i="5"/>
  <c r="F69" i="5"/>
  <c r="D69" i="5"/>
  <c r="F68" i="5"/>
  <c r="D68" i="5"/>
  <c r="F67" i="5"/>
  <c r="D67" i="5"/>
  <c r="F66" i="5"/>
  <c r="D66" i="5"/>
  <c r="F65" i="5"/>
  <c r="D65" i="5"/>
  <c r="F64" i="5"/>
  <c r="D64" i="5"/>
  <c r="F63" i="5"/>
  <c r="D63" i="5"/>
  <c r="F62" i="5"/>
  <c r="D62" i="5"/>
  <c r="F61" i="5"/>
  <c r="D61" i="5"/>
  <c r="F60" i="5"/>
  <c r="D60" i="5"/>
  <c r="F59" i="5"/>
  <c r="D59" i="5"/>
  <c r="F58" i="5"/>
  <c r="D58" i="5"/>
  <c r="F57" i="5"/>
  <c r="D57" i="5"/>
  <c r="F56" i="5"/>
  <c r="D56" i="5"/>
  <c r="F55" i="5"/>
  <c r="D55" i="5"/>
  <c r="F54" i="5"/>
  <c r="D54" i="5"/>
  <c r="F53" i="5"/>
  <c r="D53" i="5"/>
  <c r="F52" i="5"/>
  <c r="D52" i="5"/>
  <c r="F51" i="5"/>
  <c r="D51" i="5"/>
  <c r="F50" i="5"/>
  <c r="D50" i="5"/>
  <c r="F49" i="5"/>
  <c r="D49" i="5"/>
  <c r="F48" i="5"/>
  <c r="D48" i="5"/>
  <c r="F47" i="5"/>
  <c r="D47" i="5"/>
  <c r="F46" i="5"/>
  <c r="D46" i="5"/>
  <c r="F45" i="5"/>
  <c r="D45" i="5"/>
  <c r="F119" i="5"/>
  <c r="D119" i="5"/>
  <c r="F118" i="5"/>
  <c r="D118" i="5"/>
  <c r="F117" i="5"/>
  <c r="D117" i="5"/>
  <c r="F116" i="5"/>
  <c r="D116" i="5"/>
  <c r="F115" i="5"/>
  <c r="D115" i="5"/>
  <c r="F114" i="5"/>
  <c r="D114" i="5"/>
  <c r="F113" i="5"/>
  <c r="D113" i="5"/>
  <c r="F112" i="5"/>
  <c r="D112" i="5"/>
  <c r="F111" i="5"/>
  <c r="D111" i="5"/>
  <c r="F110" i="5"/>
  <c r="D110" i="5"/>
  <c r="F109" i="5"/>
  <c r="D109" i="5"/>
  <c r="F108" i="5"/>
  <c r="D108" i="5"/>
  <c r="F107" i="5"/>
  <c r="D107" i="5"/>
  <c r="F106" i="5"/>
  <c r="D106" i="5"/>
  <c r="F105" i="5"/>
  <c r="D105" i="5"/>
  <c r="F104" i="5"/>
  <c r="D104" i="5"/>
  <c r="F103" i="5"/>
  <c r="D103" i="5"/>
  <c r="F102" i="5"/>
  <c r="D102" i="5"/>
  <c r="F101" i="5"/>
  <c r="D101" i="5"/>
  <c r="F100" i="5"/>
  <c r="D100" i="5"/>
  <c r="F99" i="5"/>
  <c r="D99" i="5"/>
  <c r="F98" i="5"/>
  <c r="D98" i="5"/>
  <c r="F97" i="5"/>
  <c r="D97" i="5"/>
  <c r="F96" i="5"/>
  <c r="D96" i="5"/>
  <c r="F95" i="5"/>
  <c r="D95" i="5"/>
  <c r="F94" i="5"/>
  <c r="D94" i="5"/>
  <c r="F93" i="5"/>
  <c r="D93" i="5"/>
  <c r="F92" i="5"/>
  <c r="D92" i="5"/>
  <c r="F91" i="5"/>
  <c r="D91" i="5"/>
  <c r="F90" i="5"/>
  <c r="D90" i="5"/>
  <c r="F89" i="5"/>
  <c r="D89" i="5"/>
  <c r="F88" i="5"/>
  <c r="D88" i="5"/>
  <c r="F87" i="5"/>
  <c r="D87" i="5"/>
  <c r="F86" i="5"/>
  <c r="D86" i="5"/>
  <c r="F85" i="5"/>
  <c r="D85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F39" i="5"/>
  <c r="Z39" i="5" s="1"/>
  <c r="F38" i="5"/>
  <c r="Z38" i="5" s="1"/>
  <c r="F37" i="5"/>
  <c r="Z37" i="5" s="1"/>
  <c r="F36" i="5"/>
  <c r="F35" i="5"/>
  <c r="Z35" i="5" s="1"/>
  <c r="F34" i="5"/>
  <c r="F33" i="5"/>
  <c r="F32" i="5"/>
  <c r="F31" i="5"/>
  <c r="F30" i="5"/>
  <c r="F29" i="5"/>
  <c r="Z29" i="5" s="1"/>
  <c r="F28" i="5"/>
  <c r="F27" i="5"/>
  <c r="F26" i="5"/>
  <c r="F25" i="5"/>
  <c r="Z25" i="5" s="1"/>
  <c r="F24" i="5"/>
  <c r="F23" i="5"/>
  <c r="Z23" i="5" s="1"/>
  <c r="F22" i="5"/>
  <c r="Z22" i="5" s="1"/>
  <c r="F21" i="5"/>
  <c r="Z21" i="5" s="1"/>
  <c r="F20" i="5"/>
  <c r="F19" i="5"/>
  <c r="F18" i="5"/>
  <c r="F17" i="5"/>
  <c r="Z17" i="5" s="1"/>
  <c r="F16" i="5"/>
  <c r="Z16" i="5" s="1"/>
  <c r="F15" i="5"/>
  <c r="Z15" i="5" s="1"/>
  <c r="F14" i="5"/>
  <c r="F13" i="5"/>
  <c r="Z13" i="5" s="1"/>
  <c r="F12" i="5"/>
  <c r="F11" i="5"/>
  <c r="Z11" i="5" s="1"/>
  <c r="F10" i="5"/>
  <c r="F9" i="5"/>
  <c r="Z9" i="5" s="1"/>
  <c r="F8" i="5"/>
  <c r="F7" i="5"/>
  <c r="Z7" i="5" s="1"/>
  <c r="F6" i="5"/>
  <c r="F5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Z36" i="5"/>
  <c r="Z34" i="5"/>
  <c r="Z28" i="5"/>
  <c r="Z24" i="5"/>
  <c r="Z19" i="5"/>
  <c r="Z5" i="5"/>
  <c r="Z39" i="4"/>
  <c r="Y39" i="4"/>
  <c r="Z38" i="4"/>
  <c r="Y38" i="4"/>
  <c r="Z37" i="4"/>
  <c r="Y37" i="4"/>
  <c r="Z36" i="4"/>
  <c r="Y36" i="4"/>
  <c r="Z35" i="4"/>
  <c r="Y35" i="4"/>
  <c r="Z34" i="4"/>
  <c r="Y34" i="4"/>
  <c r="Z33" i="4"/>
  <c r="Y33" i="4"/>
  <c r="Z32" i="4"/>
  <c r="Y32" i="4"/>
  <c r="Z31" i="4"/>
  <c r="Y31" i="4"/>
  <c r="Z30" i="4"/>
  <c r="Y30" i="4"/>
  <c r="Z29" i="4"/>
  <c r="Y29" i="4"/>
  <c r="Z28" i="4"/>
  <c r="Y28" i="4"/>
  <c r="Z27" i="4"/>
  <c r="Y27" i="4"/>
  <c r="Z26" i="4"/>
  <c r="Y26" i="4"/>
  <c r="Z25" i="4"/>
  <c r="Y25" i="4"/>
  <c r="Z24" i="4"/>
  <c r="Y24" i="4"/>
  <c r="Z23" i="4"/>
  <c r="Y23" i="4"/>
  <c r="Z22" i="4"/>
  <c r="Y22" i="4"/>
  <c r="Z21" i="4"/>
  <c r="Y21" i="4"/>
  <c r="Z20" i="4"/>
  <c r="Y20" i="4"/>
  <c r="Z19" i="4"/>
  <c r="Y19" i="4"/>
  <c r="Z18" i="4"/>
  <c r="Y18" i="4"/>
  <c r="Z17" i="4"/>
  <c r="Y17" i="4"/>
  <c r="Z16" i="4"/>
  <c r="Y16" i="4"/>
  <c r="Z15" i="4"/>
  <c r="Y15" i="4"/>
  <c r="Z14" i="4"/>
  <c r="Y14" i="4"/>
  <c r="Z13" i="4"/>
  <c r="Y13" i="4"/>
  <c r="Z12" i="4"/>
  <c r="Y12" i="4"/>
  <c r="Z11" i="4"/>
  <c r="Y11" i="4"/>
  <c r="Z10" i="4"/>
  <c r="Y10" i="4"/>
  <c r="Z9" i="4"/>
  <c r="Y9" i="4"/>
  <c r="Z8" i="4"/>
  <c r="Y8" i="4"/>
  <c r="Z7" i="4"/>
  <c r="Y7" i="4"/>
  <c r="Z6" i="4"/>
  <c r="Y6" i="4"/>
  <c r="Z5" i="4"/>
  <c r="Y5" i="4"/>
  <c r="B9" i="3"/>
  <c r="E39" i="4"/>
  <c r="E38" i="4"/>
  <c r="E37" i="4"/>
  <c r="E36" i="4"/>
  <c r="E35" i="4"/>
  <c r="E34" i="4"/>
  <c r="E33" i="4"/>
  <c r="E32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9" i="4"/>
  <c r="E26" i="4" s="1"/>
  <c r="E5" i="4"/>
  <c r="Z10" i="6" l="1"/>
  <c r="Z22" i="6"/>
  <c r="Z31" i="6"/>
  <c r="Z23" i="6"/>
  <c r="Z13" i="6"/>
  <c r="Z35" i="6"/>
  <c r="Z7" i="6"/>
  <c r="Z16" i="6"/>
  <c r="Z27" i="6"/>
  <c r="Z40" i="6"/>
  <c r="Z9" i="6"/>
  <c r="Z17" i="6"/>
  <c r="Z29" i="6"/>
  <c r="Z11" i="6"/>
  <c r="Z21" i="6"/>
  <c r="Z33" i="6"/>
  <c r="Z8" i="6"/>
  <c r="Z14" i="6"/>
  <c r="Z20" i="6"/>
  <c r="G28" i="6"/>
  <c r="K28" i="6" s="1"/>
  <c r="G37" i="6"/>
  <c r="K37" i="6" s="1"/>
  <c r="Z6" i="6"/>
  <c r="Z12" i="6"/>
  <c r="Z18" i="6"/>
  <c r="Z34" i="6"/>
  <c r="N90" i="7"/>
  <c r="Z24" i="6"/>
  <c r="Z30" i="6"/>
  <c r="Z36" i="6"/>
  <c r="Z26" i="6"/>
  <c r="Z32" i="6"/>
  <c r="E28" i="4"/>
  <c r="E27" i="4"/>
  <c r="H27" i="4" s="1"/>
  <c r="AB27" i="4" s="1"/>
  <c r="E29" i="4"/>
  <c r="E30" i="4"/>
  <c r="E31" i="4"/>
  <c r="G116" i="5"/>
  <c r="K116" i="5" s="1"/>
  <c r="O116" i="5" s="1"/>
  <c r="I21" i="6"/>
  <c r="AB21" i="6" s="1"/>
  <c r="F76" i="7"/>
  <c r="G76" i="7" s="1"/>
  <c r="I54" i="5"/>
  <c r="G55" i="5"/>
  <c r="F116" i="7"/>
  <c r="G116" i="7" s="1"/>
  <c r="I116" i="7" s="1"/>
  <c r="AC116" i="7" s="1"/>
  <c r="G48" i="5"/>
  <c r="I89" i="5"/>
  <c r="H5" i="4"/>
  <c r="AB5" i="4" s="1"/>
  <c r="G63" i="5"/>
  <c r="H76" i="7"/>
  <c r="AB76" i="7" s="1"/>
  <c r="H116" i="7"/>
  <c r="AB116" i="7" s="1"/>
  <c r="Y6" i="6"/>
  <c r="Y12" i="6"/>
  <c r="Y18" i="6"/>
  <c r="Y30" i="6"/>
  <c r="Z19" i="6"/>
  <c r="Z25" i="6"/>
  <c r="Y24" i="6"/>
  <c r="Y36" i="6"/>
  <c r="AD93" i="7"/>
  <c r="N105" i="7"/>
  <c r="AH105" i="7" s="1"/>
  <c r="N109" i="7"/>
  <c r="AH109" i="7" s="1"/>
  <c r="L109" i="7"/>
  <c r="AD99" i="7"/>
  <c r="AD105" i="7"/>
  <c r="AD113" i="7"/>
  <c r="N101" i="7"/>
  <c r="AH101" i="7" s="1"/>
  <c r="N111" i="7"/>
  <c r="AH111" i="7" s="1"/>
  <c r="N85" i="7"/>
  <c r="H32" i="4"/>
  <c r="AB32" i="4" s="1"/>
  <c r="H36" i="4"/>
  <c r="AB36" i="4" s="1"/>
  <c r="H8" i="4"/>
  <c r="AB8" i="4" s="1"/>
  <c r="H17" i="4"/>
  <c r="AB17" i="4" s="1"/>
  <c r="H20" i="4"/>
  <c r="AB20" i="4" s="1"/>
  <c r="G91" i="5"/>
  <c r="I91" i="5"/>
  <c r="I106" i="5"/>
  <c r="I66" i="5"/>
  <c r="G106" i="5"/>
  <c r="F26" i="4"/>
  <c r="H11" i="4"/>
  <c r="AB11" i="4" s="1"/>
  <c r="I75" i="5"/>
  <c r="I118" i="5"/>
  <c r="G78" i="5"/>
  <c r="G118" i="5"/>
  <c r="H38" i="4"/>
  <c r="AB38" i="4" s="1"/>
  <c r="I85" i="5"/>
  <c r="G85" i="5"/>
  <c r="I49" i="5"/>
  <c r="G113" i="5"/>
  <c r="G97" i="5"/>
  <c r="I76" i="5"/>
  <c r="I116" i="5"/>
  <c r="G76" i="5"/>
  <c r="I55" i="5"/>
  <c r="I107" i="5"/>
  <c r="I67" i="5"/>
  <c r="F5" i="4"/>
  <c r="I57" i="5"/>
  <c r="I97" i="5"/>
  <c r="G57" i="5"/>
  <c r="F36" i="4"/>
  <c r="G109" i="5"/>
  <c r="I100" i="5"/>
  <c r="G112" i="5"/>
  <c r="I72" i="5"/>
  <c r="I112" i="5"/>
  <c r="G72" i="5"/>
  <c r="H8" i="7"/>
  <c r="AB8" i="7" s="1"/>
  <c r="I20" i="5"/>
  <c r="AB20" i="5" s="1"/>
  <c r="I26" i="5"/>
  <c r="AB26" i="5" s="1"/>
  <c r="H36" i="7"/>
  <c r="AB36" i="7" s="1"/>
  <c r="H26" i="7"/>
  <c r="AB26" i="7" s="1"/>
  <c r="Z16" i="7"/>
  <c r="Z8" i="7"/>
  <c r="Z18" i="7"/>
  <c r="Z29" i="7"/>
  <c r="Z34" i="7"/>
  <c r="Z11" i="7"/>
  <c r="Z31" i="7"/>
  <c r="Z36" i="7"/>
  <c r="Z7" i="7"/>
  <c r="Z35" i="7"/>
  <c r="H38" i="7"/>
  <c r="AB38" i="7" s="1"/>
  <c r="H32" i="7"/>
  <c r="AB32" i="7" s="1"/>
  <c r="F5" i="7"/>
  <c r="W5" i="7" s="1"/>
  <c r="F8" i="7"/>
  <c r="W8" i="7" s="1"/>
  <c r="H17" i="7"/>
  <c r="AB17" i="7" s="1"/>
  <c r="F17" i="7"/>
  <c r="W17" i="7" s="1"/>
  <c r="H27" i="7"/>
  <c r="AB27" i="7" s="1"/>
  <c r="F27" i="7"/>
  <c r="W27" i="7" s="1"/>
  <c r="F20" i="7"/>
  <c r="W20" i="7" s="1"/>
  <c r="F26" i="7"/>
  <c r="W26" i="7" s="1"/>
  <c r="F32" i="7"/>
  <c r="W32" i="7" s="1"/>
  <c r="F36" i="7"/>
  <c r="W36" i="7" s="1"/>
  <c r="F35" i="7"/>
  <c r="W35" i="7" s="1"/>
  <c r="Z14" i="5"/>
  <c r="Z8" i="5"/>
  <c r="Z30" i="5"/>
  <c r="Z31" i="5"/>
  <c r="Z10" i="5"/>
  <c r="G32" i="5"/>
  <c r="W32" i="5" s="1"/>
  <c r="Z27" i="5"/>
  <c r="Z33" i="5"/>
  <c r="Z20" i="5"/>
  <c r="Z26" i="5"/>
  <c r="Z6" i="5"/>
  <c r="Z12" i="5"/>
  <c r="Z18" i="5"/>
  <c r="I8" i="5"/>
  <c r="AB8" i="5" s="1"/>
  <c r="G5" i="5"/>
  <c r="W5" i="5" s="1"/>
  <c r="I11" i="5"/>
  <c r="AB11" i="5" s="1"/>
  <c r="I9" i="5"/>
  <c r="AB9" i="5" s="1"/>
  <c r="G9" i="5"/>
  <c r="W9" i="5" s="1"/>
  <c r="G29" i="5"/>
  <c r="W29" i="5" s="1"/>
  <c r="I17" i="5"/>
  <c r="AB17" i="5" s="1"/>
  <c r="I38" i="5"/>
  <c r="AB38" i="5" s="1"/>
  <c r="G21" i="5"/>
  <c r="W21" i="5" s="1"/>
  <c r="G27" i="5"/>
  <c r="W27" i="5" s="1"/>
  <c r="I36" i="5"/>
  <c r="AB36" i="5" s="1"/>
  <c r="G36" i="5"/>
  <c r="W36" i="5" s="1"/>
  <c r="G17" i="5"/>
  <c r="W17" i="5" s="1"/>
  <c r="G20" i="5"/>
  <c r="W20" i="5" s="1"/>
  <c r="I21" i="5"/>
  <c r="AB21" i="5" s="1"/>
  <c r="G26" i="5"/>
  <c r="W26" i="5" s="1"/>
  <c r="I27" i="5"/>
  <c r="AB27" i="5" s="1"/>
  <c r="L90" i="7"/>
  <c r="I13" i="6" l="1"/>
  <c r="AB13" i="6" s="1"/>
  <c r="I37" i="6"/>
  <c r="AB37" i="6" s="1"/>
  <c r="I22" i="6"/>
  <c r="AB22" i="6" s="1"/>
  <c r="I6" i="6"/>
  <c r="AB6" i="6" s="1"/>
  <c r="G31" i="6"/>
  <c r="Z37" i="6"/>
  <c r="Z28" i="6"/>
  <c r="G21" i="6"/>
  <c r="I18" i="6"/>
  <c r="AB18" i="6" s="1"/>
  <c r="G12" i="6"/>
  <c r="I28" i="6"/>
  <c r="AB28" i="6" s="1"/>
  <c r="G20" i="6"/>
  <c r="I34" i="6"/>
  <c r="AB34" i="6" s="1"/>
  <c r="N62" i="7"/>
  <c r="N106" i="7"/>
  <c r="AH106" i="7" s="1"/>
  <c r="N98" i="7"/>
  <c r="AH98" i="7" s="1"/>
  <c r="L91" i="7"/>
  <c r="M91" i="7" s="1"/>
  <c r="AG91" i="7" s="1"/>
  <c r="N67" i="7"/>
  <c r="N74" i="7"/>
  <c r="N58" i="7"/>
  <c r="N79" i="7"/>
  <c r="N75" i="7"/>
  <c r="N48" i="7"/>
  <c r="N86" i="7"/>
  <c r="AH86" i="7" s="1"/>
  <c r="N46" i="7"/>
  <c r="N103" i="7"/>
  <c r="AH103" i="7" s="1"/>
  <c r="N100" i="7"/>
  <c r="AH100" i="7" s="1"/>
  <c r="N56" i="7"/>
  <c r="N64" i="7"/>
  <c r="N71" i="7"/>
  <c r="N78" i="7"/>
  <c r="N47" i="7"/>
  <c r="N88" i="7"/>
  <c r="AH88" i="7" s="1"/>
  <c r="N60" i="7"/>
  <c r="L51" i="7"/>
  <c r="N72" i="7"/>
  <c r="N61" i="7"/>
  <c r="N76" i="7"/>
  <c r="N114" i="7"/>
  <c r="AH114" i="7" s="1"/>
  <c r="N108" i="7"/>
  <c r="AH108" i="7" s="1"/>
  <c r="N99" i="7"/>
  <c r="AH99" i="7" s="1"/>
  <c r="N96" i="7"/>
  <c r="AH96" i="7" s="1"/>
  <c r="N95" i="7"/>
  <c r="AH95" i="7" s="1"/>
  <c r="N89" i="7"/>
  <c r="AH89" i="7" s="1"/>
  <c r="N73" i="7"/>
  <c r="N55" i="7"/>
  <c r="N77" i="7"/>
  <c r="N115" i="7"/>
  <c r="AH115" i="7" s="1"/>
  <c r="N112" i="7"/>
  <c r="AH112" i="7" s="1"/>
  <c r="N110" i="7"/>
  <c r="AH110" i="7" s="1"/>
  <c r="N63" i="7"/>
  <c r="N118" i="7"/>
  <c r="AH118" i="7" s="1"/>
  <c r="N52" i="7"/>
  <c r="L87" i="7"/>
  <c r="M87" i="7" s="1"/>
  <c r="AG87" i="7" s="1"/>
  <c r="N69" i="7"/>
  <c r="AD34" i="7"/>
  <c r="N53" i="7"/>
  <c r="L116" i="7"/>
  <c r="M116" i="7" s="1"/>
  <c r="AG116" i="7" s="1"/>
  <c r="N113" i="7"/>
  <c r="AH113" i="7" s="1"/>
  <c r="L107" i="7"/>
  <c r="M107" i="7" s="1"/>
  <c r="AG107" i="7" s="1"/>
  <c r="AD97" i="7"/>
  <c r="L119" i="7"/>
  <c r="M119" i="7" s="1"/>
  <c r="AG119" i="7" s="1"/>
  <c r="N92" i="7"/>
  <c r="AH92" i="7" s="1"/>
  <c r="N68" i="7"/>
  <c r="N65" i="7"/>
  <c r="N50" i="7"/>
  <c r="N70" i="7"/>
  <c r="N66" i="7"/>
  <c r="N59" i="7"/>
  <c r="N54" i="7"/>
  <c r="N49" i="7"/>
  <c r="N117" i="7"/>
  <c r="AH117" i="7" s="1"/>
  <c r="N104" i="7"/>
  <c r="AH104" i="7" s="1"/>
  <c r="N57" i="7"/>
  <c r="N102" i="7"/>
  <c r="AH102" i="7" s="1"/>
  <c r="N93" i="7"/>
  <c r="AH93" i="7" s="1"/>
  <c r="N94" i="7"/>
  <c r="AH94" i="7" s="1"/>
  <c r="L98" i="7"/>
  <c r="M98" i="7" s="1"/>
  <c r="AG98" i="7" s="1"/>
  <c r="L56" i="7"/>
  <c r="M56" i="7" s="1"/>
  <c r="AG56" i="7" s="1"/>
  <c r="G30" i="6"/>
  <c r="M90" i="7"/>
  <c r="AG90" i="7" s="1"/>
  <c r="AF90" i="7"/>
  <c r="AF116" i="7"/>
  <c r="AF56" i="7"/>
  <c r="AA116" i="7"/>
  <c r="I76" i="7"/>
  <c r="AC76" i="7" s="1"/>
  <c r="AA76" i="7"/>
  <c r="I40" i="6"/>
  <c r="AB40" i="6" s="1"/>
  <c r="L53" i="7"/>
  <c r="L118" i="7"/>
  <c r="N97" i="7"/>
  <c r="AH97" i="7" s="1"/>
  <c r="L65" i="7"/>
  <c r="H116" i="5"/>
  <c r="J116" i="5" s="1"/>
  <c r="L57" i="7"/>
  <c r="L117" i="7"/>
  <c r="M117" i="7" s="1"/>
  <c r="AG117" i="7" s="1"/>
  <c r="L102" i="7"/>
  <c r="L75" i="7"/>
  <c r="AD39" i="7"/>
  <c r="L63" i="7"/>
  <c r="L97" i="7"/>
  <c r="M97" i="7" s="1"/>
  <c r="AG97" i="7" s="1"/>
  <c r="L114" i="7"/>
  <c r="L71" i="7"/>
  <c r="L76" i="7"/>
  <c r="L72" i="7"/>
  <c r="L60" i="7"/>
  <c r="M116" i="5"/>
  <c r="N116" i="5" s="1"/>
  <c r="H37" i="6"/>
  <c r="J37" i="6" s="1"/>
  <c r="AC37" i="6" s="1"/>
  <c r="F9" i="7"/>
  <c r="W9" i="7" s="1"/>
  <c r="H9" i="7"/>
  <c r="AB9" i="7" s="1"/>
  <c r="G89" i="5"/>
  <c r="H89" i="5" s="1"/>
  <c r="J89" i="5" s="1"/>
  <c r="I60" i="5"/>
  <c r="H9" i="4"/>
  <c r="AB9" i="4" s="1"/>
  <c r="L49" i="7"/>
  <c r="G10" i="6"/>
  <c r="H33" i="4"/>
  <c r="AB33" i="4" s="1"/>
  <c r="H35" i="7"/>
  <c r="AB35" i="7" s="1"/>
  <c r="G22" i="6"/>
  <c r="F33" i="7"/>
  <c r="W33" i="7" s="1"/>
  <c r="G101" i="5"/>
  <c r="K101" i="5" s="1"/>
  <c r="G75" i="5"/>
  <c r="H75" i="5" s="1"/>
  <c r="J75" i="5" s="1"/>
  <c r="L73" i="7"/>
  <c r="I94" i="5"/>
  <c r="F21" i="7"/>
  <c r="W21" i="7" s="1"/>
  <c r="H21" i="4"/>
  <c r="AB21" i="4" s="1"/>
  <c r="G61" i="5"/>
  <c r="K61" i="5" s="1"/>
  <c r="L101" i="7"/>
  <c r="M101" i="7" s="1"/>
  <c r="AG101" i="7" s="1"/>
  <c r="G34" i="6"/>
  <c r="K34" i="6" s="1"/>
  <c r="O34" i="6" s="1"/>
  <c r="AH34" i="6" s="1"/>
  <c r="H14" i="7"/>
  <c r="AB14" i="7" s="1"/>
  <c r="G73" i="5"/>
  <c r="K73" i="5" s="1"/>
  <c r="I15" i="5"/>
  <c r="AB15" i="5" s="1"/>
  <c r="I35" i="5"/>
  <c r="AB35" i="5" s="1"/>
  <c r="H21" i="7"/>
  <c r="AB21" i="7" s="1"/>
  <c r="I61" i="5"/>
  <c r="L52" i="7"/>
  <c r="I36" i="6"/>
  <c r="AB36" i="6" s="1"/>
  <c r="H55" i="5"/>
  <c r="J55" i="5" s="1"/>
  <c r="K55" i="5"/>
  <c r="O55" i="5" s="1"/>
  <c r="G14" i="5"/>
  <c r="W14" i="5" s="1"/>
  <c r="H23" i="7"/>
  <c r="AB23" i="7" s="1"/>
  <c r="H15" i="7"/>
  <c r="AB15" i="7" s="1"/>
  <c r="H20" i="7"/>
  <c r="AB20" i="7" s="1"/>
  <c r="H5" i="7"/>
  <c r="AB5" i="7" s="1"/>
  <c r="I88" i="5"/>
  <c r="I101" i="5"/>
  <c r="I95" i="5"/>
  <c r="I113" i="5"/>
  <c r="G115" i="5"/>
  <c r="K115" i="5" s="1"/>
  <c r="I51" i="5"/>
  <c r="G107" i="5"/>
  <c r="H107" i="5" s="1"/>
  <c r="J107" i="5" s="1"/>
  <c r="L67" i="7"/>
  <c r="L58" i="7"/>
  <c r="L95" i="7"/>
  <c r="M95" i="7" s="1"/>
  <c r="AG95" i="7" s="1"/>
  <c r="L113" i="7"/>
  <c r="M113" i="7" s="1"/>
  <c r="AG113" i="7" s="1"/>
  <c r="L93" i="7"/>
  <c r="M93" i="7" s="1"/>
  <c r="AG93" i="7" s="1"/>
  <c r="G6" i="6"/>
  <c r="K6" i="6" s="1"/>
  <c r="AD6" i="6" s="1"/>
  <c r="G16" i="6"/>
  <c r="I15" i="6"/>
  <c r="AB15" i="6" s="1"/>
  <c r="I11" i="6"/>
  <c r="AB11" i="6" s="1"/>
  <c r="L100" i="7"/>
  <c r="G15" i="5"/>
  <c r="I5" i="5"/>
  <c r="AB5" i="5" s="1"/>
  <c r="H33" i="7"/>
  <c r="AB33" i="7" s="1"/>
  <c r="G8" i="5"/>
  <c r="W8" i="5" s="1"/>
  <c r="H15" i="4"/>
  <c r="AB15" i="4" s="1"/>
  <c r="G60" i="5"/>
  <c r="H60" i="5" s="1"/>
  <c r="J60" i="5" s="1"/>
  <c r="I73" i="5"/>
  <c r="I45" i="5"/>
  <c r="I115" i="5"/>
  <c r="G51" i="5"/>
  <c r="H51" i="5" s="1"/>
  <c r="J51" i="5" s="1"/>
  <c r="G100" i="5"/>
  <c r="H100" i="5" s="1"/>
  <c r="J100" i="5" s="1"/>
  <c r="G67" i="5"/>
  <c r="L61" i="7"/>
  <c r="L50" i="7"/>
  <c r="G14" i="6"/>
  <c r="G11" i="6"/>
  <c r="K11" i="6" s="1"/>
  <c r="G18" i="6"/>
  <c r="L96" i="7"/>
  <c r="L48" i="7"/>
  <c r="G13" i="6"/>
  <c r="K13" i="6" s="1"/>
  <c r="G9" i="6"/>
  <c r="I17" i="6"/>
  <c r="AB17" i="6" s="1"/>
  <c r="L92" i="7"/>
  <c r="L55" i="7"/>
  <c r="G26" i="6"/>
  <c r="I16" i="6"/>
  <c r="AB16" i="6" s="1"/>
  <c r="F15" i="7"/>
  <c r="W15" i="7" s="1"/>
  <c r="G95" i="5"/>
  <c r="H95" i="5" s="1"/>
  <c r="J95" i="5" s="1"/>
  <c r="L99" i="7"/>
  <c r="M99" i="7" s="1"/>
  <c r="AG99" i="7" s="1"/>
  <c r="G17" i="6"/>
  <c r="AF98" i="7"/>
  <c r="G6" i="5"/>
  <c r="W6" i="5" s="1"/>
  <c r="F86" i="7"/>
  <c r="G86" i="7" s="1"/>
  <c r="AA86" i="7" s="1"/>
  <c r="H46" i="7"/>
  <c r="AB46" i="7" s="1"/>
  <c r="H86" i="7"/>
  <c r="AB86" i="7" s="1"/>
  <c r="F46" i="7"/>
  <c r="G46" i="7" s="1"/>
  <c r="AA46" i="7" s="1"/>
  <c r="I7" i="5"/>
  <c r="AB7" i="5" s="1"/>
  <c r="F87" i="7"/>
  <c r="G87" i="7" s="1"/>
  <c r="AA87" i="7" s="1"/>
  <c r="H47" i="7"/>
  <c r="AB47" i="7" s="1"/>
  <c r="F47" i="7"/>
  <c r="G47" i="7" s="1"/>
  <c r="AA47" i="7" s="1"/>
  <c r="H87" i="7"/>
  <c r="AB87" i="7" s="1"/>
  <c r="G69" i="5"/>
  <c r="H69" i="5" s="1"/>
  <c r="J69" i="5" s="1"/>
  <c r="H34" i="7"/>
  <c r="AB34" i="7" s="1"/>
  <c r="F74" i="7"/>
  <c r="G74" i="7" s="1"/>
  <c r="AA74" i="7" s="1"/>
  <c r="I35" i="6"/>
  <c r="AB35" i="6" s="1"/>
  <c r="H74" i="7"/>
  <c r="AB74" i="7" s="1"/>
  <c r="H114" i="7"/>
  <c r="AB114" i="7" s="1"/>
  <c r="F114" i="7"/>
  <c r="G114" i="7" s="1"/>
  <c r="AA114" i="7" s="1"/>
  <c r="G37" i="5"/>
  <c r="H77" i="7"/>
  <c r="AB77" i="7" s="1"/>
  <c r="I38" i="6"/>
  <c r="AB38" i="6" s="1"/>
  <c r="H117" i="7"/>
  <c r="AB117" i="7" s="1"/>
  <c r="F117" i="7"/>
  <c r="G117" i="7" s="1"/>
  <c r="AA117" i="7" s="1"/>
  <c r="F77" i="7"/>
  <c r="G77" i="7" s="1"/>
  <c r="AA77" i="7" s="1"/>
  <c r="I14" i="5"/>
  <c r="AB14" i="5" s="1"/>
  <c r="I69" i="5"/>
  <c r="G94" i="5"/>
  <c r="K94" i="5" s="1"/>
  <c r="L77" i="7"/>
  <c r="L74" i="7"/>
  <c r="L62" i="7"/>
  <c r="H28" i="6"/>
  <c r="J28" i="6" s="1"/>
  <c r="AC28" i="6" s="1"/>
  <c r="I23" i="6"/>
  <c r="AB23" i="6" s="1"/>
  <c r="H35" i="4"/>
  <c r="AB35" i="4" s="1"/>
  <c r="H115" i="7"/>
  <c r="AB115" i="7" s="1"/>
  <c r="H75" i="7"/>
  <c r="AB75" i="7" s="1"/>
  <c r="F115" i="7"/>
  <c r="G115" i="7" s="1"/>
  <c r="AA115" i="7" s="1"/>
  <c r="F75" i="7"/>
  <c r="G75" i="7" s="1"/>
  <c r="AA75" i="7" s="1"/>
  <c r="L110" i="7"/>
  <c r="F8" i="4"/>
  <c r="W8" i="4" s="1"/>
  <c r="F48" i="7"/>
  <c r="G48" i="7" s="1"/>
  <c r="AA48" i="7" s="1"/>
  <c r="H88" i="7"/>
  <c r="AB88" i="7" s="1"/>
  <c r="H48" i="7"/>
  <c r="AB48" i="7" s="1"/>
  <c r="F88" i="7"/>
  <c r="G88" i="7" s="1"/>
  <c r="AA88" i="7" s="1"/>
  <c r="I10" i="6"/>
  <c r="AB10" i="6" s="1"/>
  <c r="F66" i="7"/>
  <c r="G66" i="7" s="1"/>
  <c r="AA66" i="7" s="1"/>
  <c r="H106" i="7"/>
  <c r="AB106" i="7" s="1"/>
  <c r="F106" i="7"/>
  <c r="G106" i="7" s="1"/>
  <c r="AA106" i="7" s="1"/>
  <c r="H66" i="7"/>
  <c r="AB66" i="7" s="1"/>
  <c r="I28" i="5"/>
  <c r="AB28" i="5" s="1"/>
  <c r="F108" i="7"/>
  <c r="G108" i="7" s="1"/>
  <c r="AA108" i="7" s="1"/>
  <c r="F68" i="7"/>
  <c r="G68" i="7" s="1"/>
  <c r="AA68" i="7" s="1"/>
  <c r="H68" i="7"/>
  <c r="AB68" i="7" s="1"/>
  <c r="H108" i="7"/>
  <c r="AB108" i="7" s="1"/>
  <c r="I7" i="6"/>
  <c r="AB7" i="6" s="1"/>
  <c r="I29" i="6"/>
  <c r="AB29" i="6" s="1"/>
  <c r="H103" i="7"/>
  <c r="AB103" i="7" s="1"/>
  <c r="F103" i="7"/>
  <c r="G103" i="7" s="1"/>
  <c r="AA103" i="7" s="1"/>
  <c r="F63" i="7"/>
  <c r="G63" i="7" s="1"/>
  <c r="AA63" i="7" s="1"/>
  <c r="H63" i="7"/>
  <c r="AB63" i="7" s="1"/>
  <c r="F29" i="4"/>
  <c r="W29" i="4" s="1"/>
  <c r="H109" i="7"/>
  <c r="AB109" i="7" s="1"/>
  <c r="F109" i="7"/>
  <c r="G109" i="7" s="1"/>
  <c r="AA109" i="7" s="1"/>
  <c r="H69" i="7"/>
  <c r="AB69" i="7" s="1"/>
  <c r="F69" i="7"/>
  <c r="G69" i="7" s="1"/>
  <c r="AA69" i="7" s="1"/>
  <c r="I24" i="5"/>
  <c r="AB24" i="5" s="1"/>
  <c r="F104" i="7"/>
  <c r="G104" i="7" s="1"/>
  <c r="AA104" i="7" s="1"/>
  <c r="H64" i="7"/>
  <c r="AB64" i="7" s="1"/>
  <c r="H104" i="7"/>
  <c r="AB104" i="7" s="1"/>
  <c r="F64" i="7"/>
  <c r="G64" i="7" s="1"/>
  <c r="AA64" i="7" s="1"/>
  <c r="F25" i="7"/>
  <c r="W25" i="7" s="1"/>
  <c r="F105" i="7"/>
  <c r="G105" i="7" s="1"/>
  <c r="AA105" i="7" s="1"/>
  <c r="H65" i="7"/>
  <c r="AB65" i="7" s="1"/>
  <c r="F65" i="7"/>
  <c r="G65" i="7" s="1"/>
  <c r="AA65" i="7" s="1"/>
  <c r="I26" i="6"/>
  <c r="AB26" i="6" s="1"/>
  <c r="H105" i="7"/>
  <c r="AB105" i="7" s="1"/>
  <c r="I29" i="5"/>
  <c r="AB29" i="5" s="1"/>
  <c r="I109" i="5"/>
  <c r="L70" i="7"/>
  <c r="G23" i="6"/>
  <c r="F19" i="7"/>
  <c r="W19" i="7" s="1"/>
  <c r="H59" i="7"/>
  <c r="AB59" i="7" s="1"/>
  <c r="H99" i="7"/>
  <c r="AB99" i="7" s="1"/>
  <c r="F99" i="7"/>
  <c r="G99" i="7" s="1"/>
  <c r="AA99" i="7" s="1"/>
  <c r="F59" i="7"/>
  <c r="G59" i="7" s="1"/>
  <c r="AA59" i="7" s="1"/>
  <c r="F38" i="7"/>
  <c r="W38" i="7" s="1"/>
  <c r="H29" i="7"/>
  <c r="AB29" i="7" s="1"/>
  <c r="I48" i="5"/>
  <c r="G49" i="5"/>
  <c r="K49" i="5" s="1"/>
  <c r="O49" i="5" s="1"/>
  <c r="I78" i="5"/>
  <c r="H26" i="4"/>
  <c r="AB26" i="4" s="1"/>
  <c r="I63" i="5"/>
  <c r="L59" i="7"/>
  <c r="L47" i="7"/>
  <c r="L68" i="7"/>
  <c r="G40" i="6"/>
  <c r="K40" i="6" s="1"/>
  <c r="M40" i="6" s="1"/>
  <c r="N40" i="6" s="1"/>
  <c r="AG40" i="6" s="1"/>
  <c r="G27" i="6"/>
  <c r="K27" i="6" s="1"/>
  <c r="G8" i="6"/>
  <c r="G24" i="6"/>
  <c r="I20" i="6"/>
  <c r="AB20" i="6" s="1"/>
  <c r="I9" i="6"/>
  <c r="AB9" i="6" s="1"/>
  <c r="I8" i="6"/>
  <c r="AB8" i="6" s="1"/>
  <c r="I27" i="6"/>
  <c r="AB27" i="6" s="1"/>
  <c r="F32" i="4"/>
  <c r="W32" i="4" s="1"/>
  <c r="F72" i="7"/>
  <c r="G72" i="7" s="1"/>
  <c r="AA72" i="7" s="1"/>
  <c r="F112" i="7"/>
  <c r="G112" i="7" s="1"/>
  <c r="AA112" i="7" s="1"/>
  <c r="H112" i="7"/>
  <c r="AB112" i="7" s="1"/>
  <c r="H72" i="7"/>
  <c r="AB72" i="7" s="1"/>
  <c r="F33" i="4"/>
  <c r="W33" i="4" s="1"/>
  <c r="H73" i="7"/>
  <c r="AB73" i="7" s="1"/>
  <c r="H113" i="7"/>
  <c r="AB113" i="7" s="1"/>
  <c r="F73" i="7"/>
  <c r="G73" i="7" s="1"/>
  <c r="AA73" i="7" s="1"/>
  <c r="F113" i="7"/>
  <c r="G113" i="7" s="1"/>
  <c r="AA113" i="7" s="1"/>
  <c r="G25" i="6"/>
  <c r="K25" i="6" s="1"/>
  <c r="M25" i="6" s="1"/>
  <c r="F15" i="4"/>
  <c r="W15" i="4" s="1"/>
  <c r="H95" i="7"/>
  <c r="AB95" i="7" s="1"/>
  <c r="H55" i="7"/>
  <c r="AB55" i="7" s="1"/>
  <c r="F95" i="7"/>
  <c r="G95" i="7" s="1"/>
  <c r="AA95" i="7" s="1"/>
  <c r="F55" i="7"/>
  <c r="G55" i="7" s="1"/>
  <c r="AA55" i="7" s="1"/>
  <c r="L86" i="7"/>
  <c r="F20" i="4"/>
  <c r="W20" i="4" s="1"/>
  <c r="F60" i="7"/>
  <c r="G60" i="7" s="1"/>
  <c r="AA60" i="7" s="1"/>
  <c r="H60" i="7"/>
  <c r="AB60" i="7" s="1"/>
  <c r="H100" i="7"/>
  <c r="AB100" i="7" s="1"/>
  <c r="F100" i="7"/>
  <c r="G100" i="7" s="1"/>
  <c r="AA100" i="7" s="1"/>
  <c r="H31" i="7"/>
  <c r="AB31" i="7" s="1"/>
  <c r="H71" i="7"/>
  <c r="AB71" i="7" s="1"/>
  <c r="F111" i="7"/>
  <c r="G111" i="7" s="1"/>
  <c r="AA111" i="7" s="1"/>
  <c r="H111" i="7"/>
  <c r="AB111" i="7" s="1"/>
  <c r="F71" i="7"/>
  <c r="G71" i="7" s="1"/>
  <c r="AA71" i="7" s="1"/>
  <c r="F54" i="7"/>
  <c r="G54" i="7" s="1"/>
  <c r="AA54" i="7" s="1"/>
  <c r="H54" i="7"/>
  <c r="AB54" i="7" s="1"/>
  <c r="F94" i="7"/>
  <c r="G94" i="7" s="1"/>
  <c r="AA94" i="7" s="1"/>
  <c r="H94" i="7"/>
  <c r="AB94" i="7" s="1"/>
  <c r="H22" i="7"/>
  <c r="AB22" i="7" s="1"/>
  <c r="H102" i="7"/>
  <c r="AB102" i="7" s="1"/>
  <c r="F62" i="7"/>
  <c r="G62" i="7" s="1"/>
  <c r="AA62" i="7" s="1"/>
  <c r="F102" i="7"/>
  <c r="G102" i="7" s="1"/>
  <c r="AA102" i="7" s="1"/>
  <c r="H62" i="7"/>
  <c r="AB62" i="7" s="1"/>
  <c r="G23" i="5"/>
  <c r="F29" i="7"/>
  <c r="W29" i="7" s="1"/>
  <c r="F23" i="4"/>
  <c r="J23" i="4" s="1"/>
  <c r="G54" i="5"/>
  <c r="H54" i="5" s="1"/>
  <c r="J54" i="5" s="1"/>
  <c r="L46" i="7"/>
  <c r="L103" i="7"/>
  <c r="M103" i="7" s="1"/>
  <c r="AG103" i="7" s="1"/>
  <c r="G35" i="6"/>
  <c r="K35" i="6" s="1"/>
  <c r="G38" i="6"/>
  <c r="H91" i="7"/>
  <c r="AB91" i="7" s="1"/>
  <c r="F91" i="7"/>
  <c r="G91" i="7" s="1"/>
  <c r="AA91" i="7" s="1"/>
  <c r="H51" i="7"/>
  <c r="AB51" i="7" s="1"/>
  <c r="I12" i="6"/>
  <c r="AB12" i="6" s="1"/>
  <c r="F51" i="7"/>
  <c r="G51" i="7" s="1"/>
  <c r="AA51" i="7" s="1"/>
  <c r="F18" i="7"/>
  <c r="W18" i="7" s="1"/>
  <c r="H98" i="7"/>
  <c r="AB98" i="7" s="1"/>
  <c r="H58" i="7"/>
  <c r="AB58" i="7" s="1"/>
  <c r="F98" i="7"/>
  <c r="G98" i="7" s="1"/>
  <c r="AA98" i="7" s="1"/>
  <c r="F58" i="7"/>
  <c r="G58" i="7" s="1"/>
  <c r="AA58" i="7" s="1"/>
  <c r="F16" i="7"/>
  <c r="W16" i="7" s="1"/>
  <c r="F96" i="7"/>
  <c r="G96" i="7" s="1"/>
  <c r="AA96" i="7" s="1"/>
  <c r="H56" i="7"/>
  <c r="AB56" i="7" s="1"/>
  <c r="H96" i="7"/>
  <c r="AB96" i="7" s="1"/>
  <c r="F56" i="7"/>
  <c r="G56" i="7" s="1"/>
  <c r="AA56" i="7" s="1"/>
  <c r="I23" i="5"/>
  <c r="AB23" i="5" s="1"/>
  <c r="G12" i="5"/>
  <c r="W12" i="5" s="1"/>
  <c r="H52" i="7"/>
  <c r="AB52" i="7" s="1"/>
  <c r="F52" i="7"/>
  <c r="G52" i="7" s="1"/>
  <c r="AA52" i="7" s="1"/>
  <c r="H92" i="7"/>
  <c r="AB92" i="7" s="1"/>
  <c r="F92" i="7"/>
  <c r="G92" i="7" s="1"/>
  <c r="AA92" i="7" s="1"/>
  <c r="F90" i="7"/>
  <c r="G90" i="7" s="1"/>
  <c r="AA90" i="7" s="1"/>
  <c r="H50" i="7"/>
  <c r="AB50" i="7" s="1"/>
  <c r="H90" i="7"/>
  <c r="AB90" i="7" s="1"/>
  <c r="F50" i="7"/>
  <c r="G50" i="7" s="1"/>
  <c r="AA50" i="7" s="1"/>
  <c r="F13" i="7"/>
  <c r="W13" i="7" s="1"/>
  <c r="I14" i="6"/>
  <c r="AB14" i="6" s="1"/>
  <c r="H93" i="7"/>
  <c r="AB93" i="7" s="1"/>
  <c r="F53" i="7"/>
  <c r="G53" i="7" s="1"/>
  <c r="AA53" i="7" s="1"/>
  <c r="H53" i="7"/>
  <c r="AB53" i="7" s="1"/>
  <c r="F93" i="7"/>
  <c r="G93" i="7" s="1"/>
  <c r="AA93" i="7" s="1"/>
  <c r="G38" i="5"/>
  <c r="W38" i="5" s="1"/>
  <c r="G11" i="5"/>
  <c r="G35" i="5"/>
  <c r="F23" i="7"/>
  <c r="W23" i="7" s="1"/>
  <c r="F14" i="7"/>
  <c r="W14" i="7" s="1"/>
  <c r="F11" i="7"/>
  <c r="H11" i="7"/>
  <c r="AB11" i="7" s="1"/>
  <c r="G88" i="5"/>
  <c r="H88" i="5" s="1"/>
  <c r="J88" i="5" s="1"/>
  <c r="F38" i="4"/>
  <c r="J38" i="4" s="1"/>
  <c r="F35" i="4"/>
  <c r="J35" i="4" s="1"/>
  <c r="G66" i="5"/>
  <c r="K66" i="5" s="1"/>
  <c r="G103" i="5"/>
  <c r="H103" i="5" s="1"/>
  <c r="J103" i="5" s="1"/>
  <c r="F14" i="4"/>
  <c r="J14" i="4" s="1"/>
  <c r="F11" i="4"/>
  <c r="J11" i="4" s="1"/>
  <c r="L69" i="7"/>
  <c r="L78" i="7"/>
  <c r="L66" i="7"/>
  <c r="L54" i="7"/>
  <c r="G39" i="6"/>
  <c r="K39" i="6" s="1"/>
  <c r="G33" i="6"/>
  <c r="K33" i="6" s="1"/>
  <c r="G19" i="6"/>
  <c r="K19" i="6" s="1"/>
  <c r="G36" i="6"/>
  <c r="I32" i="6"/>
  <c r="AB32" i="6" s="1"/>
  <c r="I39" i="6"/>
  <c r="AB39" i="6" s="1"/>
  <c r="I30" i="6"/>
  <c r="AB30" i="6" s="1"/>
  <c r="I33" i="6"/>
  <c r="AB33" i="6" s="1"/>
  <c r="L88" i="7"/>
  <c r="G45" i="5"/>
  <c r="H45" i="7"/>
  <c r="AB45" i="7" s="1"/>
  <c r="L85" i="7"/>
  <c r="F45" i="7"/>
  <c r="G45" i="7" s="1"/>
  <c r="F85" i="7"/>
  <c r="G85" i="7" s="1"/>
  <c r="H85" i="7"/>
  <c r="AB85" i="7" s="1"/>
  <c r="F21" i="4"/>
  <c r="W21" i="4" s="1"/>
  <c r="H61" i="7"/>
  <c r="AB61" i="7" s="1"/>
  <c r="F61" i="7"/>
  <c r="G61" i="7" s="1"/>
  <c r="AA61" i="7" s="1"/>
  <c r="F101" i="7"/>
  <c r="G101" i="7" s="1"/>
  <c r="AA101" i="7" s="1"/>
  <c r="H101" i="7"/>
  <c r="AB101" i="7" s="1"/>
  <c r="I19" i="6"/>
  <c r="AB19" i="6" s="1"/>
  <c r="L112" i="7"/>
  <c r="F17" i="4"/>
  <c r="W17" i="4" s="1"/>
  <c r="H57" i="7"/>
  <c r="AB57" i="7" s="1"/>
  <c r="F97" i="7"/>
  <c r="G97" i="7" s="1"/>
  <c r="AA97" i="7" s="1"/>
  <c r="F57" i="7"/>
  <c r="G57" i="7" s="1"/>
  <c r="AA57" i="7" s="1"/>
  <c r="H97" i="7"/>
  <c r="AB97" i="7" s="1"/>
  <c r="H70" i="7"/>
  <c r="AB70" i="7" s="1"/>
  <c r="F110" i="7"/>
  <c r="G110" i="7" s="1"/>
  <c r="AA110" i="7" s="1"/>
  <c r="H110" i="7"/>
  <c r="AB110" i="7" s="1"/>
  <c r="F70" i="7"/>
  <c r="G70" i="7" s="1"/>
  <c r="AA70" i="7" s="1"/>
  <c r="G39" i="5"/>
  <c r="F119" i="7"/>
  <c r="G119" i="7" s="1"/>
  <c r="AA119" i="7" s="1"/>
  <c r="H79" i="7"/>
  <c r="AB79" i="7" s="1"/>
  <c r="F79" i="7"/>
  <c r="G79" i="7" s="1"/>
  <c r="AA79" i="7" s="1"/>
  <c r="H119" i="7"/>
  <c r="AB119" i="7" s="1"/>
  <c r="H23" i="4"/>
  <c r="AB23" i="4" s="1"/>
  <c r="I103" i="5"/>
  <c r="H14" i="4"/>
  <c r="AB14" i="4" s="1"/>
  <c r="H29" i="4"/>
  <c r="AB29" i="4" s="1"/>
  <c r="L79" i="7"/>
  <c r="L64" i="7"/>
  <c r="L111" i="7"/>
  <c r="M111" i="7" s="1"/>
  <c r="AG111" i="7" s="1"/>
  <c r="L105" i="7"/>
  <c r="M105" i="7" s="1"/>
  <c r="AG105" i="7" s="1"/>
  <c r="G32" i="6"/>
  <c r="K32" i="6" s="1"/>
  <c r="G29" i="6"/>
  <c r="G15" i="6"/>
  <c r="K15" i="6" s="1"/>
  <c r="I24" i="6"/>
  <c r="AB24" i="6" s="1"/>
  <c r="I31" i="6"/>
  <c r="AB31" i="6" s="1"/>
  <c r="I25" i="6"/>
  <c r="AB25" i="6" s="1"/>
  <c r="L94" i="7"/>
  <c r="F9" i="4"/>
  <c r="W9" i="4" s="1"/>
  <c r="H49" i="7"/>
  <c r="AB49" i="7" s="1"/>
  <c r="F49" i="7"/>
  <c r="G49" i="7" s="1"/>
  <c r="AA49" i="7" s="1"/>
  <c r="H89" i="7"/>
  <c r="AB89" i="7" s="1"/>
  <c r="F89" i="7"/>
  <c r="G89" i="7" s="1"/>
  <c r="AA89" i="7" s="1"/>
  <c r="G7" i="6"/>
  <c r="K7" i="6" s="1"/>
  <c r="M7" i="6" s="1"/>
  <c r="L108" i="7"/>
  <c r="F118" i="7"/>
  <c r="G118" i="7" s="1"/>
  <c r="AA118" i="7" s="1"/>
  <c r="F78" i="7"/>
  <c r="G78" i="7" s="1"/>
  <c r="AA78" i="7" s="1"/>
  <c r="H78" i="7"/>
  <c r="AB78" i="7" s="1"/>
  <c r="H118" i="7"/>
  <c r="AB118" i="7" s="1"/>
  <c r="F27" i="4"/>
  <c r="W27" i="4" s="1"/>
  <c r="H67" i="7"/>
  <c r="AB67" i="7" s="1"/>
  <c r="F67" i="7"/>
  <c r="G67" i="7" s="1"/>
  <c r="AA67" i="7" s="1"/>
  <c r="H107" i="7"/>
  <c r="AB107" i="7" s="1"/>
  <c r="F107" i="7"/>
  <c r="G107" i="7" s="1"/>
  <c r="AA107" i="7" s="1"/>
  <c r="O40" i="6"/>
  <c r="AH40" i="6" s="1"/>
  <c r="AF95" i="7"/>
  <c r="AF91" i="7"/>
  <c r="AF93" i="7"/>
  <c r="AF117" i="7"/>
  <c r="AF99" i="7"/>
  <c r="AF107" i="7"/>
  <c r="AF89" i="7"/>
  <c r="AF103" i="7"/>
  <c r="AF101" i="7"/>
  <c r="AF97" i="7"/>
  <c r="AF111" i="7"/>
  <c r="AF87" i="7"/>
  <c r="M109" i="7"/>
  <c r="AG109" i="7" s="1"/>
  <c r="AF109" i="7"/>
  <c r="AE85" i="7"/>
  <c r="N9" i="7"/>
  <c r="AH9" i="7" s="1"/>
  <c r="AD27" i="7"/>
  <c r="G13" i="5"/>
  <c r="F22" i="7"/>
  <c r="W22" i="7" s="1"/>
  <c r="G18" i="5"/>
  <c r="W18" i="5" s="1"/>
  <c r="F31" i="7"/>
  <c r="W31" i="7" s="1"/>
  <c r="H7" i="7"/>
  <c r="AB7" i="7" s="1"/>
  <c r="H13" i="7"/>
  <c r="AB13" i="7" s="1"/>
  <c r="G28" i="5"/>
  <c r="F28" i="7"/>
  <c r="W28" i="7" s="1"/>
  <c r="G105" i="5"/>
  <c r="I105" i="5"/>
  <c r="G65" i="5"/>
  <c r="F25" i="4"/>
  <c r="H25" i="4"/>
  <c r="AB25" i="4" s="1"/>
  <c r="I65" i="5"/>
  <c r="I99" i="5"/>
  <c r="I59" i="5"/>
  <c r="G99" i="5"/>
  <c r="G59" i="5"/>
  <c r="F19" i="4"/>
  <c r="H19" i="4"/>
  <c r="AB19" i="4" s="1"/>
  <c r="G34" i="5"/>
  <c r="I92" i="5"/>
  <c r="I52" i="5"/>
  <c r="G92" i="5"/>
  <c r="G52" i="5"/>
  <c r="F12" i="4"/>
  <c r="I12" i="5"/>
  <c r="AB12" i="5" s="1"/>
  <c r="H12" i="4"/>
  <c r="AB12" i="4" s="1"/>
  <c r="I90" i="5"/>
  <c r="I50" i="5"/>
  <c r="G50" i="5"/>
  <c r="H10" i="4"/>
  <c r="AB10" i="4" s="1"/>
  <c r="F10" i="4"/>
  <c r="G90" i="5"/>
  <c r="G46" i="5"/>
  <c r="I86" i="5"/>
  <c r="G86" i="5"/>
  <c r="I6" i="5"/>
  <c r="AB6" i="5" s="1"/>
  <c r="I46" i="5"/>
  <c r="F6" i="4"/>
  <c r="H6" i="4"/>
  <c r="AB6" i="4" s="1"/>
  <c r="I79" i="5"/>
  <c r="G119" i="5"/>
  <c r="H39" i="4"/>
  <c r="AB39" i="4" s="1"/>
  <c r="I119" i="5"/>
  <c r="G79" i="5"/>
  <c r="F39" i="4"/>
  <c r="I47" i="5"/>
  <c r="G47" i="5"/>
  <c r="G87" i="5"/>
  <c r="I87" i="5"/>
  <c r="F7" i="4"/>
  <c r="H7" i="4"/>
  <c r="AB7" i="4" s="1"/>
  <c r="G22" i="5"/>
  <c r="G7" i="5"/>
  <c r="I37" i="5"/>
  <c r="AB37" i="5" s="1"/>
  <c r="I25" i="5"/>
  <c r="AB25" i="5" s="1"/>
  <c r="F37" i="7"/>
  <c r="W37" i="7" s="1"/>
  <c r="F24" i="7"/>
  <c r="W24" i="7" s="1"/>
  <c r="F12" i="7"/>
  <c r="W12" i="7" s="1"/>
  <c r="H24" i="7"/>
  <c r="AB24" i="7" s="1"/>
  <c r="F6" i="7"/>
  <c r="W6" i="7" s="1"/>
  <c r="H106" i="5"/>
  <c r="J106" i="5" s="1"/>
  <c r="K106" i="5"/>
  <c r="G70" i="5"/>
  <c r="I110" i="5"/>
  <c r="G110" i="5"/>
  <c r="I70" i="5"/>
  <c r="F30" i="4"/>
  <c r="H30" i="4"/>
  <c r="AB30" i="4" s="1"/>
  <c r="G108" i="5"/>
  <c r="G68" i="5"/>
  <c r="I68" i="5"/>
  <c r="H28" i="7"/>
  <c r="AB28" i="7" s="1"/>
  <c r="H28" i="4"/>
  <c r="AB28" i="4" s="1"/>
  <c r="I108" i="5"/>
  <c r="F28" i="4"/>
  <c r="I71" i="5"/>
  <c r="G71" i="5"/>
  <c r="G111" i="5"/>
  <c r="F31" i="4"/>
  <c r="I111" i="5"/>
  <c r="H31" i="4"/>
  <c r="AB31" i="4" s="1"/>
  <c r="G10" i="5"/>
  <c r="I22" i="5"/>
  <c r="AB22" i="5" s="1"/>
  <c r="I19" i="5"/>
  <c r="AB19" i="5" s="1"/>
  <c r="H25" i="7"/>
  <c r="AB25" i="7" s="1"/>
  <c r="H19" i="7"/>
  <c r="AB19" i="7" s="1"/>
  <c r="H12" i="7"/>
  <c r="AB12" i="7" s="1"/>
  <c r="H10" i="7"/>
  <c r="AB10" i="7" s="1"/>
  <c r="F10" i="7"/>
  <c r="H16" i="7"/>
  <c r="AB16" i="7" s="1"/>
  <c r="K72" i="5"/>
  <c r="H72" i="5"/>
  <c r="J72" i="5" s="1"/>
  <c r="W36" i="4"/>
  <c r="G36" i="4"/>
  <c r="J36" i="4"/>
  <c r="J5" i="4"/>
  <c r="W5" i="4"/>
  <c r="G5" i="4"/>
  <c r="K76" i="5"/>
  <c r="H76" i="5"/>
  <c r="J76" i="5" s="1"/>
  <c r="W26" i="4"/>
  <c r="G26" i="4"/>
  <c r="J26" i="4"/>
  <c r="H63" i="5"/>
  <c r="J63" i="5" s="1"/>
  <c r="K63" i="5"/>
  <c r="I74" i="5"/>
  <c r="I114" i="5"/>
  <c r="G114" i="5"/>
  <c r="G74" i="5"/>
  <c r="H34" i="4"/>
  <c r="AB34" i="4" s="1"/>
  <c r="F34" i="4"/>
  <c r="I64" i="5"/>
  <c r="I104" i="5"/>
  <c r="G64" i="5"/>
  <c r="G104" i="5"/>
  <c r="F24" i="4"/>
  <c r="H24" i="4"/>
  <c r="AB24" i="4" s="1"/>
  <c r="G24" i="5"/>
  <c r="G16" i="5"/>
  <c r="F30" i="7"/>
  <c r="W30" i="7" s="1"/>
  <c r="F7" i="7"/>
  <c r="H6" i="7"/>
  <c r="AB6" i="7" s="1"/>
  <c r="H39" i="7"/>
  <c r="AB39" i="7" s="1"/>
  <c r="K48" i="5"/>
  <c r="H48" i="5"/>
  <c r="J48" i="5" s="1"/>
  <c r="H109" i="5"/>
  <c r="J109" i="5" s="1"/>
  <c r="K109" i="5"/>
  <c r="H57" i="5"/>
  <c r="J57" i="5" s="1"/>
  <c r="K57" i="5"/>
  <c r="K118" i="5"/>
  <c r="H118" i="5"/>
  <c r="J118" i="5" s="1"/>
  <c r="G117" i="5"/>
  <c r="H37" i="7"/>
  <c r="AB37" i="7" s="1"/>
  <c r="I117" i="5"/>
  <c r="G77" i="5"/>
  <c r="F37" i="4"/>
  <c r="H37" i="4"/>
  <c r="AB37" i="4" s="1"/>
  <c r="I77" i="5"/>
  <c r="F34" i="7"/>
  <c r="W34" i="7" s="1"/>
  <c r="G98" i="5"/>
  <c r="G58" i="5"/>
  <c r="I18" i="5"/>
  <c r="AB18" i="5" s="1"/>
  <c r="F18" i="4"/>
  <c r="I58" i="5"/>
  <c r="H18" i="4"/>
  <c r="AB18" i="4" s="1"/>
  <c r="I98" i="5"/>
  <c r="H30" i="7"/>
  <c r="AB30" i="7" s="1"/>
  <c r="H18" i="7"/>
  <c r="AB18" i="7" s="1"/>
  <c r="I10" i="5"/>
  <c r="AB10" i="5" s="1"/>
  <c r="H78" i="5"/>
  <c r="J78" i="5" s="1"/>
  <c r="K78" i="5"/>
  <c r="H113" i="5"/>
  <c r="J113" i="5" s="1"/>
  <c r="K113" i="5"/>
  <c r="G102" i="5"/>
  <c r="I62" i="5"/>
  <c r="I102" i="5"/>
  <c r="G62" i="5"/>
  <c r="H22" i="4"/>
  <c r="AB22" i="4" s="1"/>
  <c r="F22" i="4"/>
  <c r="I96" i="5"/>
  <c r="G56" i="5"/>
  <c r="G96" i="5"/>
  <c r="I56" i="5"/>
  <c r="H16" i="4"/>
  <c r="AB16" i="4" s="1"/>
  <c r="F16" i="4"/>
  <c r="G25" i="5"/>
  <c r="W25" i="5" s="1"/>
  <c r="I93" i="5"/>
  <c r="G93" i="5"/>
  <c r="G53" i="5"/>
  <c r="F13" i="4"/>
  <c r="H13" i="4"/>
  <c r="AB13" i="4" s="1"/>
  <c r="I53" i="5"/>
  <c r="I34" i="5"/>
  <c r="AB34" i="5" s="1"/>
  <c r="G19" i="5"/>
  <c r="W19" i="5" s="1"/>
  <c r="I13" i="5"/>
  <c r="AB13" i="5" s="1"/>
  <c r="I39" i="5"/>
  <c r="AB39" i="5" s="1"/>
  <c r="I16" i="5"/>
  <c r="AB16" i="5" s="1"/>
  <c r="K36" i="5"/>
  <c r="AD36" i="5" s="1"/>
  <c r="F39" i="7"/>
  <c r="W39" i="7" s="1"/>
  <c r="H112" i="5"/>
  <c r="J112" i="5" s="1"/>
  <c r="K112" i="5"/>
  <c r="H97" i="5"/>
  <c r="J97" i="5" s="1"/>
  <c r="K97" i="5"/>
  <c r="H91" i="5"/>
  <c r="J91" i="5" s="1"/>
  <c r="K91" i="5"/>
  <c r="AD31" i="7"/>
  <c r="AD36" i="7"/>
  <c r="AD5" i="7"/>
  <c r="AD12" i="7"/>
  <c r="AD35" i="7"/>
  <c r="AD28" i="7"/>
  <c r="AD20" i="7"/>
  <c r="AD19" i="7"/>
  <c r="AD30" i="7"/>
  <c r="AD22" i="7"/>
  <c r="AD33" i="7"/>
  <c r="AD25" i="7"/>
  <c r="AD14" i="7"/>
  <c r="AD13" i="7"/>
  <c r="AD24" i="7"/>
  <c r="AD16" i="7"/>
  <c r="AD23" i="7"/>
  <c r="AD29" i="7"/>
  <c r="AD38" i="7"/>
  <c r="AD18" i="7"/>
  <c r="AD17" i="7"/>
  <c r="G5" i="7"/>
  <c r="AA5" i="7" s="1"/>
  <c r="G8" i="7"/>
  <c r="I8" i="7" s="1"/>
  <c r="AC8" i="7" s="1"/>
  <c r="G35" i="7"/>
  <c r="AA35" i="7" s="1"/>
  <c r="AD26" i="7"/>
  <c r="G26" i="7"/>
  <c r="AA26" i="7" s="1"/>
  <c r="G36" i="7"/>
  <c r="AA36" i="7" s="1"/>
  <c r="G27" i="7"/>
  <c r="AA27" i="7" s="1"/>
  <c r="AD15" i="7"/>
  <c r="AD37" i="7"/>
  <c r="AD32" i="7"/>
  <c r="G32" i="7"/>
  <c r="AA32" i="7" s="1"/>
  <c r="G20" i="7"/>
  <c r="AA20" i="7" s="1"/>
  <c r="AD21" i="7"/>
  <c r="G17" i="7"/>
  <c r="AA17" i="7" s="1"/>
  <c r="K26" i="5"/>
  <c r="AD26" i="5" s="1"/>
  <c r="K20" i="5"/>
  <c r="AD20" i="5" s="1"/>
  <c r="K29" i="5"/>
  <c r="AD29" i="5" s="1"/>
  <c r="K17" i="5"/>
  <c r="AD17" i="5" s="1"/>
  <c r="K32" i="5"/>
  <c r="AD32" i="5" s="1"/>
  <c r="K27" i="5"/>
  <c r="AD27" i="5" s="1"/>
  <c r="K9" i="5"/>
  <c r="AD9" i="5" s="1"/>
  <c r="K5" i="5"/>
  <c r="AD5" i="5" s="1"/>
  <c r="K21" i="5"/>
  <c r="AD21" i="5" s="1"/>
  <c r="H85" i="5"/>
  <c r="J85" i="5" s="1"/>
  <c r="K85" i="5"/>
  <c r="I33" i="5"/>
  <c r="AB33" i="5" s="1"/>
  <c r="G30" i="5"/>
  <c r="W30" i="5" s="1"/>
  <c r="I31" i="5"/>
  <c r="AB31" i="5" s="1"/>
  <c r="I30" i="5"/>
  <c r="AB30" i="5" s="1"/>
  <c r="G33" i="5"/>
  <c r="W33" i="5" s="1"/>
  <c r="G31" i="5"/>
  <c r="W31" i="5" s="1"/>
  <c r="I32" i="5"/>
  <c r="AB32" i="5" s="1"/>
  <c r="Z32" i="5"/>
  <c r="H17" i="5"/>
  <c r="AA17" i="5" s="1"/>
  <c r="H32" i="5"/>
  <c r="AA32" i="5" s="1"/>
  <c r="H36" i="5"/>
  <c r="AA36" i="5" s="1"/>
  <c r="H27" i="5"/>
  <c r="AA27" i="5" s="1"/>
  <c r="H5" i="5"/>
  <c r="AA5" i="5" s="1"/>
  <c r="H20" i="5"/>
  <c r="AA20" i="5" s="1"/>
  <c r="H21" i="5"/>
  <c r="AA21" i="5" s="1"/>
  <c r="H29" i="5"/>
  <c r="AA29" i="5" s="1"/>
  <c r="H26" i="5"/>
  <c r="AA26" i="5" s="1"/>
  <c r="H9" i="5"/>
  <c r="AA9" i="5" s="1"/>
  <c r="AD40" i="6" l="1"/>
  <c r="M34" i="6"/>
  <c r="AF34" i="6" s="1"/>
  <c r="H29" i="6"/>
  <c r="J29" i="6" s="1"/>
  <c r="AC29" i="6" s="1"/>
  <c r="K29" i="6"/>
  <c r="AD29" i="6" s="1"/>
  <c r="H38" i="6"/>
  <c r="AA38" i="6" s="1"/>
  <c r="K38" i="6"/>
  <c r="AD38" i="6" s="1"/>
  <c r="H31" i="6"/>
  <c r="J31" i="6" s="1"/>
  <c r="AC31" i="6" s="1"/>
  <c r="K31" i="6"/>
  <c r="M31" i="6" s="1"/>
  <c r="H9" i="6"/>
  <c r="AA9" i="6" s="1"/>
  <c r="K9" i="6"/>
  <c r="O9" i="6" s="1"/>
  <c r="AH9" i="6" s="1"/>
  <c r="H16" i="6"/>
  <c r="AA16" i="6" s="1"/>
  <c r="K16" i="6"/>
  <c r="H10" i="6"/>
  <c r="J10" i="6" s="1"/>
  <c r="AC10" i="6" s="1"/>
  <c r="K10" i="6"/>
  <c r="AD10" i="6" s="1"/>
  <c r="H17" i="6"/>
  <c r="AA17" i="6" s="1"/>
  <c r="K17" i="6"/>
  <c r="AD17" i="6" s="1"/>
  <c r="AD34" i="6"/>
  <c r="H22" i="6"/>
  <c r="AA22" i="6" s="1"/>
  <c r="K22" i="6"/>
  <c r="AD22" i="6" s="1"/>
  <c r="H18" i="6"/>
  <c r="K18" i="6"/>
  <c r="M18" i="6" s="1"/>
  <c r="H30" i="6"/>
  <c r="AA30" i="6" s="1"/>
  <c r="K30" i="6"/>
  <c r="M30" i="6" s="1"/>
  <c r="H20" i="6"/>
  <c r="J20" i="6" s="1"/>
  <c r="AC20" i="6" s="1"/>
  <c r="K20" i="6"/>
  <c r="H36" i="6"/>
  <c r="J36" i="6" s="1"/>
  <c r="AC36" i="6" s="1"/>
  <c r="K36" i="6"/>
  <c r="O36" i="6" s="1"/>
  <c r="AH36" i="6" s="1"/>
  <c r="H24" i="6"/>
  <c r="J24" i="6" s="1"/>
  <c r="AC24" i="6" s="1"/>
  <c r="K24" i="6"/>
  <c r="H14" i="6"/>
  <c r="AA14" i="6" s="1"/>
  <c r="K14" i="6"/>
  <c r="O14" i="6" s="1"/>
  <c r="AH14" i="6" s="1"/>
  <c r="H12" i="6"/>
  <c r="AA12" i="6" s="1"/>
  <c r="K12" i="6"/>
  <c r="M12" i="6" s="1"/>
  <c r="H8" i="6"/>
  <c r="AA8" i="6" s="1"/>
  <c r="K8" i="6"/>
  <c r="M8" i="6" s="1"/>
  <c r="H23" i="6"/>
  <c r="AA23" i="6" s="1"/>
  <c r="K23" i="6"/>
  <c r="AD23" i="6" s="1"/>
  <c r="H26" i="6"/>
  <c r="J26" i="6" s="1"/>
  <c r="AC26" i="6" s="1"/>
  <c r="K26" i="6"/>
  <c r="AD26" i="6" s="1"/>
  <c r="H21" i="6"/>
  <c r="J21" i="6" s="1"/>
  <c r="AC21" i="6" s="1"/>
  <c r="K21" i="6"/>
  <c r="G15" i="7"/>
  <c r="AA15" i="7" s="1"/>
  <c r="AD7" i="6"/>
  <c r="O7" i="6"/>
  <c r="AH7" i="6" s="1"/>
  <c r="L106" i="7"/>
  <c r="M106" i="7" s="1"/>
  <c r="AG106" i="7" s="1"/>
  <c r="L115" i="7"/>
  <c r="M115" i="7" s="1"/>
  <c r="AG115" i="7" s="1"/>
  <c r="N119" i="7"/>
  <c r="AH119" i="7" s="1"/>
  <c r="N107" i="7"/>
  <c r="AH107" i="7" s="1"/>
  <c r="N116" i="7"/>
  <c r="AH116" i="7" s="1"/>
  <c r="N87" i="7"/>
  <c r="AH87" i="7" s="1"/>
  <c r="N51" i="7"/>
  <c r="N91" i="7"/>
  <c r="AH91" i="7" s="1"/>
  <c r="L89" i="7"/>
  <c r="M89" i="7" s="1"/>
  <c r="AG89" i="7" s="1"/>
  <c r="G9" i="7"/>
  <c r="AA9" i="7" s="1"/>
  <c r="L104" i="7"/>
  <c r="M104" i="7" s="1"/>
  <c r="AG104" i="7" s="1"/>
  <c r="W38" i="4"/>
  <c r="W23" i="4"/>
  <c r="W11" i="4"/>
  <c r="W14" i="4"/>
  <c r="W35" i="4"/>
  <c r="AD25" i="6"/>
  <c r="O25" i="6"/>
  <c r="AH25" i="6" s="1"/>
  <c r="H24" i="5"/>
  <c r="AA24" i="5" s="1"/>
  <c r="W24" i="5"/>
  <c r="H7" i="5"/>
  <c r="AA7" i="5" s="1"/>
  <c r="W7" i="5"/>
  <c r="K39" i="5"/>
  <c r="M39" i="5" s="1"/>
  <c r="AF39" i="5" s="1"/>
  <c r="W39" i="5"/>
  <c r="K35" i="5"/>
  <c r="AD35" i="5" s="1"/>
  <c r="W35" i="5"/>
  <c r="H15" i="5"/>
  <c r="AA15" i="5" s="1"/>
  <c r="W15" i="5"/>
  <c r="K13" i="5"/>
  <c r="AD13" i="5" s="1"/>
  <c r="W13" i="5"/>
  <c r="K37" i="5"/>
  <c r="AD37" i="5" s="1"/>
  <c r="W37" i="5"/>
  <c r="K22" i="5"/>
  <c r="AD22" i="5" s="1"/>
  <c r="W22" i="5"/>
  <c r="K10" i="5"/>
  <c r="AD10" i="5" s="1"/>
  <c r="W10" i="5"/>
  <c r="K28" i="5"/>
  <c r="AD28" i="5" s="1"/>
  <c r="W28" i="5"/>
  <c r="K11" i="5"/>
  <c r="AD11" i="5" s="1"/>
  <c r="W11" i="5"/>
  <c r="H16" i="5"/>
  <c r="AA16" i="5" s="1"/>
  <c r="W16" i="5"/>
  <c r="K34" i="5"/>
  <c r="AD34" i="5" s="1"/>
  <c r="W34" i="5"/>
  <c r="K23" i="5"/>
  <c r="AD23" i="5" s="1"/>
  <c r="W23" i="5"/>
  <c r="AA37" i="6"/>
  <c r="AF113" i="7"/>
  <c r="AF115" i="7"/>
  <c r="M69" i="7"/>
  <c r="AG69" i="7" s="1"/>
  <c r="AF69" i="7"/>
  <c r="AF106" i="7"/>
  <c r="M47" i="7"/>
  <c r="AG47" i="7" s="1"/>
  <c r="AF47" i="7"/>
  <c r="M92" i="7"/>
  <c r="AG92" i="7" s="1"/>
  <c r="AF92" i="7"/>
  <c r="M96" i="7"/>
  <c r="AG96" i="7" s="1"/>
  <c r="AF96" i="7"/>
  <c r="M61" i="7"/>
  <c r="AG61" i="7" s="1"/>
  <c r="AF61" i="7"/>
  <c r="M49" i="7"/>
  <c r="AG49" i="7" s="1"/>
  <c r="AF49" i="7"/>
  <c r="M71" i="7"/>
  <c r="AG71" i="7" s="1"/>
  <c r="AF71" i="7"/>
  <c r="M118" i="7"/>
  <c r="AG118" i="7" s="1"/>
  <c r="AF118" i="7"/>
  <c r="M75" i="7"/>
  <c r="AG75" i="7" s="1"/>
  <c r="AF75" i="7"/>
  <c r="M53" i="7"/>
  <c r="AG53" i="7" s="1"/>
  <c r="AF53" i="7"/>
  <c r="AF119" i="7"/>
  <c r="M64" i="7"/>
  <c r="AG64" i="7" s="1"/>
  <c r="AF64" i="7"/>
  <c r="M85" i="7"/>
  <c r="AG85" i="7" s="1"/>
  <c r="AF85" i="7"/>
  <c r="M114" i="7"/>
  <c r="AG114" i="7" s="1"/>
  <c r="AF114" i="7"/>
  <c r="M102" i="7"/>
  <c r="AG102" i="7" s="1"/>
  <c r="AF102" i="7"/>
  <c r="M46" i="7"/>
  <c r="AG46" i="7" s="1"/>
  <c r="AF46" i="7"/>
  <c r="M86" i="7"/>
  <c r="AG86" i="7" s="1"/>
  <c r="AF86" i="7"/>
  <c r="M59" i="7"/>
  <c r="AG59" i="7" s="1"/>
  <c r="AF59" i="7"/>
  <c r="M110" i="7"/>
  <c r="AG110" i="7" s="1"/>
  <c r="AF110" i="7"/>
  <c r="M100" i="7"/>
  <c r="AG100" i="7" s="1"/>
  <c r="AF100" i="7"/>
  <c r="M79" i="7"/>
  <c r="AG79" i="7" s="1"/>
  <c r="AF79" i="7"/>
  <c r="M54" i="7"/>
  <c r="AG54" i="7" s="1"/>
  <c r="AF54" i="7"/>
  <c r="G11" i="7"/>
  <c r="AA11" i="7" s="1"/>
  <c r="W11" i="7"/>
  <c r="M70" i="7"/>
  <c r="AG70" i="7" s="1"/>
  <c r="AF70" i="7"/>
  <c r="M62" i="7"/>
  <c r="AG62" i="7" s="1"/>
  <c r="AF62" i="7"/>
  <c r="M58" i="7"/>
  <c r="AG58" i="7" s="1"/>
  <c r="AF58" i="7"/>
  <c r="M52" i="7"/>
  <c r="AG52" i="7" s="1"/>
  <c r="AF52" i="7"/>
  <c r="M60" i="7"/>
  <c r="AG60" i="7" s="1"/>
  <c r="AF60" i="7"/>
  <c r="AF104" i="7"/>
  <c r="I45" i="7"/>
  <c r="AC45" i="7" s="1"/>
  <c r="AA45" i="7"/>
  <c r="G7" i="7"/>
  <c r="AA7" i="7" s="1"/>
  <c r="W7" i="7"/>
  <c r="G10" i="7"/>
  <c r="AA10" i="7" s="1"/>
  <c r="W10" i="7"/>
  <c r="AF105" i="7"/>
  <c r="M94" i="7"/>
  <c r="AG94" i="7" s="1"/>
  <c r="AF94" i="7"/>
  <c r="M112" i="7"/>
  <c r="AG112" i="7" s="1"/>
  <c r="AF112" i="7"/>
  <c r="M66" i="7"/>
  <c r="AG66" i="7" s="1"/>
  <c r="AF66" i="7"/>
  <c r="M74" i="7"/>
  <c r="AG74" i="7" s="1"/>
  <c r="AF74" i="7"/>
  <c r="M51" i="7"/>
  <c r="AG51" i="7" s="1"/>
  <c r="AF51" i="7"/>
  <c r="M73" i="7"/>
  <c r="AG73" i="7" s="1"/>
  <c r="AF73" i="7"/>
  <c r="M72" i="7"/>
  <c r="AG72" i="7" s="1"/>
  <c r="AF72" i="7"/>
  <c r="M63" i="7"/>
  <c r="AG63" i="7" s="1"/>
  <c r="AF63" i="7"/>
  <c r="M65" i="7"/>
  <c r="AG65" i="7" s="1"/>
  <c r="AF65" i="7"/>
  <c r="M88" i="7"/>
  <c r="AG88" i="7" s="1"/>
  <c r="AF88" i="7"/>
  <c r="M78" i="7"/>
  <c r="AG78" i="7" s="1"/>
  <c r="AF78" i="7"/>
  <c r="M68" i="7"/>
  <c r="AG68" i="7" s="1"/>
  <c r="AF68" i="7"/>
  <c r="M77" i="7"/>
  <c r="AG77" i="7" s="1"/>
  <c r="AF77" i="7"/>
  <c r="M55" i="7"/>
  <c r="AG55" i="7" s="1"/>
  <c r="AF55" i="7"/>
  <c r="M48" i="7"/>
  <c r="AG48" i="7" s="1"/>
  <c r="AF48" i="7"/>
  <c r="M50" i="7"/>
  <c r="AG50" i="7" s="1"/>
  <c r="AF50" i="7"/>
  <c r="M67" i="7"/>
  <c r="AG67" i="7" s="1"/>
  <c r="AF67" i="7"/>
  <c r="M76" i="7"/>
  <c r="AG76" i="7" s="1"/>
  <c r="AF76" i="7"/>
  <c r="M57" i="7"/>
  <c r="AG57" i="7" s="1"/>
  <c r="AF57" i="7"/>
  <c r="H6" i="5"/>
  <c r="AA6" i="5" s="1"/>
  <c r="H61" i="5"/>
  <c r="J61" i="5" s="1"/>
  <c r="G21" i="7"/>
  <c r="AA21" i="7" s="1"/>
  <c r="K14" i="5"/>
  <c r="AD14" i="5" s="1"/>
  <c r="K15" i="5"/>
  <c r="AD15" i="5" s="1"/>
  <c r="K75" i="5"/>
  <c r="H39" i="5"/>
  <c r="AA39" i="5" s="1"/>
  <c r="H6" i="6"/>
  <c r="AA6" i="6" s="1"/>
  <c r="K95" i="5"/>
  <c r="O95" i="5" s="1"/>
  <c r="H11" i="5"/>
  <c r="AA11" i="5" s="1"/>
  <c r="H14" i="5"/>
  <c r="AA14" i="5" s="1"/>
  <c r="H34" i="6"/>
  <c r="K89" i="5"/>
  <c r="M89" i="5" s="1"/>
  <c r="N89" i="5" s="1"/>
  <c r="G23" i="4"/>
  <c r="I23" i="4" s="1"/>
  <c r="AC23" i="4" s="1"/>
  <c r="K88" i="5"/>
  <c r="H37" i="5"/>
  <c r="AA37" i="5" s="1"/>
  <c r="H22" i="5"/>
  <c r="AA22" i="5" s="1"/>
  <c r="H115" i="5"/>
  <c r="J115" i="5" s="1"/>
  <c r="H73" i="5"/>
  <c r="J73" i="5" s="1"/>
  <c r="G18" i="7"/>
  <c r="AA18" i="7" s="1"/>
  <c r="K8" i="5"/>
  <c r="H13" i="5"/>
  <c r="AA13" i="5" s="1"/>
  <c r="H12" i="5"/>
  <c r="AA12" i="5" s="1"/>
  <c r="K12" i="5"/>
  <c r="AD12" i="5" s="1"/>
  <c r="G23" i="7"/>
  <c r="AA23" i="7" s="1"/>
  <c r="K51" i="5"/>
  <c r="G35" i="4"/>
  <c r="G29" i="7"/>
  <c r="AA29" i="7" s="1"/>
  <c r="K69" i="5"/>
  <c r="O69" i="5" s="1"/>
  <c r="H8" i="5"/>
  <c r="K18" i="5"/>
  <c r="AD18" i="5" s="1"/>
  <c r="G14" i="7"/>
  <c r="AA14" i="7" s="1"/>
  <c r="H18" i="5"/>
  <c r="AA18" i="5" s="1"/>
  <c r="H66" i="5"/>
  <c r="J66" i="5" s="1"/>
  <c r="H11" i="6"/>
  <c r="AA11" i="6" s="1"/>
  <c r="H33" i="6"/>
  <c r="K100" i="5"/>
  <c r="M100" i="5" s="1"/>
  <c r="N100" i="5" s="1"/>
  <c r="G19" i="7"/>
  <c r="AA19" i="7" s="1"/>
  <c r="K103" i="5"/>
  <c r="M103" i="5" s="1"/>
  <c r="N103" i="5" s="1"/>
  <c r="K60" i="5"/>
  <c r="M60" i="5" s="1"/>
  <c r="N60" i="5" s="1"/>
  <c r="AA28" i="6"/>
  <c r="H40" i="6"/>
  <c r="J40" i="6" s="1"/>
  <c r="AC40" i="6" s="1"/>
  <c r="G13" i="7"/>
  <c r="AA13" i="7" s="1"/>
  <c r="H34" i="5"/>
  <c r="AA34" i="5" s="1"/>
  <c r="G38" i="7"/>
  <c r="AA38" i="7" s="1"/>
  <c r="H10" i="5"/>
  <c r="AA10" i="5" s="1"/>
  <c r="K6" i="5"/>
  <c r="AD6" i="5" s="1"/>
  <c r="H101" i="5"/>
  <c r="J101" i="5" s="1"/>
  <c r="K54" i="5"/>
  <c r="O54" i="5" s="1"/>
  <c r="H27" i="6"/>
  <c r="AA27" i="6" s="1"/>
  <c r="H15" i="6"/>
  <c r="G33" i="7"/>
  <c r="AA33" i="7" s="1"/>
  <c r="K107" i="5"/>
  <c r="H23" i="5"/>
  <c r="AA23" i="5" s="1"/>
  <c r="H35" i="5"/>
  <c r="AA35" i="5" s="1"/>
  <c r="H28" i="5"/>
  <c r="AA28" i="5" s="1"/>
  <c r="G38" i="4"/>
  <c r="I38" i="4" s="1"/>
  <c r="AC38" i="4" s="1"/>
  <c r="H13" i="6"/>
  <c r="AA13" i="6" s="1"/>
  <c r="G24" i="7"/>
  <c r="AA24" i="7" s="1"/>
  <c r="H49" i="5"/>
  <c r="J49" i="5" s="1"/>
  <c r="M55" i="5"/>
  <c r="N55" i="5" s="1"/>
  <c r="G25" i="7"/>
  <c r="G16" i="7"/>
  <c r="AA16" i="7" s="1"/>
  <c r="M49" i="5"/>
  <c r="N49" i="5" s="1"/>
  <c r="H35" i="6"/>
  <c r="AA35" i="6" s="1"/>
  <c r="AF40" i="6"/>
  <c r="H19" i="6"/>
  <c r="J19" i="6" s="1"/>
  <c r="AC19" i="6" s="1"/>
  <c r="K67" i="5"/>
  <c r="H67" i="5"/>
  <c r="J67" i="5" s="1"/>
  <c r="G31" i="7"/>
  <c r="AA31" i="7" s="1"/>
  <c r="J27" i="4"/>
  <c r="AD27" i="4" s="1"/>
  <c r="G27" i="4"/>
  <c r="I79" i="7"/>
  <c r="AC79" i="7" s="1"/>
  <c r="I92" i="7"/>
  <c r="AC92" i="7" s="1"/>
  <c r="J15" i="4"/>
  <c r="AD15" i="4" s="1"/>
  <c r="G15" i="4"/>
  <c r="AA15" i="4" s="1"/>
  <c r="K25" i="5"/>
  <c r="AD25" i="5" s="1"/>
  <c r="H38" i="5"/>
  <c r="AA38" i="5" s="1"/>
  <c r="K16" i="5"/>
  <c r="AD16" i="5" s="1"/>
  <c r="K7" i="5"/>
  <c r="AD7" i="5" s="1"/>
  <c r="G22" i="7"/>
  <c r="AA22" i="7" s="1"/>
  <c r="G14" i="4"/>
  <c r="I61" i="7"/>
  <c r="AC61" i="7" s="1"/>
  <c r="I90" i="7"/>
  <c r="AC90" i="7" s="1"/>
  <c r="I51" i="7"/>
  <c r="AC51" i="7" s="1"/>
  <c r="I111" i="7"/>
  <c r="AC111" i="7" s="1"/>
  <c r="I60" i="7"/>
  <c r="AC60" i="7" s="1"/>
  <c r="J32" i="4"/>
  <c r="G32" i="4"/>
  <c r="I69" i="7"/>
  <c r="AC69" i="7" s="1"/>
  <c r="I63" i="7"/>
  <c r="AC63" i="7" s="1"/>
  <c r="I48" i="7"/>
  <c r="AC48" i="7" s="1"/>
  <c r="I117" i="7"/>
  <c r="AC117" i="7" s="1"/>
  <c r="J9" i="4"/>
  <c r="AD9" i="4" s="1"/>
  <c r="G9" i="4"/>
  <c r="I110" i="7"/>
  <c r="AC110" i="7" s="1"/>
  <c r="I58" i="7"/>
  <c r="AC58" i="7" s="1"/>
  <c r="J20" i="4"/>
  <c r="AD20" i="4" s="1"/>
  <c r="G20" i="4"/>
  <c r="AA20" i="4" s="1"/>
  <c r="I103" i="7"/>
  <c r="AC103" i="7" s="1"/>
  <c r="J8" i="4"/>
  <c r="AD8" i="4" s="1"/>
  <c r="G8" i="4"/>
  <c r="H94" i="5"/>
  <c r="J94" i="5" s="1"/>
  <c r="J21" i="4"/>
  <c r="AD21" i="4" s="1"/>
  <c r="G21" i="4"/>
  <c r="I98" i="7"/>
  <c r="AC98" i="7" s="1"/>
  <c r="I86" i="7"/>
  <c r="AC86" i="7" s="1"/>
  <c r="K38" i="5"/>
  <c r="AD38" i="5" s="1"/>
  <c r="G11" i="4"/>
  <c r="I11" i="4" s="1"/>
  <c r="AC11" i="4" s="1"/>
  <c r="H39" i="6"/>
  <c r="AA39" i="6" s="1"/>
  <c r="I107" i="7"/>
  <c r="AC107" i="7" s="1"/>
  <c r="I89" i="7"/>
  <c r="AC89" i="7" s="1"/>
  <c r="I119" i="7"/>
  <c r="AC119" i="7" s="1"/>
  <c r="H45" i="5"/>
  <c r="J45" i="5" s="1"/>
  <c r="K45" i="5"/>
  <c r="I93" i="7"/>
  <c r="AC93" i="7" s="1"/>
  <c r="I50" i="7"/>
  <c r="AC50" i="7" s="1"/>
  <c r="I52" i="7"/>
  <c r="AC52" i="7" s="1"/>
  <c r="I91" i="7"/>
  <c r="AC91" i="7" s="1"/>
  <c r="I62" i="7"/>
  <c r="AC62" i="7" s="1"/>
  <c r="I54" i="7"/>
  <c r="AC54" i="7" s="1"/>
  <c r="I100" i="7"/>
  <c r="AC100" i="7" s="1"/>
  <c r="I55" i="7"/>
  <c r="AC55" i="7" s="1"/>
  <c r="I113" i="7"/>
  <c r="AC113" i="7" s="1"/>
  <c r="I65" i="7"/>
  <c r="AC65" i="7" s="1"/>
  <c r="I88" i="7"/>
  <c r="AC88" i="7" s="1"/>
  <c r="I75" i="7"/>
  <c r="AC75" i="7" s="1"/>
  <c r="I74" i="7"/>
  <c r="AC74" i="7" s="1"/>
  <c r="I87" i="7"/>
  <c r="AC87" i="7" s="1"/>
  <c r="AF108" i="7"/>
  <c r="M108" i="7"/>
  <c r="AG108" i="7" s="1"/>
  <c r="G17" i="4"/>
  <c r="J17" i="4"/>
  <c r="AD17" i="4" s="1"/>
  <c r="G33" i="4"/>
  <c r="J33" i="4"/>
  <c r="AD33" i="4" s="1"/>
  <c r="I64" i="7"/>
  <c r="AC64" i="7" s="1"/>
  <c r="I68" i="7"/>
  <c r="AC68" i="7" s="1"/>
  <c r="I66" i="7"/>
  <c r="AC66" i="7" s="1"/>
  <c r="H7" i="6"/>
  <c r="I102" i="7"/>
  <c r="AC102" i="7" s="1"/>
  <c r="I109" i="7"/>
  <c r="AC109" i="7" s="1"/>
  <c r="H32" i="6"/>
  <c r="AA32" i="6" s="1"/>
  <c r="I78" i="7"/>
  <c r="AC78" i="7" s="1"/>
  <c r="I57" i="7"/>
  <c r="AC57" i="7" s="1"/>
  <c r="AA85" i="7"/>
  <c r="I85" i="7"/>
  <c r="AC85" i="7" s="1"/>
  <c r="I71" i="7"/>
  <c r="AC71" i="7" s="1"/>
  <c r="I95" i="7"/>
  <c r="AC95" i="7" s="1"/>
  <c r="I73" i="7"/>
  <c r="AC73" i="7" s="1"/>
  <c r="I112" i="7"/>
  <c r="AC112" i="7" s="1"/>
  <c r="I59" i="7"/>
  <c r="AC59" i="7" s="1"/>
  <c r="I104" i="7"/>
  <c r="AC104" i="7" s="1"/>
  <c r="G29" i="4"/>
  <c r="J29" i="4"/>
  <c r="AD29" i="4" s="1"/>
  <c r="I115" i="7"/>
  <c r="AC115" i="7" s="1"/>
  <c r="I94" i="7"/>
  <c r="AC94" i="7" s="1"/>
  <c r="I47" i="7"/>
  <c r="AC47" i="7" s="1"/>
  <c r="I56" i="7"/>
  <c r="AC56" i="7" s="1"/>
  <c r="H25" i="6"/>
  <c r="I108" i="7"/>
  <c r="AC108" i="7" s="1"/>
  <c r="H25" i="5"/>
  <c r="AA25" i="5" s="1"/>
  <c r="I67" i="7"/>
  <c r="AC67" i="7" s="1"/>
  <c r="I118" i="7"/>
  <c r="AC118" i="7" s="1"/>
  <c r="I49" i="7"/>
  <c r="AC49" i="7" s="1"/>
  <c r="I70" i="7"/>
  <c r="AC70" i="7" s="1"/>
  <c r="I97" i="7"/>
  <c r="AC97" i="7" s="1"/>
  <c r="I101" i="7"/>
  <c r="AC101" i="7" s="1"/>
  <c r="L45" i="7"/>
  <c r="AF45" i="7" s="1"/>
  <c r="I53" i="7"/>
  <c r="AC53" i="7" s="1"/>
  <c r="I96" i="7"/>
  <c r="AC96" i="7" s="1"/>
  <c r="I72" i="7"/>
  <c r="AC72" i="7" s="1"/>
  <c r="I99" i="7"/>
  <c r="AC99" i="7" s="1"/>
  <c r="I105" i="7"/>
  <c r="AC105" i="7" s="1"/>
  <c r="I106" i="7"/>
  <c r="AC106" i="7" s="1"/>
  <c r="I77" i="7"/>
  <c r="AC77" i="7" s="1"/>
  <c r="I114" i="7"/>
  <c r="AC114" i="7" s="1"/>
  <c r="I46" i="7"/>
  <c r="AC46" i="7" s="1"/>
  <c r="AA18" i="6"/>
  <c r="J18" i="6"/>
  <c r="AC18" i="6" s="1"/>
  <c r="AA26" i="6"/>
  <c r="J12" i="6"/>
  <c r="AC12" i="6" s="1"/>
  <c r="AA36" i="6"/>
  <c r="O37" i="6"/>
  <c r="AH37" i="6" s="1"/>
  <c r="AD37" i="6"/>
  <c r="M37" i="6"/>
  <c r="M35" i="6"/>
  <c r="O35" i="6"/>
  <c r="AH35" i="6" s="1"/>
  <c r="AD35" i="6"/>
  <c r="M11" i="6"/>
  <c r="AD11" i="6"/>
  <c r="O11" i="6"/>
  <c r="AH11" i="6" s="1"/>
  <c r="AD15" i="6"/>
  <c r="M15" i="6"/>
  <c r="O15" i="6"/>
  <c r="AH15" i="6" s="1"/>
  <c r="AD27" i="6"/>
  <c r="O27" i="6"/>
  <c r="AH27" i="6" s="1"/>
  <c r="M27" i="6"/>
  <c r="AD12" i="6"/>
  <c r="O28" i="6"/>
  <c r="AH28" i="6" s="1"/>
  <c r="AD28" i="6"/>
  <c r="M28" i="6"/>
  <c r="O31" i="6"/>
  <c r="AH31" i="6" s="1"/>
  <c r="AD31" i="6"/>
  <c r="O10" i="6"/>
  <c r="AH10" i="6" s="1"/>
  <c r="O18" i="6"/>
  <c r="AH18" i="6" s="1"/>
  <c r="O19" i="6"/>
  <c r="AH19" i="6" s="1"/>
  <c r="AD19" i="6"/>
  <c r="M19" i="6"/>
  <c r="AD33" i="6"/>
  <c r="M33" i="6"/>
  <c r="O33" i="6"/>
  <c r="AH33" i="6" s="1"/>
  <c r="N25" i="6"/>
  <c r="AG25" i="6" s="1"/>
  <c r="AF25" i="6"/>
  <c r="M32" i="6"/>
  <c r="AD32" i="6"/>
  <c r="O32" i="6"/>
  <c r="AH32" i="6" s="1"/>
  <c r="AD39" i="6"/>
  <c r="O39" i="6"/>
  <c r="AH39" i="6" s="1"/>
  <c r="M39" i="6"/>
  <c r="O13" i="6"/>
  <c r="AH13" i="6" s="1"/>
  <c r="AD13" i="6"/>
  <c r="M13" i="6"/>
  <c r="N7" i="6"/>
  <c r="AG7" i="6" s="1"/>
  <c r="AF7" i="6"/>
  <c r="M6" i="6"/>
  <c r="O6" i="6"/>
  <c r="AH6" i="6" s="1"/>
  <c r="N45" i="7"/>
  <c r="G12" i="7"/>
  <c r="AA12" i="7" s="1"/>
  <c r="G28" i="7"/>
  <c r="AA28" i="7" s="1"/>
  <c r="H19" i="5"/>
  <c r="AA19" i="5" s="1"/>
  <c r="K19" i="5"/>
  <c r="AD19" i="5" s="1"/>
  <c r="G37" i="7"/>
  <c r="AA37" i="7" s="1"/>
  <c r="K96" i="5"/>
  <c r="H96" i="5"/>
  <c r="J96" i="5" s="1"/>
  <c r="AD35" i="4"/>
  <c r="N35" i="4"/>
  <c r="AH35" i="4" s="1"/>
  <c r="L35" i="4"/>
  <c r="G39" i="7"/>
  <c r="AA39" i="7" s="1"/>
  <c r="G13" i="4"/>
  <c r="W13" i="4"/>
  <c r="J13" i="4"/>
  <c r="J16" i="4"/>
  <c r="W16" i="4"/>
  <c r="G16" i="4"/>
  <c r="K98" i="5"/>
  <c r="H98" i="5"/>
  <c r="J98" i="5" s="1"/>
  <c r="H117" i="5"/>
  <c r="J117" i="5" s="1"/>
  <c r="K117" i="5"/>
  <c r="M109" i="5"/>
  <c r="N109" i="5" s="1"/>
  <c r="O109" i="5"/>
  <c r="W24" i="4"/>
  <c r="G24" i="4"/>
  <c r="J24" i="4"/>
  <c r="AD26" i="4"/>
  <c r="N26" i="4"/>
  <c r="AH26" i="4" s="1"/>
  <c r="L26" i="4"/>
  <c r="N36" i="4"/>
  <c r="AH36" i="4" s="1"/>
  <c r="AD36" i="4"/>
  <c r="L36" i="4"/>
  <c r="G31" i="4"/>
  <c r="W31" i="4"/>
  <c r="J31" i="4"/>
  <c r="K108" i="5"/>
  <c r="H108" i="5"/>
  <c r="J108" i="5" s="1"/>
  <c r="O61" i="5"/>
  <c r="M61" i="5"/>
  <c r="N61" i="5" s="1"/>
  <c r="G6" i="7"/>
  <c r="G7" i="4"/>
  <c r="W7" i="4"/>
  <c r="J7" i="4"/>
  <c r="K50" i="5"/>
  <c r="H50" i="5"/>
  <c r="J50" i="5" s="1"/>
  <c r="H65" i="5"/>
  <c r="J65" i="5" s="1"/>
  <c r="K65" i="5"/>
  <c r="M85" i="5"/>
  <c r="M97" i="5"/>
  <c r="N97" i="5" s="1"/>
  <c r="O97" i="5"/>
  <c r="K104" i="5"/>
  <c r="H104" i="5"/>
  <c r="J104" i="5" s="1"/>
  <c r="K74" i="5"/>
  <c r="H74" i="5"/>
  <c r="J74" i="5" s="1"/>
  <c r="AA26" i="4"/>
  <c r="I26" i="4"/>
  <c r="AC26" i="4" s="1"/>
  <c r="AA36" i="4"/>
  <c r="I36" i="4"/>
  <c r="AC36" i="4" s="1"/>
  <c r="K70" i="5"/>
  <c r="H70" i="5"/>
  <c r="J70" i="5" s="1"/>
  <c r="H79" i="5"/>
  <c r="J79" i="5" s="1"/>
  <c r="K79" i="5"/>
  <c r="W6" i="4"/>
  <c r="G6" i="4"/>
  <c r="J6" i="4"/>
  <c r="K46" i="5"/>
  <c r="H46" i="5"/>
  <c r="J46" i="5" s="1"/>
  <c r="K52" i="5"/>
  <c r="H52" i="5"/>
  <c r="J52" i="5" s="1"/>
  <c r="J22" i="4"/>
  <c r="W22" i="4"/>
  <c r="G22" i="4"/>
  <c r="H102" i="5"/>
  <c r="J102" i="5" s="1"/>
  <c r="K102" i="5"/>
  <c r="O66" i="5"/>
  <c r="M66" i="5"/>
  <c r="N66" i="5" s="1"/>
  <c r="H53" i="5"/>
  <c r="J53" i="5" s="1"/>
  <c r="K53" i="5"/>
  <c r="M113" i="5"/>
  <c r="N113" i="5" s="1"/>
  <c r="O113" i="5"/>
  <c r="W37" i="4"/>
  <c r="G37" i="4"/>
  <c r="J37" i="4"/>
  <c r="O73" i="5"/>
  <c r="M73" i="5"/>
  <c r="N73" i="5" s="1"/>
  <c r="K64" i="5"/>
  <c r="H64" i="5"/>
  <c r="J64" i="5" s="1"/>
  <c r="O76" i="5"/>
  <c r="M76" i="5"/>
  <c r="N76" i="5" s="1"/>
  <c r="H111" i="5"/>
  <c r="J111" i="5" s="1"/>
  <c r="K111" i="5"/>
  <c r="W30" i="4"/>
  <c r="G30" i="4"/>
  <c r="J30" i="4"/>
  <c r="O106" i="5"/>
  <c r="M106" i="5"/>
  <c r="N106" i="5" s="1"/>
  <c r="H87" i="5"/>
  <c r="J87" i="5" s="1"/>
  <c r="K87" i="5"/>
  <c r="K90" i="5"/>
  <c r="H90" i="5"/>
  <c r="J90" i="5" s="1"/>
  <c r="H92" i="5"/>
  <c r="J92" i="5" s="1"/>
  <c r="K92" i="5"/>
  <c r="H105" i="5"/>
  <c r="J105" i="5" s="1"/>
  <c r="K105" i="5"/>
  <c r="O112" i="5"/>
  <c r="M112" i="5"/>
  <c r="N112" i="5" s="1"/>
  <c r="H93" i="5"/>
  <c r="J93" i="5" s="1"/>
  <c r="K93" i="5"/>
  <c r="M115" i="5"/>
  <c r="N115" i="5" s="1"/>
  <c r="O115" i="5"/>
  <c r="W18" i="4"/>
  <c r="G18" i="4"/>
  <c r="J18" i="4"/>
  <c r="H77" i="5"/>
  <c r="J77" i="5" s="1"/>
  <c r="K77" i="5"/>
  <c r="O118" i="5"/>
  <c r="M118" i="5"/>
  <c r="N118" i="5" s="1"/>
  <c r="M48" i="5"/>
  <c r="N48" i="5" s="1"/>
  <c r="O48" i="5"/>
  <c r="K24" i="5"/>
  <c r="AD24" i="5" s="1"/>
  <c r="K114" i="5"/>
  <c r="H114" i="5"/>
  <c r="J114" i="5" s="1"/>
  <c r="O94" i="5"/>
  <c r="M94" i="5"/>
  <c r="N94" i="5" s="1"/>
  <c r="AA5" i="4"/>
  <c r="I5" i="4"/>
  <c r="AC5" i="4" s="1"/>
  <c r="H71" i="5"/>
  <c r="J71" i="5" s="1"/>
  <c r="K71" i="5"/>
  <c r="AD14" i="4"/>
  <c r="N14" i="4"/>
  <c r="AH14" i="4" s="1"/>
  <c r="L14" i="4"/>
  <c r="H47" i="5"/>
  <c r="J47" i="5" s="1"/>
  <c r="K47" i="5"/>
  <c r="J10" i="4"/>
  <c r="W10" i="4"/>
  <c r="G10" i="4"/>
  <c r="W19" i="4"/>
  <c r="G19" i="4"/>
  <c r="J19" i="4"/>
  <c r="K62" i="5"/>
  <c r="H62" i="5"/>
  <c r="J62" i="5" s="1"/>
  <c r="AD23" i="4"/>
  <c r="N23" i="4"/>
  <c r="AH23" i="4" s="1"/>
  <c r="L23" i="4"/>
  <c r="O57" i="5"/>
  <c r="M57" i="5"/>
  <c r="N57" i="5" s="1"/>
  <c r="O63" i="5"/>
  <c r="M63" i="5"/>
  <c r="N63" i="5" s="1"/>
  <c r="M72" i="5"/>
  <c r="N72" i="5" s="1"/>
  <c r="O72" i="5"/>
  <c r="AD11" i="4"/>
  <c r="N11" i="4"/>
  <c r="AH11" i="4" s="1"/>
  <c r="L11" i="4"/>
  <c r="AD38" i="4"/>
  <c r="N38" i="4"/>
  <c r="AH38" i="4" s="1"/>
  <c r="L38" i="4"/>
  <c r="H119" i="5"/>
  <c r="J119" i="5" s="1"/>
  <c r="K119" i="5"/>
  <c r="H59" i="5"/>
  <c r="J59" i="5" s="1"/>
  <c r="K59" i="5"/>
  <c r="M91" i="5"/>
  <c r="N91" i="5" s="1"/>
  <c r="O91" i="5"/>
  <c r="G30" i="7"/>
  <c r="AA30" i="7" s="1"/>
  <c r="G34" i="7"/>
  <c r="AA34" i="7" s="1"/>
  <c r="M101" i="5"/>
  <c r="N101" i="5" s="1"/>
  <c r="O101" i="5"/>
  <c r="H56" i="5"/>
  <c r="J56" i="5" s="1"/>
  <c r="K56" i="5"/>
  <c r="O78" i="5"/>
  <c r="M78" i="5"/>
  <c r="N78" i="5" s="1"/>
  <c r="K58" i="5"/>
  <c r="H58" i="5"/>
  <c r="J58" i="5" s="1"/>
  <c r="J34" i="4"/>
  <c r="G34" i="4"/>
  <c r="W34" i="4"/>
  <c r="N5" i="4"/>
  <c r="AH5" i="4" s="1"/>
  <c r="AD5" i="4"/>
  <c r="L5" i="4"/>
  <c r="W28" i="4"/>
  <c r="J28" i="4"/>
  <c r="G28" i="4"/>
  <c r="H68" i="5"/>
  <c r="J68" i="5" s="1"/>
  <c r="K68" i="5"/>
  <c r="K110" i="5"/>
  <c r="H110" i="5"/>
  <c r="J110" i="5" s="1"/>
  <c r="W39" i="4"/>
  <c r="J39" i="4"/>
  <c r="G39" i="4"/>
  <c r="K86" i="5"/>
  <c r="H86" i="5"/>
  <c r="J86" i="5" s="1"/>
  <c r="W12" i="4"/>
  <c r="G12" i="4"/>
  <c r="J12" i="4"/>
  <c r="H99" i="5"/>
  <c r="J99" i="5" s="1"/>
  <c r="K99" i="5"/>
  <c r="G25" i="4"/>
  <c r="W25" i="4"/>
  <c r="J25" i="4"/>
  <c r="L6" i="7"/>
  <c r="AD6" i="7"/>
  <c r="N6" i="7"/>
  <c r="AH6" i="7" s="1"/>
  <c r="N5" i="7"/>
  <c r="AH5" i="7" s="1"/>
  <c r="L8" i="7"/>
  <c r="AD8" i="7"/>
  <c r="N8" i="7"/>
  <c r="AH8" i="7" s="1"/>
  <c r="L9" i="7"/>
  <c r="AF9" i="7" s="1"/>
  <c r="AD9" i="7"/>
  <c r="AD10" i="7"/>
  <c r="N10" i="7"/>
  <c r="AH10" i="7" s="1"/>
  <c r="L10" i="7"/>
  <c r="AD11" i="7"/>
  <c r="L11" i="7"/>
  <c r="AF11" i="7" s="1"/>
  <c r="L7" i="7"/>
  <c r="AF7" i="7" s="1"/>
  <c r="AD7" i="7"/>
  <c r="I5" i="7"/>
  <c r="AC5" i="7" s="1"/>
  <c r="AA8" i="7"/>
  <c r="L5" i="7"/>
  <c r="AF5" i="7" s="1"/>
  <c r="N7" i="7"/>
  <c r="AH7" i="7" s="1"/>
  <c r="N11" i="7"/>
  <c r="AH11" i="7" s="1"/>
  <c r="N12" i="7"/>
  <c r="AH12" i="7" s="1"/>
  <c r="L12" i="7"/>
  <c r="AF12" i="7" s="1"/>
  <c r="N21" i="7"/>
  <c r="AH21" i="7" s="1"/>
  <c r="L21" i="7"/>
  <c r="AF21" i="7" s="1"/>
  <c r="N18" i="7"/>
  <c r="AH18" i="7" s="1"/>
  <c r="L18" i="7"/>
  <c r="AF18" i="7" s="1"/>
  <c r="N20" i="7"/>
  <c r="AH20" i="7" s="1"/>
  <c r="L20" i="7"/>
  <c r="AF20" i="7" s="1"/>
  <c r="N22" i="7"/>
  <c r="AH22" i="7" s="1"/>
  <c r="L22" i="7"/>
  <c r="AF22" i="7" s="1"/>
  <c r="N23" i="7"/>
  <c r="AH23" i="7" s="1"/>
  <c r="L23" i="7"/>
  <c r="AF23" i="7" s="1"/>
  <c r="N33" i="7"/>
  <c r="AH33" i="7" s="1"/>
  <c r="L33" i="7"/>
  <c r="AF33" i="7" s="1"/>
  <c r="N29" i="7"/>
  <c r="AH29" i="7" s="1"/>
  <c r="L29" i="7"/>
  <c r="AF29" i="7" s="1"/>
  <c r="N13" i="7"/>
  <c r="AH13" i="7" s="1"/>
  <c r="L13" i="7"/>
  <c r="AF13" i="7" s="1"/>
  <c r="N24" i="7"/>
  <c r="AH24" i="7" s="1"/>
  <c r="L24" i="7"/>
  <c r="AF24" i="7" s="1"/>
  <c r="N16" i="7"/>
  <c r="AH16" i="7" s="1"/>
  <c r="L16" i="7"/>
  <c r="AF16" i="7" s="1"/>
  <c r="N17" i="7"/>
  <c r="AH17" i="7" s="1"/>
  <c r="L17" i="7"/>
  <c r="AF17" i="7" s="1"/>
  <c r="N25" i="7"/>
  <c r="AH25" i="7" s="1"/>
  <c r="L25" i="7"/>
  <c r="AF25" i="7" s="1"/>
  <c r="I32" i="7"/>
  <c r="AC32" i="7" s="1"/>
  <c r="N37" i="7"/>
  <c r="AH37" i="7" s="1"/>
  <c r="L37" i="7"/>
  <c r="AF37" i="7" s="1"/>
  <c r="N14" i="7"/>
  <c r="AH14" i="7" s="1"/>
  <c r="L14" i="7"/>
  <c r="AF14" i="7" s="1"/>
  <c r="N38" i="7"/>
  <c r="AH38" i="7" s="1"/>
  <c r="L38" i="7"/>
  <c r="AF38" i="7" s="1"/>
  <c r="N30" i="7"/>
  <c r="AH30" i="7" s="1"/>
  <c r="L30" i="7"/>
  <c r="AF30" i="7" s="1"/>
  <c r="N32" i="7"/>
  <c r="AH32" i="7" s="1"/>
  <c r="L32" i="7"/>
  <c r="AF32" i="7" s="1"/>
  <c r="N34" i="7"/>
  <c r="AH34" i="7" s="1"/>
  <c r="L34" i="7"/>
  <c r="AF34" i="7" s="1"/>
  <c r="N19" i="7"/>
  <c r="AH19" i="7" s="1"/>
  <c r="L19" i="7"/>
  <c r="AF19" i="7" s="1"/>
  <c r="N27" i="7"/>
  <c r="AH27" i="7" s="1"/>
  <c r="L27" i="7"/>
  <c r="AF27" i="7" s="1"/>
  <c r="I36" i="7"/>
  <c r="AC36" i="7" s="1"/>
  <c r="N39" i="7"/>
  <c r="AH39" i="7" s="1"/>
  <c r="L39" i="7"/>
  <c r="AF39" i="7" s="1"/>
  <c r="N35" i="7"/>
  <c r="AH35" i="7" s="1"/>
  <c r="L35" i="7"/>
  <c r="AF35" i="7" s="1"/>
  <c r="I17" i="7"/>
  <c r="AC17" i="7" s="1"/>
  <c r="N36" i="7"/>
  <c r="AH36" i="7" s="1"/>
  <c r="L36" i="7"/>
  <c r="AF36" i="7" s="1"/>
  <c r="I26" i="7"/>
  <c r="AC26" i="7" s="1"/>
  <c r="N28" i="7"/>
  <c r="AH28" i="7" s="1"/>
  <c r="L28" i="7"/>
  <c r="AF28" i="7" s="1"/>
  <c r="I20" i="7"/>
  <c r="AC20" i="7" s="1"/>
  <c r="N31" i="7"/>
  <c r="AH31" i="7" s="1"/>
  <c r="L31" i="7"/>
  <c r="AF31" i="7" s="1"/>
  <c r="N15" i="7"/>
  <c r="AH15" i="7" s="1"/>
  <c r="L15" i="7"/>
  <c r="AF15" i="7" s="1"/>
  <c r="I27" i="7"/>
  <c r="AC27" i="7" s="1"/>
  <c r="N26" i="7"/>
  <c r="AH26" i="7" s="1"/>
  <c r="L26" i="7"/>
  <c r="AF26" i="7" s="1"/>
  <c r="I35" i="7"/>
  <c r="AC35" i="7" s="1"/>
  <c r="K33" i="5"/>
  <c r="AD33" i="5" s="1"/>
  <c r="O85" i="5"/>
  <c r="K30" i="5"/>
  <c r="AD30" i="5" s="1"/>
  <c r="K31" i="5"/>
  <c r="AD31" i="5" s="1"/>
  <c r="H30" i="5"/>
  <c r="AA30" i="5" s="1"/>
  <c r="H33" i="5"/>
  <c r="AA33" i="5" s="1"/>
  <c r="H31" i="5"/>
  <c r="AA31" i="5" s="1"/>
  <c r="O5" i="5"/>
  <c r="AH5" i="5" s="1"/>
  <c r="M5" i="5"/>
  <c r="AF5" i="5" s="1"/>
  <c r="O27" i="5"/>
  <c r="AH27" i="5" s="1"/>
  <c r="M27" i="5"/>
  <c r="AF27" i="5" s="1"/>
  <c r="O36" i="5"/>
  <c r="AH36" i="5" s="1"/>
  <c r="M36" i="5"/>
  <c r="AF36" i="5" s="1"/>
  <c r="J26" i="5"/>
  <c r="AC26" i="5" s="1"/>
  <c r="J9" i="5"/>
  <c r="AC9" i="5" s="1"/>
  <c r="O26" i="5"/>
  <c r="AH26" i="5" s="1"/>
  <c r="M26" i="5"/>
  <c r="AF26" i="5" s="1"/>
  <c r="O29" i="5"/>
  <c r="AH29" i="5" s="1"/>
  <c r="M29" i="5"/>
  <c r="AF29" i="5" s="1"/>
  <c r="O21" i="5"/>
  <c r="AH21" i="5" s="1"/>
  <c r="M21" i="5"/>
  <c r="AF21" i="5" s="1"/>
  <c r="J36" i="5"/>
  <c r="AC36" i="5" s="1"/>
  <c r="J32" i="5"/>
  <c r="AC32" i="5" s="1"/>
  <c r="J29" i="5"/>
  <c r="AC29" i="5" s="1"/>
  <c r="J21" i="5"/>
  <c r="AC21" i="5" s="1"/>
  <c r="O32" i="5"/>
  <c r="AH32" i="5" s="1"/>
  <c r="M32" i="5"/>
  <c r="AF32" i="5" s="1"/>
  <c r="J5" i="5"/>
  <c r="AC5" i="5" s="1"/>
  <c r="J27" i="5"/>
  <c r="AC27" i="5" s="1"/>
  <c r="O9" i="5"/>
  <c r="AH9" i="5" s="1"/>
  <c r="M9" i="5"/>
  <c r="AF9" i="5" s="1"/>
  <c r="J20" i="5"/>
  <c r="AC20" i="5" s="1"/>
  <c r="O17" i="5"/>
  <c r="AH17" i="5" s="1"/>
  <c r="M17" i="5"/>
  <c r="AF17" i="5" s="1"/>
  <c r="O20" i="5"/>
  <c r="AH20" i="5" s="1"/>
  <c r="M20" i="5"/>
  <c r="AF20" i="5" s="1"/>
  <c r="J17" i="5"/>
  <c r="AC17" i="5" s="1"/>
  <c r="AD9" i="6" l="1"/>
  <c r="M29" i="6"/>
  <c r="AD18" i="6"/>
  <c r="J30" i="6"/>
  <c r="AC30" i="6" s="1"/>
  <c r="AA29" i="6"/>
  <c r="J9" i="6"/>
  <c r="AC9" i="6" s="1"/>
  <c r="AD36" i="6"/>
  <c r="O12" i="6"/>
  <c r="AH12" i="6" s="1"/>
  <c r="N34" i="6"/>
  <c r="AG34" i="6" s="1"/>
  <c r="M10" i="6"/>
  <c r="N10" i="6" s="1"/>
  <c r="AG10" i="6" s="1"/>
  <c r="AD8" i="6"/>
  <c r="O26" i="6"/>
  <c r="AH26" i="6" s="1"/>
  <c r="J8" i="6"/>
  <c r="AC8" i="6" s="1"/>
  <c r="M36" i="6"/>
  <c r="N36" i="6" s="1"/>
  <c r="AG36" i="6" s="1"/>
  <c r="M26" i="6"/>
  <c r="AF26" i="6" s="1"/>
  <c r="J17" i="6"/>
  <c r="AC17" i="6" s="1"/>
  <c r="J16" i="6"/>
  <c r="AC16" i="6" s="1"/>
  <c r="O30" i="6"/>
  <c r="AH30" i="6" s="1"/>
  <c r="J23" i="6"/>
  <c r="AC23" i="6" s="1"/>
  <c r="J38" i="6"/>
  <c r="AC38" i="6" s="1"/>
  <c r="M17" i="6"/>
  <c r="N17" i="6" s="1"/>
  <c r="AG17" i="6" s="1"/>
  <c r="O29" i="6"/>
  <c r="AH29" i="6" s="1"/>
  <c r="O8" i="6"/>
  <c r="AH8" i="6" s="1"/>
  <c r="AD30" i="6"/>
  <c r="M38" i="6"/>
  <c r="AF38" i="6" s="1"/>
  <c r="AA20" i="6"/>
  <c r="J22" i="6"/>
  <c r="AC22" i="6" s="1"/>
  <c r="AD14" i="6"/>
  <c r="M22" i="6"/>
  <c r="N22" i="6" s="1"/>
  <c r="AG22" i="6" s="1"/>
  <c r="O17" i="6"/>
  <c r="AH17" i="6" s="1"/>
  <c r="O23" i="6"/>
  <c r="AH23" i="6" s="1"/>
  <c r="M9" i="6"/>
  <c r="N9" i="6" s="1"/>
  <c r="AG9" i="6" s="1"/>
  <c r="M14" i="6"/>
  <c r="N14" i="6" s="1"/>
  <c r="AG14" i="6" s="1"/>
  <c r="AA21" i="6"/>
  <c r="AA24" i="6"/>
  <c r="O22" i="6"/>
  <c r="AH22" i="6" s="1"/>
  <c r="M23" i="6"/>
  <c r="N23" i="6" s="1"/>
  <c r="AG23" i="6" s="1"/>
  <c r="J14" i="6"/>
  <c r="AC14" i="6" s="1"/>
  <c r="AA31" i="6"/>
  <c r="O21" i="6"/>
  <c r="AH21" i="6" s="1"/>
  <c r="M21" i="6"/>
  <c r="AD21" i="6"/>
  <c r="M24" i="6"/>
  <c r="O24" i="6"/>
  <c r="AH24" i="6" s="1"/>
  <c r="O20" i="6"/>
  <c r="AH20" i="6" s="1"/>
  <c r="AD20" i="6"/>
  <c r="M20" i="6"/>
  <c r="AD16" i="6"/>
  <c r="O16" i="6"/>
  <c r="AH16" i="6" s="1"/>
  <c r="M16" i="6"/>
  <c r="O38" i="6"/>
  <c r="AH38" i="6" s="1"/>
  <c r="AA10" i="6"/>
  <c r="AD24" i="6"/>
  <c r="K127" i="7"/>
  <c r="K25" i="7" s="1"/>
  <c r="I9" i="7"/>
  <c r="AC9" i="7" s="1"/>
  <c r="I15" i="7"/>
  <c r="AC15" i="7" s="1"/>
  <c r="AA38" i="4"/>
  <c r="M37" i="5"/>
  <c r="AF37" i="5" s="1"/>
  <c r="M35" i="5"/>
  <c r="AF35" i="5" s="1"/>
  <c r="M28" i="5"/>
  <c r="AF28" i="5" s="1"/>
  <c r="O7" i="5"/>
  <c r="AH7" i="5" s="1"/>
  <c r="M34" i="5"/>
  <c r="AF34" i="5" s="1"/>
  <c r="O37" i="5"/>
  <c r="AH37" i="5" s="1"/>
  <c r="AA25" i="7"/>
  <c r="K7" i="7"/>
  <c r="AE7" i="7" s="1"/>
  <c r="O28" i="5"/>
  <c r="AH28" i="5" s="1"/>
  <c r="J24" i="5"/>
  <c r="AC24" i="5" s="1"/>
  <c r="O34" i="5"/>
  <c r="AH34" i="5" s="1"/>
  <c r="O35" i="5"/>
  <c r="AH35" i="5" s="1"/>
  <c r="M23" i="5"/>
  <c r="AF23" i="5" s="1"/>
  <c r="J15" i="5"/>
  <c r="AC15" i="5" s="1"/>
  <c r="M15" i="5"/>
  <c r="AF15" i="5" s="1"/>
  <c r="J34" i="5"/>
  <c r="AC34" i="5" s="1"/>
  <c r="O23" i="5"/>
  <c r="AH23" i="5" s="1"/>
  <c r="O22" i="5"/>
  <c r="AH22" i="5" s="1"/>
  <c r="M13" i="5"/>
  <c r="AF13" i="5" s="1"/>
  <c r="O10" i="5"/>
  <c r="AH10" i="5" s="1"/>
  <c r="AA23" i="4"/>
  <c r="AA35" i="4"/>
  <c r="AA11" i="4"/>
  <c r="I7" i="7"/>
  <c r="AC7" i="7" s="1"/>
  <c r="I29" i="4"/>
  <c r="AC29" i="4" s="1"/>
  <c r="AA29" i="4"/>
  <c r="I33" i="4"/>
  <c r="AC33" i="4" s="1"/>
  <c r="AA33" i="4"/>
  <c r="I21" i="4"/>
  <c r="AC21" i="4" s="1"/>
  <c r="AA21" i="4"/>
  <c r="I32" i="4"/>
  <c r="AC32" i="4" s="1"/>
  <c r="AA32" i="4"/>
  <c r="I27" i="4"/>
  <c r="AC27" i="4" s="1"/>
  <c r="AA27" i="4"/>
  <c r="O15" i="5"/>
  <c r="AH15" i="5" s="1"/>
  <c r="AA14" i="4"/>
  <c r="I9" i="4"/>
  <c r="AC9" i="4" s="1"/>
  <c r="AA9" i="4"/>
  <c r="I29" i="7"/>
  <c r="AC29" i="7" s="1"/>
  <c r="I17" i="4"/>
  <c r="AC17" i="4" s="1"/>
  <c r="AA17" i="4"/>
  <c r="J7" i="5"/>
  <c r="AC7" i="5" s="1"/>
  <c r="M11" i="5"/>
  <c r="AF11" i="5" s="1"/>
  <c r="M22" i="5"/>
  <c r="AF22" i="5" s="1"/>
  <c r="O11" i="5"/>
  <c r="AH11" i="5" s="1"/>
  <c r="I8" i="4"/>
  <c r="AC8" i="4" s="1"/>
  <c r="AA8" i="4"/>
  <c r="AA33" i="6"/>
  <c r="I11" i="7"/>
  <c r="AC11" i="7" s="1"/>
  <c r="O12" i="5"/>
  <c r="AH12" i="5" s="1"/>
  <c r="N39" i="5"/>
  <c r="AG39" i="5" s="1"/>
  <c r="AD39" i="5"/>
  <c r="O39" i="5"/>
  <c r="AH39" i="5" s="1"/>
  <c r="M8" i="5"/>
  <c r="AF8" i="5" s="1"/>
  <c r="AD8" i="5"/>
  <c r="J16" i="5"/>
  <c r="AC16" i="5" s="1"/>
  <c r="O13" i="5"/>
  <c r="AH13" i="5" s="1"/>
  <c r="M10" i="5"/>
  <c r="AF10" i="5" s="1"/>
  <c r="I10" i="7"/>
  <c r="AC10" i="7" s="1"/>
  <c r="J6" i="5"/>
  <c r="AC6" i="5" s="1"/>
  <c r="I14" i="7"/>
  <c r="AC14" i="7" s="1"/>
  <c r="I21" i="7"/>
  <c r="AC21" i="7" s="1"/>
  <c r="I35" i="4"/>
  <c r="AC35" i="4" s="1"/>
  <c r="M14" i="5"/>
  <c r="AF14" i="5" s="1"/>
  <c r="O14" i="5"/>
  <c r="AH14" i="5" s="1"/>
  <c r="J39" i="5"/>
  <c r="AC39" i="5" s="1"/>
  <c r="M95" i="5"/>
  <c r="N95" i="5" s="1"/>
  <c r="M75" i="5"/>
  <c r="N75" i="5" s="1"/>
  <c r="M88" i="5"/>
  <c r="N88" i="5" s="1"/>
  <c r="J14" i="5"/>
  <c r="AC14" i="5" s="1"/>
  <c r="O75" i="5"/>
  <c r="J11" i="5"/>
  <c r="AC11" i="5" s="1"/>
  <c r="J22" i="5"/>
  <c r="AC22" i="5" s="1"/>
  <c r="J6" i="6"/>
  <c r="AC6" i="6" s="1"/>
  <c r="J34" i="6"/>
  <c r="AC34" i="6" s="1"/>
  <c r="J35" i="6"/>
  <c r="AC35" i="6" s="1"/>
  <c r="AA34" i="6"/>
  <c r="I31" i="7"/>
  <c r="AC31" i="7" s="1"/>
  <c r="I24" i="7"/>
  <c r="AC24" i="7" s="1"/>
  <c r="J18" i="5"/>
  <c r="AC18" i="5" s="1"/>
  <c r="M69" i="5"/>
  <c r="N69" i="5" s="1"/>
  <c r="O103" i="5"/>
  <c r="J10" i="5"/>
  <c r="AC10" i="5" s="1"/>
  <c r="M18" i="5"/>
  <c r="AF18" i="5" s="1"/>
  <c r="O89" i="5"/>
  <c r="O18" i="5"/>
  <c r="AH18" i="5" s="1"/>
  <c r="J37" i="5"/>
  <c r="AC37" i="5" s="1"/>
  <c r="I23" i="7"/>
  <c r="AC23" i="7" s="1"/>
  <c r="M51" i="5"/>
  <c r="N51" i="5" s="1"/>
  <c r="O51" i="5"/>
  <c r="I14" i="4"/>
  <c r="AC14" i="4" s="1"/>
  <c r="M12" i="5"/>
  <c r="AF12" i="5" s="1"/>
  <c r="J33" i="6"/>
  <c r="AC33" i="6" s="1"/>
  <c r="O88" i="5"/>
  <c r="AA15" i="6"/>
  <c r="O60" i="5"/>
  <c r="J11" i="6"/>
  <c r="AC11" i="6" s="1"/>
  <c r="J27" i="6"/>
  <c r="AC27" i="6" s="1"/>
  <c r="J15" i="6"/>
  <c r="AC15" i="6" s="1"/>
  <c r="J28" i="5"/>
  <c r="AC28" i="5" s="1"/>
  <c r="I38" i="7"/>
  <c r="AC38" i="7" s="1"/>
  <c r="I18" i="7"/>
  <c r="AC18" i="7" s="1"/>
  <c r="J12" i="5"/>
  <c r="AC12" i="5" s="1"/>
  <c r="J23" i="5"/>
  <c r="AC23" i="5" s="1"/>
  <c r="I13" i="7"/>
  <c r="AC13" i="7" s="1"/>
  <c r="O8" i="5"/>
  <c r="AH8" i="5" s="1"/>
  <c r="M38" i="5"/>
  <c r="AF38" i="5" s="1"/>
  <c r="O38" i="5"/>
  <c r="AH38" i="5" s="1"/>
  <c r="O100" i="5"/>
  <c r="J13" i="5"/>
  <c r="AC13" i="5" s="1"/>
  <c r="I37" i="7"/>
  <c r="AC37" i="7" s="1"/>
  <c r="I28" i="7"/>
  <c r="AC28" i="7" s="1"/>
  <c r="M107" i="5"/>
  <c r="N107" i="5" s="1"/>
  <c r="I25" i="7"/>
  <c r="AC25" i="7" s="1"/>
  <c r="M25" i="5"/>
  <c r="AF25" i="5" s="1"/>
  <c r="AA19" i="6"/>
  <c r="AA8" i="5"/>
  <c r="J8" i="5"/>
  <c r="AC8" i="5" s="1"/>
  <c r="O25" i="5"/>
  <c r="AH25" i="5" s="1"/>
  <c r="J35" i="5"/>
  <c r="AC35" i="5" s="1"/>
  <c r="I19" i="7"/>
  <c r="AC19" i="7" s="1"/>
  <c r="I16" i="7"/>
  <c r="AC16" i="7" s="1"/>
  <c r="M54" i="5"/>
  <c r="N54" i="5" s="1"/>
  <c r="I12" i="7"/>
  <c r="AC12" i="7" s="1"/>
  <c r="O6" i="5"/>
  <c r="AH6" i="5" s="1"/>
  <c r="I33" i="7"/>
  <c r="AC33" i="7" s="1"/>
  <c r="J13" i="6"/>
  <c r="AC13" i="6" s="1"/>
  <c r="O107" i="5"/>
  <c r="J19" i="5"/>
  <c r="AC19" i="5" s="1"/>
  <c r="M6" i="5"/>
  <c r="AF6" i="5" s="1"/>
  <c r="I22" i="7"/>
  <c r="AC22" i="7" s="1"/>
  <c r="AA40" i="6"/>
  <c r="O24" i="5"/>
  <c r="AH24" i="5" s="1"/>
  <c r="M7" i="5"/>
  <c r="AF7" i="5" s="1"/>
  <c r="M19" i="5"/>
  <c r="AF19" i="5" s="1"/>
  <c r="M24" i="5"/>
  <c r="AF24" i="5" s="1"/>
  <c r="J32" i="6"/>
  <c r="AC32" i="6" s="1"/>
  <c r="O67" i="5"/>
  <c r="M67" i="5"/>
  <c r="N67" i="5" s="1"/>
  <c r="N33" i="4"/>
  <c r="AH33" i="4" s="1"/>
  <c r="L33" i="4"/>
  <c r="O19" i="5"/>
  <c r="AH19" i="5" s="1"/>
  <c r="O16" i="5"/>
  <c r="AH16" i="5" s="1"/>
  <c r="J39" i="6"/>
  <c r="AC39" i="6" s="1"/>
  <c r="L17" i="4"/>
  <c r="N17" i="4"/>
  <c r="AH17" i="4" s="1"/>
  <c r="AD32" i="4"/>
  <c r="L32" i="4"/>
  <c r="N32" i="4"/>
  <c r="AH32" i="4" s="1"/>
  <c r="N29" i="4"/>
  <c r="AH29" i="4" s="1"/>
  <c r="L29" i="4"/>
  <c r="J25" i="5"/>
  <c r="AC25" i="5" s="1"/>
  <c r="I39" i="7"/>
  <c r="AC39" i="7" s="1"/>
  <c r="AA25" i="6"/>
  <c r="J25" i="6"/>
  <c r="AC25" i="6" s="1"/>
  <c r="N21" i="4"/>
  <c r="AH21" i="4" s="1"/>
  <c r="L21" i="4"/>
  <c r="I20" i="4"/>
  <c r="AC20" i="4" s="1"/>
  <c r="I15" i="4"/>
  <c r="AC15" i="4" s="1"/>
  <c r="N8" i="4"/>
  <c r="AH8" i="4" s="1"/>
  <c r="L8" i="4"/>
  <c r="J38" i="5"/>
  <c r="AC38" i="5" s="1"/>
  <c r="M16" i="5"/>
  <c r="AF16" i="5" s="1"/>
  <c r="AA7" i="6"/>
  <c r="J7" i="6"/>
  <c r="AC7" i="6" s="1"/>
  <c r="M45" i="5"/>
  <c r="N45" i="5" s="1"/>
  <c r="O45" i="5"/>
  <c r="N20" i="4"/>
  <c r="AH20" i="4" s="1"/>
  <c r="L20" i="4"/>
  <c r="L9" i="4"/>
  <c r="N9" i="4"/>
  <c r="AH9" i="4" s="1"/>
  <c r="L15" i="4"/>
  <c r="N15" i="4"/>
  <c r="AH15" i="4" s="1"/>
  <c r="N27" i="4"/>
  <c r="AH27" i="4" s="1"/>
  <c r="L27" i="4"/>
  <c r="AF22" i="6"/>
  <c r="N39" i="6"/>
  <c r="AG39" i="6" s="1"/>
  <c r="AF39" i="6"/>
  <c r="N6" i="6"/>
  <c r="AG6" i="6" s="1"/>
  <c r="AF6" i="6"/>
  <c r="N12" i="6"/>
  <c r="AG12" i="6" s="1"/>
  <c r="AF12" i="6"/>
  <c r="N30" i="6"/>
  <c r="AG30" i="6" s="1"/>
  <c r="AF30" i="6"/>
  <c r="N13" i="6"/>
  <c r="AG13" i="6" s="1"/>
  <c r="AF13" i="6"/>
  <c r="N18" i="6"/>
  <c r="AG18" i="6" s="1"/>
  <c r="AF18" i="6"/>
  <c r="N28" i="6"/>
  <c r="AG28" i="6" s="1"/>
  <c r="AF28" i="6"/>
  <c r="N27" i="6"/>
  <c r="AG27" i="6" s="1"/>
  <c r="AF27" i="6"/>
  <c r="N37" i="6"/>
  <c r="AG37" i="6" s="1"/>
  <c r="AF37" i="6"/>
  <c r="N19" i="6"/>
  <c r="AG19" i="6" s="1"/>
  <c r="AF19" i="6"/>
  <c r="N11" i="6"/>
  <c r="AG11" i="6" s="1"/>
  <c r="AF11" i="6"/>
  <c r="N29" i="6"/>
  <c r="AG29" i="6" s="1"/>
  <c r="AF29" i="6"/>
  <c r="N33" i="6"/>
  <c r="AG33" i="6" s="1"/>
  <c r="AF33" i="6"/>
  <c r="N15" i="6"/>
  <c r="AG15" i="6" s="1"/>
  <c r="AF15" i="6"/>
  <c r="N32" i="6"/>
  <c r="AG32" i="6" s="1"/>
  <c r="AF32" i="6"/>
  <c r="N8" i="6"/>
  <c r="AG8" i="6" s="1"/>
  <c r="AF8" i="6"/>
  <c r="N31" i="6"/>
  <c r="AG31" i="6" s="1"/>
  <c r="AF31" i="6"/>
  <c r="N35" i="6"/>
  <c r="AG35" i="6" s="1"/>
  <c r="AF35" i="6"/>
  <c r="K37" i="7"/>
  <c r="AE37" i="7" s="1"/>
  <c r="M45" i="7"/>
  <c r="AG45" i="7" s="1"/>
  <c r="K30" i="7"/>
  <c r="AE30" i="7" s="1"/>
  <c r="I34" i="7"/>
  <c r="AC34" i="7" s="1"/>
  <c r="J31" i="5"/>
  <c r="AC31" i="5" s="1"/>
  <c r="O86" i="5"/>
  <c r="M86" i="5"/>
  <c r="N86" i="5" s="1"/>
  <c r="M5" i="4"/>
  <c r="AG5" i="4" s="1"/>
  <c r="AF5" i="4"/>
  <c r="M14" i="4"/>
  <c r="AG14" i="4" s="1"/>
  <c r="AF14" i="4"/>
  <c r="O33" i="5"/>
  <c r="AH33" i="5" s="1"/>
  <c r="AD28" i="4"/>
  <c r="N28" i="4"/>
  <c r="AH28" i="4" s="1"/>
  <c r="L28" i="4"/>
  <c r="N18" i="4"/>
  <c r="AH18" i="4" s="1"/>
  <c r="AD18" i="4"/>
  <c r="L18" i="4"/>
  <c r="N30" i="4"/>
  <c r="AH30" i="4" s="1"/>
  <c r="AD30" i="4"/>
  <c r="L30" i="4"/>
  <c r="O102" i="5"/>
  <c r="M102" i="5"/>
  <c r="N102" i="5" s="1"/>
  <c r="O52" i="5"/>
  <c r="M52" i="5"/>
  <c r="N52" i="5" s="1"/>
  <c r="O79" i="5"/>
  <c r="M79" i="5"/>
  <c r="N79" i="5" s="1"/>
  <c r="AD7" i="4"/>
  <c r="N7" i="4"/>
  <c r="AH7" i="4" s="1"/>
  <c r="L7" i="4"/>
  <c r="AA31" i="4"/>
  <c r="I31" i="4"/>
  <c r="AC31" i="4" s="1"/>
  <c r="O98" i="5"/>
  <c r="M98" i="5"/>
  <c r="N98" i="5" s="1"/>
  <c r="AD13" i="4"/>
  <c r="N13" i="4"/>
  <c r="AH13" i="4" s="1"/>
  <c r="L13" i="4"/>
  <c r="AA25" i="4"/>
  <c r="I25" i="4"/>
  <c r="AC25" i="4" s="1"/>
  <c r="O58" i="5"/>
  <c r="M58" i="5"/>
  <c r="N58" i="5" s="1"/>
  <c r="O119" i="5"/>
  <c r="M119" i="5"/>
  <c r="N119" i="5" s="1"/>
  <c r="AF11" i="4"/>
  <c r="M11" i="4"/>
  <c r="AG11" i="4" s="1"/>
  <c r="O62" i="5"/>
  <c r="M62" i="5"/>
  <c r="N62" i="5" s="1"/>
  <c r="AD10" i="4"/>
  <c r="N10" i="4"/>
  <c r="AH10" i="4" s="1"/>
  <c r="L10" i="4"/>
  <c r="AA18" i="4"/>
  <c r="I18" i="4"/>
  <c r="AC18" i="4" s="1"/>
  <c r="O90" i="5"/>
  <c r="M90" i="5"/>
  <c r="N90" i="5" s="1"/>
  <c r="AA30" i="4"/>
  <c r="I30" i="4"/>
  <c r="AC30" i="4" s="1"/>
  <c r="AD37" i="4"/>
  <c r="N37" i="4"/>
  <c r="AH37" i="4" s="1"/>
  <c r="L37" i="4"/>
  <c r="O53" i="5"/>
  <c r="M53" i="5"/>
  <c r="N53" i="5" s="1"/>
  <c r="O65" i="5"/>
  <c r="M65" i="5"/>
  <c r="N65" i="5" s="1"/>
  <c r="I7" i="4"/>
  <c r="AC7" i="4" s="1"/>
  <c r="AA7" i="4"/>
  <c r="M36" i="4"/>
  <c r="AG36" i="4" s="1"/>
  <c r="AF36" i="4"/>
  <c r="AA13" i="4"/>
  <c r="I13" i="4"/>
  <c r="AC13" i="4" s="1"/>
  <c r="O47" i="5"/>
  <c r="M47" i="5"/>
  <c r="N47" i="5" s="1"/>
  <c r="M87" i="5"/>
  <c r="N87" i="5" s="1"/>
  <c r="O87" i="5"/>
  <c r="AA37" i="4"/>
  <c r="I37" i="4"/>
  <c r="AC37" i="4" s="1"/>
  <c r="AA39" i="4"/>
  <c r="I39" i="4"/>
  <c r="AC39" i="4" s="1"/>
  <c r="O68" i="5"/>
  <c r="M68" i="5"/>
  <c r="N68" i="5" s="1"/>
  <c r="AF38" i="4"/>
  <c r="M38" i="4"/>
  <c r="AG38" i="4" s="1"/>
  <c r="AF23" i="4"/>
  <c r="M23" i="4"/>
  <c r="AG23" i="4" s="1"/>
  <c r="AA19" i="4"/>
  <c r="I19" i="4"/>
  <c r="AC19" i="4" s="1"/>
  <c r="M93" i="5"/>
  <c r="N93" i="5" s="1"/>
  <c r="O93" i="5"/>
  <c r="M111" i="5"/>
  <c r="N111" i="5" s="1"/>
  <c r="O111" i="5"/>
  <c r="O64" i="5"/>
  <c r="M64" i="5"/>
  <c r="N64" i="5" s="1"/>
  <c r="N6" i="4"/>
  <c r="AH6" i="4" s="1"/>
  <c r="AD6" i="4"/>
  <c r="L6" i="4"/>
  <c r="O70" i="5"/>
  <c r="M70" i="5"/>
  <c r="N70" i="5" s="1"/>
  <c r="O74" i="5"/>
  <c r="M74" i="5"/>
  <c r="N74" i="5" s="1"/>
  <c r="AA6" i="7"/>
  <c r="I6" i="7"/>
  <c r="AC6" i="7" s="1"/>
  <c r="K6" i="7"/>
  <c r="AE6" i="7" s="1"/>
  <c r="O108" i="5"/>
  <c r="M108" i="5"/>
  <c r="N108" i="5" s="1"/>
  <c r="N24" i="4"/>
  <c r="AH24" i="4" s="1"/>
  <c r="AD24" i="4"/>
  <c r="L24" i="4"/>
  <c r="O117" i="5"/>
  <c r="M117" i="5"/>
  <c r="N117" i="5" s="1"/>
  <c r="AA16" i="4"/>
  <c r="I16" i="4"/>
  <c r="AC16" i="4" s="1"/>
  <c r="O96" i="5"/>
  <c r="M96" i="5"/>
  <c r="N96" i="5" s="1"/>
  <c r="M105" i="5"/>
  <c r="N105" i="5" s="1"/>
  <c r="O105" i="5"/>
  <c r="O46" i="5"/>
  <c r="M46" i="5"/>
  <c r="N46" i="5" s="1"/>
  <c r="N12" i="4"/>
  <c r="AH12" i="4" s="1"/>
  <c r="AD12" i="4"/>
  <c r="L12" i="4"/>
  <c r="AD39" i="4"/>
  <c r="N39" i="4"/>
  <c r="AH39" i="4" s="1"/>
  <c r="L39" i="4"/>
  <c r="AA34" i="4"/>
  <c r="I34" i="4"/>
  <c r="AC34" i="4" s="1"/>
  <c r="O77" i="5"/>
  <c r="M77" i="5"/>
  <c r="N77" i="5" s="1"/>
  <c r="O92" i="5"/>
  <c r="M92" i="5"/>
  <c r="N92" i="5" s="1"/>
  <c r="AD22" i="4"/>
  <c r="N22" i="4"/>
  <c r="AH22" i="4" s="1"/>
  <c r="L22" i="4"/>
  <c r="AA6" i="4"/>
  <c r="I6" i="4"/>
  <c r="AC6" i="4" s="1"/>
  <c r="AD31" i="4"/>
  <c r="N31" i="4"/>
  <c r="AH31" i="4" s="1"/>
  <c r="L31" i="4"/>
  <c r="AA24" i="4"/>
  <c r="I24" i="4"/>
  <c r="AC24" i="4" s="1"/>
  <c r="AF35" i="4"/>
  <c r="M35" i="4"/>
  <c r="AG35" i="4" s="1"/>
  <c r="M99" i="5"/>
  <c r="N99" i="5" s="1"/>
  <c r="O99" i="5"/>
  <c r="O110" i="5"/>
  <c r="M110" i="5"/>
  <c r="N110" i="5" s="1"/>
  <c r="AD19" i="4"/>
  <c r="N19" i="4"/>
  <c r="AH19" i="4" s="1"/>
  <c r="L19" i="4"/>
  <c r="AA22" i="4"/>
  <c r="I22" i="4"/>
  <c r="AC22" i="4" s="1"/>
  <c r="I30" i="7"/>
  <c r="AC30" i="7" s="1"/>
  <c r="AD25" i="4"/>
  <c r="N25" i="4"/>
  <c r="AH25" i="4" s="1"/>
  <c r="L25" i="4"/>
  <c r="AA12" i="4"/>
  <c r="I12" i="4"/>
  <c r="AC12" i="4" s="1"/>
  <c r="AA28" i="4"/>
  <c r="I28" i="4"/>
  <c r="AC28" i="4" s="1"/>
  <c r="AD34" i="4"/>
  <c r="N34" i="4"/>
  <c r="AH34" i="4" s="1"/>
  <c r="L34" i="4"/>
  <c r="M56" i="5"/>
  <c r="N56" i="5" s="1"/>
  <c r="O56" i="5"/>
  <c r="O59" i="5"/>
  <c r="M59" i="5"/>
  <c r="N59" i="5" s="1"/>
  <c r="I10" i="4"/>
  <c r="AC10" i="4" s="1"/>
  <c r="AA10" i="4"/>
  <c r="O71" i="5"/>
  <c r="M71" i="5"/>
  <c r="N71" i="5" s="1"/>
  <c r="O114" i="5"/>
  <c r="M114" i="5"/>
  <c r="N114" i="5" s="1"/>
  <c r="O104" i="5"/>
  <c r="M104" i="5"/>
  <c r="N104" i="5" s="1"/>
  <c r="M50" i="5"/>
  <c r="N50" i="5" s="1"/>
  <c r="O50" i="5"/>
  <c r="AF26" i="4"/>
  <c r="M26" i="4"/>
  <c r="AG26" i="4" s="1"/>
  <c r="AD16" i="4"/>
  <c r="N16" i="4"/>
  <c r="AH16" i="4" s="1"/>
  <c r="L16" i="4"/>
  <c r="M11" i="7"/>
  <c r="AG11" i="7" s="1"/>
  <c r="AF6" i="7"/>
  <c r="M6" i="7"/>
  <c r="AG6" i="7" s="1"/>
  <c r="M9" i="7"/>
  <c r="AG9" i="7" s="1"/>
  <c r="AF10" i="7"/>
  <c r="M10" i="7"/>
  <c r="AG10" i="7" s="1"/>
  <c r="AF8" i="7"/>
  <c r="M8" i="7"/>
  <c r="AG8" i="7" s="1"/>
  <c r="M7" i="7"/>
  <c r="AG7" i="7" s="1"/>
  <c r="M5" i="7"/>
  <c r="AG5" i="7" s="1"/>
  <c r="M26" i="7"/>
  <c r="AG26" i="7" s="1"/>
  <c r="M15" i="7"/>
  <c r="AG15" i="7" s="1"/>
  <c r="M35" i="7"/>
  <c r="AG35" i="7" s="1"/>
  <c r="M19" i="7"/>
  <c r="AG19" i="7" s="1"/>
  <c r="M32" i="7"/>
  <c r="AG32" i="7" s="1"/>
  <c r="M37" i="7"/>
  <c r="AG37" i="7" s="1"/>
  <c r="M17" i="7"/>
  <c r="AG17" i="7" s="1"/>
  <c r="M29" i="7"/>
  <c r="AG29" i="7" s="1"/>
  <c r="M33" i="7"/>
  <c r="AG33" i="7" s="1"/>
  <c r="M23" i="7"/>
  <c r="AG23" i="7" s="1"/>
  <c r="M39" i="7"/>
  <c r="AG39" i="7" s="1"/>
  <c r="M27" i="7"/>
  <c r="AG27" i="7" s="1"/>
  <c r="M14" i="7"/>
  <c r="AG14" i="7" s="1"/>
  <c r="M25" i="7"/>
  <c r="AG25" i="7" s="1"/>
  <c r="M12" i="7"/>
  <c r="AG12" i="7" s="1"/>
  <c r="M31" i="7"/>
  <c r="AG31" i="7" s="1"/>
  <c r="M28" i="7"/>
  <c r="AG28" i="7" s="1"/>
  <c r="M36" i="7"/>
  <c r="AG36" i="7" s="1"/>
  <c r="M34" i="7"/>
  <c r="AG34" i="7" s="1"/>
  <c r="M30" i="7"/>
  <c r="AG30" i="7" s="1"/>
  <c r="M38" i="7"/>
  <c r="AG38" i="7" s="1"/>
  <c r="M16" i="7"/>
  <c r="AG16" i="7" s="1"/>
  <c r="M24" i="7"/>
  <c r="AG24" i="7" s="1"/>
  <c r="M13" i="7"/>
  <c r="AG13" i="7" s="1"/>
  <c r="M22" i="7"/>
  <c r="AG22" i="7" s="1"/>
  <c r="M20" i="7"/>
  <c r="AG20" i="7" s="1"/>
  <c r="M18" i="7"/>
  <c r="AG18" i="7" s="1"/>
  <c r="M21" i="7"/>
  <c r="AG21" i="7" s="1"/>
  <c r="M33" i="5"/>
  <c r="AF33" i="5" s="1"/>
  <c r="M30" i="5"/>
  <c r="AF30" i="5" s="1"/>
  <c r="N85" i="5"/>
  <c r="M31" i="5"/>
  <c r="AF31" i="5" s="1"/>
  <c r="O30" i="5"/>
  <c r="AH30" i="5" s="1"/>
  <c r="O31" i="5"/>
  <c r="AH31" i="5" s="1"/>
  <c r="J30" i="5"/>
  <c r="AC30" i="5" s="1"/>
  <c r="J33" i="5"/>
  <c r="AC33" i="5" s="1"/>
  <c r="N27" i="5"/>
  <c r="AG27" i="5" s="1"/>
  <c r="N9" i="5"/>
  <c r="AG9" i="5" s="1"/>
  <c r="N32" i="5"/>
  <c r="AG32" i="5" s="1"/>
  <c r="N21" i="5"/>
  <c r="AG21" i="5" s="1"/>
  <c r="N5" i="5"/>
  <c r="AG5" i="5" s="1"/>
  <c r="N26" i="5"/>
  <c r="AG26" i="5" s="1"/>
  <c r="N36" i="5"/>
  <c r="AG36" i="5" s="1"/>
  <c r="N20" i="5"/>
  <c r="AG20" i="5" s="1"/>
  <c r="N29" i="5"/>
  <c r="AG29" i="5" s="1"/>
  <c r="N17" i="5"/>
  <c r="AG17" i="5" s="1"/>
  <c r="N38" i="6" l="1"/>
  <c r="AG38" i="6" s="1"/>
  <c r="AF10" i="6"/>
  <c r="AF17" i="6"/>
  <c r="AF9" i="6"/>
  <c r="AF23" i="6"/>
  <c r="AF36" i="6"/>
  <c r="N26" i="6"/>
  <c r="AG26" i="6" s="1"/>
  <c r="AF14" i="6"/>
  <c r="N20" i="6"/>
  <c r="AG20" i="6" s="1"/>
  <c r="AF20" i="6"/>
  <c r="N21" i="6"/>
  <c r="AG21" i="6" s="1"/>
  <c r="AF21" i="6"/>
  <c r="N16" i="6"/>
  <c r="AG16" i="6" s="1"/>
  <c r="AF16" i="6"/>
  <c r="AF24" i="6"/>
  <c r="N24" i="6"/>
  <c r="AG24" i="6" s="1"/>
  <c r="N23" i="5"/>
  <c r="AG23" i="5" s="1"/>
  <c r="N37" i="5"/>
  <c r="AG37" i="5" s="1"/>
  <c r="N13" i="5"/>
  <c r="AG13" i="5" s="1"/>
  <c r="N35" i="5"/>
  <c r="AG35" i="5" s="1"/>
  <c r="N28" i="5"/>
  <c r="AG28" i="5" s="1"/>
  <c r="N15" i="5"/>
  <c r="AG15" i="5" s="1"/>
  <c r="K34" i="7"/>
  <c r="AE34" i="7" s="1"/>
  <c r="K12" i="7"/>
  <c r="AE12" i="7" s="1"/>
  <c r="K39" i="7"/>
  <c r="AE39" i="7" s="1"/>
  <c r="K11" i="7"/>
  <c r="AE11" i="7" s="1"/>
  <c r="K22" i="7"/>
  <c r="AE22" i="7" s="1"/>
  <c r="K19" i="7"/>
  <c r="AE19" i="7" s="1"/>
  <c r="K33" i="7"/>
  <c r="AE33" i="7" s="1"/>
  <c r="K14" i="7"/>
  <c r="AE14" i="7" s="1"/>
  <c r="K10" i="7"/>
  <c r="AE10" i="7" s="1"/>
  <c r="K21" i="7"/>
  <c r="AE21" i="7" s="1"/>
  <c r="K38" i="7"/>
  <c r="AE38" i="7" s="1"/>
  <c r="AE25" i="7"/>
  <c r="K13" i="7"/>
  <c r="AE13" i="7" s="1"/>
  <c r="N34" i="5"/>
  <c r="AG34" i="5" s="1"/>
  <c r="K31" i="7"/>
  <c r="AE31" i="7" s="1"/>
  <c r="K28" i="7"/>
  <c r="AE28" i="7" s="1"/>
  <c r="K18" i="7"/>
  <c r="AE18" i="7" s="1"/>
  <c r="K24" i="7"/>
  <c r="AE24" i="7" s="1"/>
  <c r="K29" i="7"/>
  <c r="AE29" i="7" s="1"/>
  <c r="K16" i="7"/>
  <c r="AE16" i="7" s="1"/>
  <c r="K23" i="7"/>
  <c r="AE23" i="7" s="1"/>
  <c r="L48" i="6"/>
  <c r="K47" i="4"/>
  <c r="L127" i="5"/>
  <c r="K76" i="7"/>
  <c r="AE76" i="7" s="1"/>
  <c r="K116" i="7"/>
  <c r="AE116" i="7" s="1"/>
  <c r="K51" i="7"/>
  <c r="AE51" i="7" s="1"/>
  <c r="K48" i="7"/>
  <c r="AE48" i="7" s="1"/>
  <c r="K110" i="7"/>
  <c r="AE110" i="7" s="1"/>
  <c r="K103" i="7"/>
  <c r="AE103" i="7" s="1"/>
  <c r="K98" i="7"/>
  <c r="AE98" i="7" s="1"/>
  <c r="K119" i="7"/>
  <c r="AE119" i="7" s="1"/>
  <c r="K50" i="7"/>
  <c r="AE50" i="7" s="1"/>
  <c r="K62" i="7"/>
  <c r="AE62" i="7" s="1"/>
  <c r="K55" i="7"/>
  <c r="AE55" i="7" s="1"/>
  <c r="K88" i="7"/>
  <c r="AE88" i="7" s="1"/>
  <c r="K87" i="7"/>
  <c r="AE87" i="7" s="1"/>
  <c r="K66" i="7"/>
  <c r="AE66" i="7" s="1"/>
  <c r="K73" i="7"/>
  <c r="AE73" i="7" s="1"/>
  <c r="K104" i="7"/>
  <c r="AE104" i="7" s="1"/>
  <c r="K108" i="7"/>
  <c r="AE108" i="7" s="1"/>
  <c r="K118" i="7"/>
  <c r="AE118" i="7" s="1"/>
  <c r="K53" i="7"/>
  <c r="AE53" i="7" s="1"/>
  <c r="K99" i="7"/>
  <c r="AE99" i="7" s="1"/>
  <c r="K77" i="7"/>
  <c r="AE77" i="7" s="1"/>
  <c r="K26" i="7"/>
  <c r="AE26" i="7" s="1"/>
  <c r="K35" i="7"/>
  <c r="AE35" i="7" s="1"/>
  <c r="K91" i="7"/>
  <c r="AE91" i="7" s="1"/>
  <c r="K95" i="7"/>
  <c r="AE95" i="7" s="1"/>
  <c r="K106" i="7"/>
  <c r="AE106" i="7" s="1"/>
  <c r="K20" i="7"/>
  <c r="AE20" i="7" s="1"/>
  <c r="K85" i="7"/>
  <c r="K79" i="7"/>
  <c r="AE79" i="7" s="1"/>
  <c r="K112" i="7"/>
  <c r="AE112" i="7" s="1"/>
  <c r="K97" i="7"/>
  <c r="AE97" i="7" s="1"/>
  <c r="K96" i="7"/>
  <c r="AE96" i="7" s="1"/>
  <c r="K114" i="7"/>
  <c r="AE114" i="7" s="1"/>
  <c r="K27" i="7"/>
  <c r="AE27" i="7" s="1"/>
  <c r="K60" i="7"/>
  <c r="AE60" i="7" s="1"/>
  <c r="K100" i="7"/>
  <c r="AE100" i="7" s="1"/>
  <c r="K68" i="7"/>
  <c r="AE68" i="7" s="1"/>
  <c r="K59" i="7"/>
  <c r="AE59" i="7" s="1"/>
  <c r="K46" i="7"/>
  <c r="AE46" i="7" s="1"/>
  <c r="K17" i="7"/>
  <c r="AE17" i="7" s="1"/>
  <c r="K61" i="7"/>
  <c r="AE61" i="7" s="1"/>
  <c r="K111" i="7"/>
  <c r="AE111" i="7" s="1"/>
  <c r="K69" i="7"/>
  <c r="AE69" i="7" s="1"/>
  <c r="K117" i="7"/>
  <c r="AE117" i="7" s="1"/>
  <c r="K58" i="7"/>
  <c r="AE58" i="7" s="1"/>
  <c r="K107" i="7"/>
  <c r="AE107" i="7" s="1"/>
  <c r="K52" i="7"/>
  <c r="AE52" i="7" s="1"/>
  <c r="K54" i="7"/>
  <c r="AE54" i="7" s="1"/>
  <c r="K113" i="7"/>
  <c r="AE113" i="7" s="1"/>
  <c r="K75" i="7"/>
  <c r="AE75" i="7" s="1"/>
  <c r="K64" i="7"/>
  <c r="AE64" i="7" s="1"/>
  <c r="K102" i="7"/>
  <c r="AE102" i="7" s="1"/>
  <c r="K78" i="7"/>
  <c r="AE78" i="7" s="1"/>
  <c r="K71" i="7"/>
  <c r="AE71" i="7" s="1"/>
  <c r="K47" i="7"/>
  <c r="AE47" i="7" s="1"/>
  <c r="K105" i="7"/>
  <c r="AE105" i="7" s="1"/>
  <c r="K92" i="7"/>
  <c r="AE92" i="7" s="1"/>
  <c r="K90" i="7"/>
  <c r="AE90" i="7" s="1"/>
  <c r="K86" i="7"/>
  <c r="AE86" i="7" s="1"/>
  <c r="K45" i="7"/>
  <c r="AE45" i="7" s="1"/>
  <c r="K49" i="7"/>
  <c r="AE49" i="7" s="1"/>
  <c r="K101" i="7"/>
  <c r="AE101" i="7" s="1"/>
  <c r="K5" i="7"/>
  <c r="AE5" i="7" s="1"/>
  <c r="K9" i="7"/>
  <c r="AE9" i="7" s="1"/>
  <c r="K15" i="7"/>
  <c r="AE15" i="7" s="1"/>
  <c r="K63" i="7"/>
  <c r="AE63" i="7" s="1"/>
  <c r="K89" i="7"/>
  <c r="AE89" i="7" s="1"/>
  <c r="K65" i="7"/>
  <c r="AE65" i="7" s="1"/>
  <c r="K115" i="7"/>
  <c r="AE115" i="7" s="1"/>
  <c r="K109" i="7"/>
  <c r="AE109" i="7" s="1"/>
  <c r="K94" i="7"/>
  <c r="AE94" i="7" s="1"/>
  <c r="K67" i="7"/>
  <c r="AE67" i="7" s="1"/>
  <c r="K70" i="7"/>
  <c r="AE70" i="7" s="1"/>
  <c r="K8" i="7"/>
  <c r="AE8" i="7" s="1"/>
  <c r="K32" i="7"/>
  <c r="AE32" i="7" s="1"/>
  <c r="K36" i="7"/>
  <c r="AE36" i="7" s="1"/>
  <c r="K93" i="7"/>
  <c r="AE93" i="7" s="1"/>
  <c r="K74" i="7"/>
  <c r="AE74" i="7" s="1"/>
  <c r="K57" i="7"/>
  <c r="AE57" i="7" s="1"/>
  <c r="K56" i="7"/>
  <c r="AE56" i="7" s="1"/>
  <c r="K72" i="7"/>
  <c r="AE72" i="7" s="1"/>
  <c r="N14" i="5"/>
  <c r="AG14" i="5" s="1"/>
  <c r="N10" i="5"/>
  <c r="AG10" i="5" s="1"/>
  <c r="N11" i="5"/>
  <c r="AG11" i="5" s="1"/>
  <c r="M32" i="4"/>
  <c r="AG32" i="4" s="1"/>
  <c r="AF32" i="4"/>
  <c r="M27" i="4"/>
  <c r="AG27" i="4" s="1"/>
  <c r="AF27" i="4"/>
  <c r="M9" i="4"/>
  <c r="AG9" i="4" s="1"/>
  <c r="AF9" i="4"/>
  <c r="M8" i="4"/>
  <c r="AG8" i="4" s="1"/>
  <c r="AF8" i="4"/>
  <c r="M20" i="4"/>
  <c r="AG20" i="4" s="1"/>
  <c r="AF20" i="4"/>
  <c r="M21" i="4"/>
  <c r="AG21" i="4" s="1"/>
  <c r="AF21" i="4"/>
  <c r="M33" i="4"/>
  <c r="AG33" i="4" s="1"/>
  <c r="AF33" i="4"/>
  <c r="M29" i="4"/>
  <c r="AG29" i="4" s="1"/>
  <c r="AF29" i="4"/>
  <c r="M17" i="4"/>
  <c r="AG17" i="4" s="1"/>
  <c r="AF17" i="4"/>
  <c r="N22" i="5"/>
  <c r="AG22" i="5" s="1"/>
  <c r="M15" i="4"/>
  <c r="AG15" i="4" s="1"/>
  <c r="AF15" i="4"/>
  <c r="N8" i="5"/>
  <c r="AG8" i="5" s="1"/>
  <c r="N12" i="5"/>
  <c r="AG12" i="5" s="1"/>
  <c r="N18" i="5"/>
  <c r="AG18" i="5" s="1"/>
  <c r="N25" i="5"/>
  <c r="AG25" i="5" s="1"/>
  <c r="N38" i="5"/>
  <c r="AG38" i="5" s="1"/>
  <c r="N7" i="5"/>
  <c r="AG7" i="5" s="1"/>
  <c r="N24" i="5"/>
  <c r="AG24" i="5" s="1"/>
  <c r="N6" i="5"/>
  <c r="AG6" i="5" s="1"/>
  <c r="N19" i="5"/>
  <c r="AG19" i="5" s="1"/>
  <c r="N16" i="5"/>
  <c r="AG16" i="5" s="1"/>
  <c r="M6" i="4"/>
  <c r="AG6" i="4" s="1"/>
  <c r="AF6" i="4"/>
  <c r="AF13" i="4"/>
  <c r="M13" i="4"/>
  <c r="AG13" i="4" s="1"/>
  <c r="AF28" i="4"/>
  <c r="M28" i="4"/>
  <c r="AG28" i="4" s="1"/>
  <c r="AF25" i="4"/>
  <c r="M25" i="4"/>
  <c r="AG25" i="4" s="1"/>
  <c r="AF10" i="4"/>
  <c r="M10" i="4"/>
  <c r="AG10" i="4" s="1"/>
  <c r="AF16" i="4"/>
  <c r="M16" i="4"/>
  <c r="AG16" i="4" s="1"/>
  <c r="AF19" i="4"/>
  <c r="M19" i="4"/>
  <c r="AG19" i="4" s="1"/>
  <c r="M12" i="4"/>
  <c r="AG12" i="4" s="1"/>
  <c r="AF12" i="4"/>
  <c r="M24" i="4"/>
  <c r="AG24" i="4" s="1"/>
  <c r="AF24" i="4"/>
  <c r="AF37" i="4"/>
  <c r="M37" i="4"/>
  <c r="AG37" i="4" s="1"/>
  <c r="M18" i="4"/>
  <c r="AG18" i="4" s="1"/>
  <c r="AF18" i="4"/>
  <c r="AF7" i="4"/>
  <c r="M7" i="4"/>
  <c r="AG7" i="4" s="1"/>
  <c r="AF34" i="4"/>
  <c r="M34" i="4"/>
  <c r="AG34" i="4" s="1"/>
  <c r="AF31" i="4"/>
  <c r="M31" i="4"/>
  <c r="AG31" i="4" s="1"/>
  <c r="AF22" i="4"/>
  <c r="M22" i="4"/>
  <c r="AG22" i="4" s="1"/>
  <c r="M39" i="4"/>
  <c r="AG39" i="4" s="1"/>
  <c r="AF39" i="4"/>
  <c r="M30" i="4"/>
  <c r="AG30" i="4" s="1"/>
  <c r="AF30" i="4"/>
  <c r="N33" i="5"/>
  <c r="AG33" i="5" s="1"/>
  <c r="N30" i="5"/>
  <c r="AG30" i="5" s="1"/>
  <c r="N31" i="5"/>
  <c r="AG31" i="5" s="1"/>
  <c r="L76" i="5" l="1"/>
  <c r="AE76" i="5" s="1"/>
  <c r="L48" i="5"/>
  <c r="AE48" i="5" s="1"/>
  <c r="L63" i="5"/>
  <c r="AE63" i="5" s="1"/>
  <c r="L91" i="5"/>
  <c r="AE91" i="5" s="1"/>
  <c r="L26" i="5"/>
  <c r="AE26" i="5" s="1"/>
  <c r="L21" i="5"/>
  <c r="AE21" i="5" s="1"/>
  <c r="L27" i="5"/>
  <c r="AE27" i="5" s="1"/>
  <c r="L9" i="5"/>
  <c r="AE9" i="5" s="1"/>
  <c r="L72" i="5"/>
  <c r="AE72" i="5" s="1"/>
  <c r="L17" i="5"/>
  <c r="AE17" i="5" s="1"/>
  <c r="L55" i="5"/>
  <c r="AE55" i="5" s="1"/>
  <c r="L109" i="5"/>
  <c r="AE109" i="5" s="1"/>
  <c r="L78" i="5"/>
  <c r="AE78" i="5" s="1"/>
  <c r="L116" i="5"/>
  <c r="AE116" i="5" s="1"/>
  <c r="L97" i="5"/>
  <c r="AE97" i="5" s="1"/>
  <c r="L106" i="5"/>
  <c r="AE106" i="5" s="1"/>
  <c r="L112" i="5"/>
  <c r="AE112" i="5" s="1"/>
  <c r="L57" i="5"/>
  <c r="AE57" i="5" s="1"/>
  <c r="L29" i="5"/>
  <c r="AE29" i="5" s="1"/>
  <c r="L32" i="5"/>
  <c r="AE32" i="5" s="1"/>
  <c r="L113" i="5"/>
  <c r="AE113" i="5" s="1"/>
  <c r="L85" i="5"/>
  <c r="AE85" i="5" s="1"/>
  <c r="L5" i="5"/>
  <c r="AE5" i="5" s="1"/>
  <c r="L36" i="5"/>
  <c r="AE36" i="5" s="1"/>
  <c r="L20" i="5"/>
  <c r="AE20" i="5" s="1"/>
  <c r="L118" i="5"/>
  <c r="AE118" i="5" s="1"/>
  <c r="L107" i="5"/>
  <c r="AE107" i="5" s="1"/>
  <c r="L75" i="5"/>
  <c r="AE75" i="5" s="1"/>
  <c r="L39" i="5"/>
  <c r="AE39" i="5" s="1"/>
  <c r="L14" i="5"/>
  <c r="AE14" i="5" s="1"/>
  <c r="L10" i="5"/>
  <c r="AE10" i="5" s="1"/>
  <c r="L60" i="5"/>
  <c r="AE60" i="5" s="1"/>
  <c r="L101" i="5"/>
  <c r="AE101" i="5" s="1"/>
  <c r="L100" i="5"/>
  <c r="AE100" i="5" s="1"/>
  <c r="L24" i="5"/>
  <c r="AE24" i="5" s="1"/>
  <c r="L67" i="5"/>
  <c r="AE67" i="5" s="1"/>
  <c r="L79" i="5"/>
  <c r="AE79" i="5" s="1"/>
  <c r="L68" i="5"/>
  <c r="AE68" i="5" s="1"/>
  <c r="L111" i="5"/>
  <c r="AE111" i="5" s="1"/>
  <c r="L108" i="5"/>
  <c r="AE108" i="5" s="1"/>
  <c r="L96" i="5"/>
  <c r="AE96" i="5" s="1"/>
  <c r="L110" i="5"/>
  <c r="AE110" i="5" s="1"/>
  <c r="L15" i="5"/>
  <c r="AE15" i="5" s="1"/>
  <c r="L103" i="5"/>
  <c r="AE103" i="5" s="1"/>
  <c r="L37" i="5"/>
  <c r="AE37" i="5" s="1"/>
  <c r="L7" i="5"/>
  <c r="AE7" i="5" s="1"/>
  <c r="L66" i="5"/>
  <c r="AE66" i="5" s="1"/>
  <c r="L35" i="5"/>
  <c r="AE35" i="5" s="1"/>
  <c r="L6" i="5"/>
  <c r="AE6" i="5" s="1"/>
  <c r="L25" i="5"/>
  <c r="AE25" i="5" s="1"/>
  <c r="L45" i="5"/>
  <c r="AE45" i="5" s="1"/>
  <c r="L52" i="5"/>
  <c r="AE52" i="5" s="1"/>
  <c r="L53" i="5"/>
  <c r="AE53" i="5" s="1"/>
  <c r="L64" i="5"/>
  <c r="AE64" i="5" s="1"/>
  <c r="L117" i="5"/>
  <c r="AE117" i="5" s="1"/>
  <c r="L77" i="5"/>
  <c r="AE77" i="5" s="1"/>
  <c r="L59" i="5"/>
  <c r="AE59" i="5" s="1"/>
  <c r="L90" i="5"/>
  <c r="AE90" i="5" s="1"/>
  <c r="L71" i="5"/>
  <c r="AE71" i="5" s="1"/>
  <c r="L30" i="5"/>
  <c r="AE30" i="5" s="1"/>
  <c r="L51" i="5"/>
  <c r="AE51" i="5" s="1"/>
  <c r="L69" i="5"/>
  <c r="AE69" i="5" s="1"/>
  <c r="L54" i="5"/>
  <c r="AE54" i="5" s="1"/>
  <c r="L19" i="5"/>
  <c r="AE19" i="5" s="1"/>
  <c r="L98" i="5"/>
  <c r="AE98" i="5" s="1"/>
  <c r="L119" i="5"/>
  <c r="AE119" i="5" s="1"/>
  <c r="L47" i="5"/>
  <c r="AE47" i="5" s="1"/>
  <c r="L70" i="5"/>
  <c r="AE70" i="5" s="1"/>
  <c r="L50" i="5"/>
  <c r="AE50" i="5" s="1"/>
  <c r="L22" i="5"/>
  <c r="AE22" i="5" s="1"/>
  <c r="L11" i="5"/>
  <c r="AE11" i="5" s="1"/>
  <c r="L8" i="5"/>
  <c r="AE8" i="5" s="1"/>
  <c r="L16" i="5"/>
  <c r="AE16" i="5" s="1"/>
  <c r="L65" i="5"/>
  <c r="AE65" i="5" s="1"/>
  <c r="L92" i="5"/>
  <c r="AE92" i="5" s="1"/>
  <c r="L61" i="5"/>
  <c r="AE61" i="5" s="1"/>
  <c r="L89" i="5"/>
  <c r="AE89" i="5" s="1"/>
  <c r="L115" i="5"/>
  <c r="AE115" i="5" s="1"/>
  <c r="L23" i="5"/>
  <c r="AE23" i="5" s="1"/>
  <c r="L34" i="5"/>
  <c r="AE34" i="5" s="1"/>
  <c r="L94" i="5"/>
  <c r="AE94" i="5" s="1"/>
  <c r="L38" i="5"/>
  <c r="AE38" i="5" s="1"/>
  <c r="L86" i="5"/>
  <c r="AE86" i="5" s="1"/>
  <c r="L93" i="5"/>
  <c r="AE93" i="5" s="1"/>
  <c r="L114" i="5"/>
  <c r="AE114" i="5" s="1"/>
  <c r="L33" i="5"/>
  <c r="AE33" i="5" s="1"/>
  <c r="L88" i="5"/>
  <c r="AE88" i="5" s="1"/>
  <c r="L105" i="5"/>
  <c r="AE105" i="5" s="1"/>
  <c r="L99" i="5"/>
  <c r="AE99" i="5" s="1"/>
  <c r="L104" i="5"/>
  <c r="AE104" i="5" s="1"/>
  <c r="L95" i="5"/>
  <c r="AE95" i="5" s="1"/>
  <c r="L49" i="5"/>
  <c r="AE49" i="5" s="1"/>
  <c r="L28" i="5"/>
  <c r="AE28" i="5" s="1"/>
  <c r="L12" i="5"/>
  <c r="AE12" i="5" s="1"/>
  <c r="L73" i="5"/>
  <c r="AE73" i="5" s="1"/>
  <c r="L13" i="5"/>
  <c r="AE13" i="5" s="1"/>
  <c r="L18" i="5"/>
  <c r="AE18" i="5" s="1"/>
  <c r="L102" i="5"/>
  <c r="AE102" i="5" s="1"/>
  <c r="L58" i="5"/>
  <c r="AE58" i="5" s="1"/>
  <c r="L87" i="5"/>
  <c r="AE87" i="5" s="1"/>
  <c r="L74" i="5"/>
  <c r="AE74" i="5" s="1"/>
  <c r="L46" i="5"/>
  <c r="AE46" i="5" s="1"/>
  <c r="L56" i="5"/>
  <c r="AE56" i="5" s="1"/>
  <c r="L31" i="5"/>
  <c r="AE31" i="5" s="1"/>
  <c r="L62" i="5"/>
  <c r="AE62" i="5" s="1"/>
  <c r="K36" i="4"/>
  <c r="AE36" i="4" s="1"/>
  <c r="K26" i="4"/>
  <c r="AE26" i="4" s="1"/>
  <c r="K5" i="4"/>
  <c r="AE5" i="4" s="1"/>
  <c r="K20" i="4"/>
  <c r="AE20" i="4" s="1"/>
  <c r="K28" i="4"/>
  <c r="AE28" i="4" s="1"/>
  <c r="K13" i="4"/>
  <c r="AE13" i="4" s="1"/>
  <c r="K27" i="4"/>
  <c r="AE27" i="4" s="1"/>
  <c r="K34" i="4"/>
  <c r="AE34" i="4" s="1"/>
  <c r="K19" i="4"/>
  <c r="AE19" i="4" s="1"/>
  <c r="K14" i="4"/>
  <c r="AE14" i="4" s="1"/>
  <c r="K15" i="4"/>
  <c r="AE15" i="4" s="1"/>
  <c r="K9" i="4"/>
  <c r="AE9" i="4" s="1"/>
  <c r="K30" i="4"/>
  <c r="AE30" i="4" s="1"/>
  <c r="K39" i="4"/>
  <c r="AE39" i="4" s="1"/>
  <c r="K22" i="4"/>
  <c r="AE22" i="4" s="1"/>
  <c r="K31" i="4"/>
  <c r="AE31" i="4" s="1"/>
  <c r="K11" i="4"/>
  <c r="AE11" i="4" s="1"/>
  <c r="K18" i="4"/>
  <c r="AE18" i="4" s="1"/>
  <c r="K24" i="4"/>
  <c r="AE24" i="4" s="1"/>
  <c r="K12" i="4"/>
  <c r="AE12" i="4" s="1"/>
  <c r="K35" i="4"/>
  <c r="AE35" i="4" s="1"/>
  <c r="K23" i="4"/>
  <c r="AE23" i="4" s="1"/>
  <c r="K21" i="4"/>
  <c r="AE21" i="4" s="1"/>
  <c r="K7" i="4"/>
  <c r="AE7" i="4" s="1"/>
  <c r="K16" i="4"/>
  <c r="AE16" i="4" s="1"/>
  <c r="K33" i="4"/>
  <c r="AE33" i="4" s="1"/>
  <c r="K32" i="4"/>
  <c r="AE32" i="4" s="1"/>
  <c r="K8" i="4"/>
  <c r="AE8" i="4" s="1"/>
  <c r="K37" i="4"/>
  <c r="AE37" i="4" s="1"/>
  <c r="K38" i="4"/>
  <c r="AE38" i="4" s="1"/>
  <c r="K17" i="4"/>
  <c r="AE17" i="4" s="1"/>
  <c r="K29" i="4"/>
  <c r="AE29" i="4" s="1"/>
  <c r="K10" i="4"/>
  <c r="AE10" i="4" s="1"/>
  <c r="K25" i="4"/>
  <c r="AE25" i="4" s="1"/>
  <c r="K6" i="4"/>
  <c r="AE6" i="4" s="1"/>
  <c r="L20" i="6"/>
  <c r="AE20" i="6" s="1"/>
  <c r="L22" i="6"/>
  <c r="AE22" i="6" s="1"/>
  <c r="L37" i="6"/>
  <c r="AE37" i="6" s="1"/>
  <c r="L30" i="6"/>
  <c r="AE30" i="6" s="1"/>
  <c r="L24" i="6"/>
  <c r="AE24" i="6" s="1"/>
  <c r="L14" i="6"/>
  <c r="AE14" i="6" s="1"/>
  <c r="L31" i="6"/>
  <c r="AE31" i="6" s="1"/>
  <c r="L8" i="6"/>
  <c r="AE8" i="6" s="1"/>
  <c r="L23" i="6"/>
  <c r="AE23" i="6" s="1"/>
  <c r="L21" i="6"/>
  <c r="AE21" i="6" s="1"/>
  <c r="L12" i="6"/>
  <c r="AE12" i="6" s="1"/>
  <c r="L28" i="6"/>
  <c r="AE28" i="6" s="1"/>
  <c r="L18" i="6"/>
  <c r="AE18" i="6" s="1"/>
  <c r="L29" i="6"/>
  <c r="AE29" i="6" s="1"/>
  <c r="L36" i="6"/>
  <c r="AE36" i="6" s="1"/>
  <c r="L17" i="6"/>
  <c r="AE17" i="6" s="1"/>
  <c r="L9" i="6"/>
  <c r="AE9" i="6" s="1"/>
  <c r="L26" i="6"/>
  <c r="AE26" i="6" s="1"/>
  <c r="L10" i="6"/>
  <c r="AE10" i="6" s="1"/>
  <c r="L38" i="6"/>
  <c r="AE38" i="6" s="1"/>
  <c r="L16" i="6"/>
  <c r="AE16" i="6" s="1"/>
  <c r="L15" i="6"/>
  <c r="AE15" i="6" s="1"/>
  <c r="L13" i="6"/>
  <c r="AE13" i="6" s="1"/>
  <c r="L35" i="6"/>
  <c r="AE35" i="6" s="1"/>
  <c r="L34" i="6"/>
  <c r="AE34" i="6" s="1"/>
  <c r="L39" i="6"/>
  <c r="AE39" i="6" s="1"/>
  <c r="L25" i="6"/>
  <c r="AE25" i="6" s="1"/>
  <c r="L40" i="6"/>
  <c r="AE40" i="6" s="1"/>
  <c r="L6" i="6"/>
  <c r="AE6" i="6" s="1"/>
  <c r="L19" i="6"/>
  <c r="AE19" i="6" s="1"/>
  <c r="L11" i="6"/>
  <c r="AE11" i="6" s="1"/>
  <c r="L33" i="6"/>
  <c r="AE33" i="6" s="1"/>
  <c r="L27" i="6"/>
  <c r="AE27" i="6" s="1"/>
  <c r="L7" i="6"/>
  <c r="AE7" i="6" s="1"/>
  <c r="L32" i="6"/>
  <c r="AE3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</author>
  </authors>
  <commentList>
    <comment ref="K44" authorId="0" shapeId="0" xr:uid="{0B3CBE77-F5CB-4CD5-A38D-CC539EA86F69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Fixed part in GPa
Monofilament strings</t>
        </r>
      </text>
    </comment>
    <comment ref="K45" authorId="0" shapeId="0" xr:uid="{BB8A11F4-F7C9-4199-AF0D-DCB4C4972EBA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Stress multiplier for stress in Mpa
Monofilament strings</t>
        </r>
      </text>
    </comment>
    <comment ref="K46" authorId="0" shapeId="0" xr:uid="{88E635A0-9945-42B1-95EF-8761F283AEB3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Fixed part in GPa
Wound strings</t>
        </r>
      </text>
    </comment>
    <comment ref="K47" authorId="0" shapeId="0" xr:uid="{1062BA8B-1CBA-4D7C-A871-77987B03142E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Stress multiplier for stress in Mpa
Wound strings</t>
        </r>
      </text>
    </comment>
    <comment ref="K50" authorId="0" shapeId="0" xr:uid="{F7DDCA03-1A87-48E8-B3D0-B02E9A22139E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Fixed part in GPa</t>
        </r>
      </text>
    </comment>
    <comment ref="K51" authorId="0" shapeId="0" xr:uid="{4CF28138-A1FE-423A-A2C6-2AF4A7662092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Stress multiplier for stress in MPa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</author>
  </authors>
  <commentList>
    <comment ref="K127" authorId="0" shapeId="0" xr:uid="{0C022B7D-36D6-4C3F-8832-D27613F1A58F}">
      <text>
        <r>
          <rPr>
            <b/>
            <sz val="9"/>
            <color indexed="81"/>
            <rFont val="Tahoma"/>
            <family val="2"/>
          </rPr>
          <t>Nicolas:</t>
        </r>
        <r>
          <rPr>
            <sz val="9"/>
            <color indexed="81"/>
            <rFont val="Tahoma"/>
            <family val="2"/>
          </rPr>
          <t xml:space="preserve">
Fixed scaler for plotting scale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</author>
  </authors>
  <commentList>
    <comment ref="K127" authorId="0" shapeId="0" xr:uid="{F86ACA84-D435-41C5-A411-D802FE64D19F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Fixed part in GPa
Monofilament strings</t>
        </r>
      </text>
    </comment>
    <comment ref="K128" authorId="0" shapeId="0" xr:uid="{2A3CEDA9-462A-4584-8A89-38EE37879890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Stress multiplier for stress in Mpa
Monofilament strings</t>
        </r>
      </text>
    </comment>
    <comment ref="K129" authorId="0" shapeId="0" xr:uid="{5D301559-3E8E-4FA1-9F70-378FA04CEDB9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Fixed part in GPa
Wound strings</t>
        </r>
      </text>
    </comment>
    <comment ref="K130" authorId="0" shapeId="0" xr:uid="{0A5828EA-8559-491A-9777-F14911882990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Stress multiplier for stress in Mpa
Wound strings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</author>
  </authors>
  <commentList>
    <comment ref="J47" authorId="0" shapeId="0" xr:uid="{7918FF31-F5FF-4D1A-8E0C-23C56CF74B6E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Fixed part in GPa</t>
        </r>
      </text>
    </comment>
    <comment ref="J48" authorId="0" shapeId="0" xr:uid="{28B18F99-FFE8-4337-AB69-A3163B5CD510}">
      <text>
        <r>
          <rPr>
            <b/>
            <sz val="9"/>
            <color indexed="81"/>
            <rFont val="Tahoma"/>
            <charset val="1"/>
          </rPr>
          <t>Nicolas:</t>
        </r>
        <r>
          <rPr>
            <sz val="9"/>
            <color indexed="81"/>
            <rFont val="Tahoma"/>
            <charset val="1"/>
          </rPr>
          <t xml:space="preserve">
Stress multiplier for stress in MPa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<sst xmlns="http://schemas.openxmlformats.org/spreadsheetml/2006/main" count="801" uniqueCount="180">
  <si>
    <t>String</t>
  </si>
  <si>
    <t>Elysian</t>
  </si>
  <si>
    <t>Column1</t>
  </si>
  <si>
    <t>Number</t>
  </si>
  <si>
    <t>Harp:</t>
  </si>
  <si>
    <t>Selected</t>
  </si>
  <si>
    <t>Lengths</t>
  </si>
  <si>
    <t>00</t>
  </si>
  <si>
    <t>(mm)</t>
  </si>
  <si>
    <t>Bowbrand</t>
  </si>
  <si>
    <t>Yes</t>
  </si>
  <si>
    <t>No</t>
  </si>
  <si>
    <t>Show Test Set:</t>
  </si>
  <si>
    <t>Show Gut Light:</t>
  </si>
  <si>
    <t>Show Gut Standard:</t>
  </si>
  <si>
    <t>Show Gut Heavy:</t>
  </si>
  <si>
    <t>Show KF Light:</t>
  </si>
  <si>
    <t>Show KF Standard:</t>
  </si>
  <si>
    <t>Show KF Heavy:</t>
  </si>
  <si>
    <t>Show Nylon:</t>
  </si>
  <si>
    <t>string</t>
  </si>
  <si>
    <t>note</t>
  </si>
  <si>
    <t>frequency</t>
  </si>
  <si>
    <t>standard</t>
  </si>
  <si>
    <t>light</t>
  </si>
  <si>
    <t>(Hz)</t>
  </si>
  <si>
    <t>G7</t>
  </si>
  <si>
    <t>F7</t>
  </si>
  <si>
    <t>E7</t>
  </si>
  <si>
    <t>D7</t>
  </si>
  <si>
    <t>C7</t>
  </si>
  <si>
    <t>B6</t>
  </si>
  <si>
    <t>A6</t>
  </si>
  <si>
    <t>G6</t>
  </si>
  <si>
    <t>F6</t>
  </si>
  <si>
    <t>E6</t>
  </si>
  <si>
    <t>D6</t>
  </si>
  <si>
    <t>C6</t>
  </si>
  <si>
    <t>B5</t>
  </si>
  <si>
    <t>A5</t>
  </si>
  <si>
    <t>G5</t>
  </si>
  <si>
    <t>F5</t>
  </si>
  <si>
    <t>E5</t>
  </si>
  <si>
    <t>D5</t>
  </si>
  <si>
    <t>C5</t>
  </si>
  <si>
    <t>B4</t>
  </si>
  <si>
    <t>A4</t>
  </si>
  <si>
    <t>G4</t>
  </si>
  <si>
    <t>F4</t>
  </si>
  <si>
    <t>E4</t>
  </si>
  <si>
    <t>D4</t>
  </si>
  <si>
    <t>C4</t>
  </si>
  <si>
    <t>B3</t>
  </si>
  <si>
    <t>A3</t>
  </si>
  <si>
    <t>G3</t>
  </si>
  <si>
    <t>F3</t>
  </si>
  <si>
    <t>E3</t>
  </si>
  <si>
    <t>D3</t>
  </si>
  <si>
    <t>C3</t>
  </si>
  <si>
    <t>B2</t>
  </si>
  <si>
    <t>A2</t>
  </si>
  <si>
    <t>ID</t>
  </si>
  <si>
    <t>density</t>
  </si>
  <si>
    <t>(kg/m^3)</t>
  </si>
  <si>
    <t>dia. Limit</t>
  </si>
  <si>
    <t>avge</t>
  </si>
  <si>
    <t>stress</t>
  </si>
  <si>
    <t>(Mpa)</t>
  </si>
  <si>
    <t>tension</t>
  </si>
  <si>
    <t>(N)</t>
  </si>
  <si>
    <t>diameter</t>
  </si>
  <si>
    <t>impedance</t>
  </si>
  <si>
    <t>(Ns/m)</t>
  </si>
  <si>
    <t>feel</t>
  </si>
  <si>
    <t>(N/mm)</t>
  </si>
  <si>
    <t>Young's</t>
  </si>
  <si>
    <t>modulus (GPa)</t>
  </si>
  <si>
    <t>Relative</t>
  </si>
  <si>
    <t>Inharmonicity</t>
  </si>
  <si>
    <t>Overtones</t>
  </si>
  <si>
    <t>Bandwidth</t>
  </si>
  <si>
    <t>(kHz)</t>
  </si>
  <si>
    <t>Product</t>
  </si>
  <si>
    <t>AE (kN)</t>
  </si>
  <si>
    <t>lambda threshold</t>
  </si>
  <si>
    <t>lambda adjusted</t>
  </si>
  <si>
    <t>Savarez</t>
  </si>
  <si>
    <t>wound</t>
  </si>
  <si>
    <t>heavy</t>
  </si>
  <si>
    <t>test</t>
  </si>
  <si>
    <t>References:</t>
  </si>
  <si>
    <t>"Mechanical Properties of Nylon Harp Strings"</t>
  </si>
  <si>
    <t>"Choosing Strings for Plucked Musical Instruments"</t>
  </si>
  <si>
    <t>https://doi.org/10.3390/ma10050497</t>
  </si>
  <si>
    <t>https://doi.org/10.3390/ma11112160</t>
  </si>
  <si>
    <t>"Effects of Twisting and Surface Finish on the Mechanical Properties of Natural Gut Harp Strings"</t>
  </si>
  <si>
    <t>"Comparison of Mechanical Properties of Natural Gut and Synthetic Polymer Harp Strings"</t>
  </si>
  <si>
    <t>https://doi.org/10.3390/ma16155444</t>
  </si>
  <si>
    <t>Equations:</t>
  </si>
  <si>
    <t>Symbols:</t>
  </si>
  <si>
    <t>f</t>
  </si>
  <si>
    <t>L</t>
  </si>
  <si>
    <t>string fundamental frequency</t>
  </si>
  <si>
    <t>string vibrating length</t>
  </si>
  <si>
    <t>With the pedals in the middle position</t>
  </si>
  <si>
    <t>Measured from the soundboard up to the lower contact point between the (upper) fourchette and the string</t>
  </si>
  <si>
    <t>S</t>
  </si>
  <si>
    <t>longitudinal stress</t>
  </si>
  <si>
    <t>f = (1/2L) * sqrt(S/D)</t>
  </si>
  <si>
    <t>D</t>
  </si>
  <si>
    <t>bulk density</t>
  </si>
  <si>
    <t>S = (2fL)^2 * D</t>
  </si>
  <si>
    <t>ratio of tension / cross-sectional area</t>
  </si>
  <si>
    <t>d</t>
  </si>
  <si>
    <t>string diameter</t>
  </si>
  <si>
    <t>Z</t>
  </si>
  <si>
    <t>gives an indication of the string loudness</t>
  </si>
  <si>
    <t>reference 1, eq.(8)</t>
  </si>
  <si>
    <t>Z = pi * d^2 * D * L * f</t>
  </si>
  <si>
    <t>reference 1, eq.(10)</t>
  </si>
  <si>
    <t>E</t>
  </si>
  <si>
    <t>Young's modulus</t>
  </si>
  <si>
    <t>Young's modulus; nylon</t>
  </si>
  <si>
    <t>Young's modulus; fluorocarbon</t>
  </si>
  <si>
    <t>Young's modulus; gut</t>
  </si>
  <si>
    <t>reference 2, Appendix A</t>
  </si>
  <si>
    <t>reference 3 (and associated data analysis)</t>
  </si>
  <si>
    <t>monofilament strings: E = 3.247 + 0.04101 * S  (GPa)
wound strings:                E = 3.185 + 0.03259 * S  (GPa)</t>
  </si>
  <si>
    <t>E = 4.529 + 0.03888 * S  (GPa)</t>
  </si>
  <si>
    <t>B</t>
  </si>
  <si>
    <t>bending stiffness</t>
  </si>
  <si>
    <t>B = E * pi * d^4 / 64</t>
  </si>
  <si>
    <t>reference 2, eq.(18)</t>
  </si>
  <si>
    <t>inharmonicity scaler (c/a)</t>
  </si>
  <si>
    <t>reference 2, eq.(17)</t>
  </si>
  <si>
    <t>overtones</t>
  </si>
  <si>
    <t>K</t>
  </si>
  <si>
    <t>adjusted damping threshold (see above)</t>
  </si>
  <si>
    <t>reference 1, eq.(7)</t>
  </si>
  <si>
    <t>F</t>
  </si>
  <si>
    <t>tension (force)</t>
  </si>
  <si>
    <t>F = S * pi * d^2 / 4</t>
  </si>
  <si>
    <t>4 * F / L</t>
  </si>
  <si>
    <t>c/a = B * pi^2 / (2 * F * L^2)</t>
  </si>
  <si>
    <t>bandwidth</t>
  </si>
  <si>
    <t>number of overtones exceeding damping threshold</t>
  </si>
  <si>
    <t>V</t>
  </si>
  <si>
    <t>V = 8 * L^2 * f * sqrt(K*D/E) / (pi * d)</t>
  </si>
  <si>
    <t xml:space="preserve">V * f </t>
  </si>
  <si>
    <t>reference 2, eq.(1)</t>
  </si>
  <si>
    <t xml:space="preserve">https://doi.org/10.3813/AAA.919333 </t>
  </si>
  <si>
    <t>reference 4 (and associated data analysis with improved data fit based on square of cosine of twist angle)</t>
  </si>
  <si>
    <t>Column2</t>
  </si>
  <si>
    <t>Test Harp</t>
  </si>
  <si>
    <t>modulus</t>
  </si>
  <si>
    <t>est. (GPa)</t>
  </si>
  <si>
    <t>estimated values given in sheet "Gut E est"</t>
  </si>
  <si>
    <t>Choice</t>
  </si>
  <si>
    <t>Material</t>
  </si>
  <si>
    <t>Nylon</t>
  </si>
  <si>
    <t>Flurocarbon</t>
  </si>
  <si>
    <t>Gut</t>
  </si>
  <si>
    <t>The "Test set" is provided to enable custom string sets to be explored.</t>
  </si>
  <si>
    <t>Only cells highlighted in pink are meant to be changed.</t>
  </si>
  <si>
    <t>The string material can be selected in cell B2 of the "Test Set" sheet.</t>
  </si>
  <si>
    <t>The string diameters can be set in column E of the "Test Set" sheet.</t>
  </si>
  <si>
    <t>To change the set of string lengths used:</t>
  </si>
  <si>
    <t>Select the "Test Harp" option in cell B2 of the "Graphs" sheet.</t>
  </si>
  <si>
    <t>Enter the required string lengths in column C of the "String Lengths" sheet.</t>
  </si>
  <si>
    <t>The values shown in the graphs are only estimates.</t>
  </si>
  <si>
    <t>density for nylon</t>
  </si>
  <si>
    <t>Lengths should be entered in millimetres, and measured from the soundboard up to the lower arm of the upper fourchette when the pedals are set in the middle position.</t>
  </si>
  <si>
    <t>density for gut</t>
  </si>
  <si>
    <t>density for fluorocarbon</t>
  </si>
  <si>
    <t>fluorocarbon</t>
  </si>
  <si>
    <t>nylon</t>
  </si>
  <si>
    <t>Different string sets can be selected using the "Yes/No" boxes (highlighted pink) at the top left of the "Graphs" sheet.</t>
  </si>
  <si>
    <t>Outputs are shown in the "Graph"s sheet.</t>
  </si>
  <si>
    <t>Make a copy of the whole spreadsheet before you start!</t>
  </si>
  <si>
    <t>They enable comparisons but should not otherwise be relied upon.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</si>
</sst>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/>
    <xf numFmtId="1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8" xfId="0" applyBorder="1"/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0" borderId="12" xfId="0" applyBorder="1"/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165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1"/>
    <xf numFmtId="1" fontId="0" fillId="0" borderId="5" xfId="0" applyNumberFormat="1" applyBorder="1" applyAlignment="1">
      <alignment horizontal="center"/>
    </xf>
    <xf numFmtId="2" fontId="0" fillId="0" borderId="0" xfId="0" applyNumberForma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11" xfId="0" applyBorder="1"/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Diameter (mm)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Nylon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Nylon!$A$5:$A$39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Nylon!$Y$5:$Y$39</c:f>
              <c:numCache>
                <c:formatCode>0.00</c:formatCode>
                <c:ptCount val="35"/>
                <c:pt idx="0">
                  <c:v>0.51</c:v>
                </c:pt>
                <c:pt idx="1">
                  <c:v>0.51</c:v>
                </c:pt>
                <c:pt idx="2">
                  <c:v>0.54</c:v>
                </c:pt>
                <c:pt idx="3">
                  <c:v>0.57999999999999996</c:v>
                </c:pt>
                <c:pt idx="4">
                  <c:v>0.6</c:v>
                </c:pt>
                <c:pt idx="5">
                  <c:v>0.63</c:v>
                </c:pt>
                <c:pt idx="6">
                  <c:v>0.66</c:v>
                </c:pt>
                <c:pt idx="7">
                  <c:v>0.68</c:v>
                </c:pt>
                <c:pt idx="8">
                  <c:v>0.71</c:v>
                </c:pt>
                <c:pt idx="9">
                  <c:v>0.74</c:v>
                </c:pt>
                <c:pt idx="10">
                  <c:v>0.76</c:v>
                </c:pt>
                <c:pt idx="11">
                  <c:v>0.79</c:v>
                </c:pt>
                <c:pt idx="12">
                  <c:v>0.82</c:v>
                </c:pt>
                <c:pt idx="13">
                  <c:v>0.84</c:v>
                </c:pt>
                <c:pt idx="14">
                  <c:v>0.88</c:v>
                </c:pt>
                <c:pt idx="15">
                  <c:v>0.94</c:v>
                </c:pt>
                <c:pt idx="16">
                  <c:v>0.99</c:v>
                </c:pt>
                <c:pt idx="17">
                  <c:v>1.05</c:v>
                </c:pt>
                <c:pt idx="18">
                  <c:v>1.1000000000000001</c:v>
                </c:pt>
                <c:pt idx="19">
                  <c:v>1.1399999999999999</c:v>
                </c:pt>
                <c:pt idx="20">
                  <c:v>1.18</c:v>
                </c:pt>
                <c:pt idx="21">
                  <c:v>1.25</c:v>
                </c:pt>
                <c:pt idx="22">
                  <c:v>1.32</c:v>
                </c:pt>
                <c:pt idx="23">
                  <c:v>1.36</c:v>
                </c:pt>
                <c:pt idx="24">
                  <c:v>1.42</c:v>
                </c:pt>
                <c:pt idx="25">
                  <c:v>1.47</c:v>
                </c:pt>
                <c:pt idx="26">
                  <c:v>1.55</c:v>
                </c:pt>
                <c:pt idx="27">
                  <c:v>1.67</c:v>
                </c:pt>
                <c:pt idx="28">
                  <c:v>1.74</c:v>
                </c:pt>
                <c:pt idx="29">
                  <c:v>1.81</c:v>
                </c:pt>
                <c:pt idx="30">
                  <c:v>1.9</c:v>
                </c:pt>
                <c:pt idx="31">
                  <c:v>2.0299999999999998</c:v>
                </c:pt>
                <c:pt idx="32">
                  <c:v>2.09</c:v>
                </c:pt>
                <c:pt idx="33">
                  <c:v>2.19</c:v>
                </c:pt>
                <c:pt idx="34">
                  <c:v>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5B-4D6C-B7AB-EA5634AE8868}"/>
            </c:ext>
          </c:extLst>
        </c:ser>
        <c:ser>
          <c:idx val="0"/>
          <c:order val="1"/>
          <c:tx>
            <c:v>KF Standard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Fluorocarbon!$A$5:$A$39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Fluorocarbon!$Y$5:$Y$39</c:f>
              <c:numCache>
                <c:formatCode>0.00</c:formatCode>
                <c:ptCount val="35"/>
                <c:pt idx="0">
                  <c:v>0.45</c:v>
                </c:pt>
                <c:pt idx="1">
                  <c:v>0.47</c:v>
                </c:pt>
                <c:pt idx="2">
                  <c:v>0.47</c:v>
                </c:pt>
                <c:pt idx="3">
                  <c:v>0.52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0.56999999999999995</c:v>
                </c:pt>
                <c:pt idx="7">
                  <c:v>0.62</c:v>
                </c:pt>
                <c:pt idx="8">
                  <c:v>0.62</c:v>
                </c:pt>
                <c:pt idx="9">
                  <c:v>0.66</c:v>
                </c:pt>
                <c:pt idx="10">
                  <c:v>0.69</c:v>
                </c:pt>
                <c:pt idx="11">
                  <c:v>0.74</c:v>
                </c:pt>
                <c:pt idx="12">
                  <c:v>0.77</c:v>
                </c:pt>
                <c:pt idx="13">
                  <c:v>0.81</c:v>
                </c:pt>
                <c:pt idx="14">
                  <c:v>0.86</c:v>
                </c:pt>
                <c:pt idx="15">
                  <c:v>0.91</c:v>
                </c:pt>
                <c:pt idx="16">
                  <c:v>0.91</c:v>
                </c:pt>
                <c:pt idx="17">
                  <c:v>0.95</c:v>
                </c:pt>
                <c:pt idx="18">
                  <c:v>1.01</c:v>
                </c:pt>
                <c:pt idx="19">
                  <c:v>1.05</c:v>
                </c:pt>
                <c:pt idx="20">
                  <c:v>1.08</c:v>
                </c:pt>
                <c:pt idx="21">
                  <c:v>1.1599999999999999</c:v>
                </c:pt>
                <c:pt idx="22">
                  <c:v>1.25</c:v>
                </c:pt>
                <c:pt idx="23">
                  <c:v>1.25</c:v>
                </c:pt>
                <c:pt idx="24">
                  <c:v>1.32</c:v>
                </c:pt>
                <c:pt idx="25">
                  <c:v>1.4</c:v>
                </c:pt>
                <c:pt idx="26">
                  <c:v>1.45</c:v>
                </c:pt>
                <c:pt idx="27">
                  <c:v>1.5</c:v>
                </c:pt>
                <c:pt idx="28">
                  <c:v>1.6</c:v>
                </c:pt>
                <c:pt idx="29">
                  <c:v>1.72</c:v>
                </c:pt>
                <c:pt idx="30">
                  <c:v>1.8</c:v>
                </c:pt>
                <c:pt idx="31">
                  <c:v>1.9</c:v>
                </c:pt>
                <c:pt idx="32">
                  <c:v>2.0699999999999998</c:v>
                </c:pt>
                <c:pt idx="33">
                  <c:v>2.0699999999999998</c:v>
                </c:pt>
                <c:pt idx="34">
                  <c:v>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5B-4D6C-B7AB-EA5634AE8868}"/>
            </c:ext>
          </c:extLst>
        </c:ser>
        <c:ser>
          <c:idx val="2"/>
          <c:order val="2"/>
          <c:tx>
            <c:v>KF Light</c:v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Fluorocarbon!$A$45:$A$79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Fluorocarbon!$Y$45:$Y$79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5B-4D6C-B7AB-EA5634AE8868}"/>
            </c:ext>
          </c:extLst>
        </c:ser>
        <c:ser>
          <c:idx val="3"/>
          <c:order val="3"/>
          <c:tx>
            <c:v>KF Heavy</c:v>
          </c:tx>
          <c:spPr>
            <a:ln w="127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Fluorocarbon!$A$85:$A$119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Fluorocarbon!$Y$85:$Y$119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5B-4D6C-B7AB-EA5634AE8868}"/>
            </c:ext>
          </c:extLst>
        </c:ser>
        <c:ser>
          <c:idx val="4"/>
          <c:order val="4"/>
          <c:tx>
            <c:v>Gut Standard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solidFill>
                  <a:srgbClr val="0070C0"/>
                </a:solidFill>
              </a:ln>
              <a:effectLst/>
            </c:spPr>
          </c:marker>
          <c:xVal>
            <c:numRef>
              <c:f>Gut!$A$5:$A$39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Gut!$Y$5:$Y$39</c:f>
              <c:numCache>
                <c:formatCode>0.00</c:formatCode>
                <c:ptCount val="35"/>
                <c:pt idx="0">
                  <c:v>0.52</c:v>
                </c:pt>
                <c:pt idx="1">
                  <c:v>0.54</c:v>
                </c:pt>
                <c:pt idx="2">
                  <c:v>0.56000000000000005</c:v>
                </c:pt>
                <c:pt idx="3">
                  <c:v>0.57999999999999996</c:v>
                </c:pt>
                <c:pt idx="4">
                  <c:v>0.6</c:v>
                </c:pt>
                <c:pt idx="5">
                  <c:v>0.62</c:v>
                </c:pt>
                <c:pt idx="6">
                  <c:v>0.64</c:v>
                </c:pt>
                <c:pt idx="7">
                  <c:v>0.66</c:v>
                </c:pt>
                <c:pt idx="8">
                  <c:v>0.68</c:v>
                </c:pt>
                <c:pt idx="9">
                  <c:v>0.7</c:v>
                </c:pt>
                <c:pt idx="10">
                  <c:v>0.73</c:v>
                </c:pt>
                <c:pt idx="11">
                  <c:v>0.76</c:v>
                </c:pt>
                <c:pt idx="12">
                  <c:v>0.8</c:v>
                </c:pt>
                <c:pt idx="13">
                  <c:v>0.85</c:v>
                </c:pt>
                <c:pt idx="14">
                  <c:v>0.88</c:v>
                </c:pt>
                <c:pt idx="15">
                  <c:v>0.92</c:v>
                </c:pt>
                <c:pt idx="16">
                  <c:v>0.95</c:v>
                </c:pt>
                <c:pt idx="17">
                  <c:v>1</c:v>
                </c:pt>
                <c:pt idx="18">
                  <c:v>1.05</c:v>
                </c:pt>
                <c:pt idx="19">
                  <c:v>1.1000000000000001</c:v>
                </c:pt>
                <c:pt idx="20">
                  <c:v>1.1499999999999999</c:v>
                </c:pt>
                <c:pt idx="21">
                  <c:v>1.2</c:v>
                </c:pt>
                <c:pt idx="22">
                  <c:v>1.25</c:v>
                </c:pt>
                <c:pt idx="23">
                  <c:v>1.3</c:v>
                </c:pt>
                <c:pt idx="24">
                  <c:v>1.35</c:v>
                </c:pt>
                <c:pt idx="25">
                  <c:v>1.45</c:v>
                </c:pt>
                <c:pt idx="26">
                  <c:v>1.55</c:v>
                </c:pt>
                <c:pt idx="27">
                  <c:v>1.6</c:v>
                </c:pt>
                <c:pt idx="28">
                  <c:v>1.7</c:v>
                </c:pt>
                <c:pt idx="29">
                  <c:v>1.8</c:v>
                </c:pt>
                <c:pt idx="30">
                  <c:v>1.85</c:v>
                </c:pt>
                <c:pt idx="31">
                  <c:v>1.96</c:v>
                </c:pt>
                <c:pt idx="32">
                  <c:v>2.08</c:v>
                </c:pt>
                <c:pt idx="33">
                  <c:v>2.1800000000000002</c:v>
                </c:pt>
                <c:pt idx="34">
                  <c:v>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5B-4D6C-B7AB-EA5634AE8868}"/>
            </c:ext>
          </c:extLst>
        </c:ser>
        <c:ser>
          <c:idx val="5"/>
          <c:order val="5"/>
          <c:tx>
            <c:v>Gut Light</c:v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2700">
                <a:solidFill>
                  <a:srgbClr val="00B0F0"/>
                </a:solidFill>
              </a:ln>
              <a:effectLst/>
            </c:spPr>
          </c:marker>
          <c:xVal>
            <c:numRef>
              <c:f>Gut!$A$45:$A$79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Gut!$Y$45:$Y$79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5B-4D6C-B7AB-EA5634AE8868}"/>
            </c:ext>
          </c:extLst>
        </c:ser>
        <c:ser>
          <c:idx val="6"/>
          <c:order val="6"/>
          <c:tx>
            <c:v>Gut Heavy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12700">
                <a:solidFill>
                  <a:srgbClr val="002060"/>
                </a:solidFill>
              </a:ln>
              <a:effectLst/>
            </c:spPr>
          </c:marker>
          <c:xVal>
            <c:numRef>
              <c:f>Gut!$A$85:$A$119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Gut!$Y$85:$Y$119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B5B-4D6C-B7AB-EA5634AE8868}"/>
            </c:ext>
          </c:extLst>
        </c:ser>
        <c:ser>
          <c:idx val="7"/>
          <c:order val="7"/>
          <c:tx>
            <c:v>Test Set</c:v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FFC000"/>
              </a:solidFill>
              <a:ln w="12700">
                <a:solidFill>
                  <a:srgbClr val="FFC000"/>
                </a:solidFill>
              </a:ln>
              <a:effectLst/>
            </c:spPr>
          </c:marker>
          <c:xVal>
            <c:numRef>
              <c:f>'Test Set'!$A$6:$A$40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'Test Set'!$Y$6:$Y$40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5B-4D6C-B7AB-EA5634AE8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87103"/>
        <c:axId val="1135811103"/>
      </c:scatterChart>
      <c:valAx>
        <c:axId val="1238687103"/>
        <c:scaling>
          <c:orientation val="maxMin"/>
          <c:max val="34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11103"/>
        <c:crosses val="autoZero"/>
        <c:crossBetween val="midCat"/>
        <c:majorUnit val="4"/>
        <c:minorUnit val="1"/>
      </c:valAx>
      <c:valAx>
        <c:axId val="1135811103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8710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Nylon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Nylon!$A$5:$A$39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Nylon!$W$5:$W$39</c:f>
              <c:numCache>
                <c:formatCode>0.00</c:formatCode>
                <c:ptCount val="35"/>
                <c:pt idx="0">
                  <c:v>226.39741413622735</c:v>
                </c:pt>
                <c:pt idx="1">
                  <c:v>221.23429348403593</c:v>
                </c:pt>
                <c:pt idx="2">
                  <c:v>227.37842258752676</c:v>
                </c:pt>
                <c:pt idx="3">
                  <c:v>215.18630225743473</c:v>
                </c:pt>
                <c:pt idx="4">
                  <c:v>200.76986625665938</c:v>
                </c:pt>
                <c:pt idx="5">
                  <c:v>215.28278414095828</c:v>
                </c:pt>
                <c:pt idx="6">
                  <c:v>199.17221068800001</c:v>
                </c:pt>
                <c:pt idx="7">
                  <c:v>187.87501682565798</c:v>
                </c:pt>
                <c:pt idx="8">
                  <c:v>174.80240472812719</c:v>
                </c:pt>
                <c:pt idx="9">
                  <c:v>178.1115956561562</c:v>
                </c:pt>
                <c:pt idx="10">
                  <c:v>170.24753403807742</c:v>
                </c:pt>
                <c:pt idx="11">
                  <c:v>156.71366410325163</c:v>
                </c:pt>
                <c:pt idx="12">
                  <c:v>163.57799298548144</c:v>
                </c:pt>
                <c:pt idx="13">
                  <c:v>151.77781555199999</c:v>
                </c:pt>
                <c:pt idx="14">
                  <c:v>141.68690673347754</c:v>
                </c:pt>
                <c:pt idx="15">
                  <c:v>131.71718624020963</c:v>
                </c:pt>
                <c:pt idx="16">
                  <c:v>138.90841934796197</c:v>
                </c:pt>
                <c:pt idx="17">
                  <c:v>127.93302536356312</c:v>
                </c:pt>
                <c:pt idx="18">
                  <c:v>117.36137936726497</c:v>
                </c:pt>
                <c:pt idx="19">
                  <c:v>122.52964906558253</c:v>
                </c:pt>
                <c:pt idx="20">
                  <c:v>112.647414528</c:v>
                </c:pt>
                <c:pt idx="21">
                  <c:v>108.01346379231865</c:v>
                </c:pt>
                <c:pt idx="22">
                  <c:v>101.98336569279476</c:v>
                </c:pt>
                <c:pt idx="23">
                  <c:v>106.13865700624406</c:v>
                </c:pt>
                <c:pt idx="24">
                  <c:v>98.867708568987624</c:v>
                </c:pt>
                <c:pt idx="25">
                  <c:v>92.346533419502009</c:v>
                </c:pt>
                <c:pt idx="26">
                  <c:v>97.583681159802595</c:v>
                </c:pt>
                <c:pt idx="27">
                  <c:v>94.935699760000006</c:v>
                </c:pt>
                <c:pt idx="28">
                  <c:v>90.085788668639509</c:v>
                </c:pt>
                <c:pt idx="29">
                  <c:v>84.240305771624833</c:v>
                </c:pt>
                <c:pt idx="30">
                  <c:v>88.797351561053944</c:v>
                </c:pt>
                <c:pt idx="31">
                  <c:v>81.586087313982361</c:v>
                </c:pt>
                <c:pt idx="32">
                  <c:v>73.301494030398501</c:v>
                </c:pt>
                <c:pt idx="33">
                  <c:v>72.674506254712426</c:v>
                </c:pt>
                <c:pt idx="34">
                  <c:v>63.368297740000003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7E-4E31-9BDB-B2A06776E01E}"/>
            </c:ext>
          </c:extLst>
        </c:ser>
        <c:ser>
          <c:idx val="2"/>
          <c:order val="1"/>
          <c:tx>
            <c:v>KF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Fluorocarbon!$A$5:$A$39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Fluorocarbon!$W$5:$W$39</c:f>
              <c:numCache>
                <c:formatCode>0.00</c:formatCode>
                <c:ptCount val="35"/>
                <c:pt idx="0">
                  <c:v>371.04020650103922</c:v>
                </c:pt>
                <c:pt idx="1">
                  <c:v>362.57842543216998</c:v>
                </c:pt>
                <c:pt idx="2">
                  <c:v>372.64797035177997</c:v>
                </c:pt>
                <c:pt idx="3">
                  <c:v>352.66643981079579</c:v>
                </c:pt>
                <c:pt idx="4">
                  <c:v>329.0395030317473</c:v>
                </c:pt>
                <c:pt idx="5">
                  <c:v>352.82456289768163</c:v>
                </c:pt>
                <c:pt idx="6">
                  <c:v>326.421123072</c:v>
                </c:pt>
                <c:pt idx="7">
                  <c:v>307.90627757538385</c:v>
                </c:pt>
                <c:pt idx="8">
                  <c:v>286.48171885998619</c:v>
                </c:pt>
                <c:pt idx="9">
                  <c:v>291.90511510314485</c:v>
                </c:pt>
                <c:pt idx="10">
                  <c:v>279.01679189573798</c:v>
                </c:pt>
                <c:pt idx="11">
                  <c:v>256.83628283588462</c:v>
                </c:pt>
                <c:pt idx="12">
                  <c:v>268.08615517065016</c:v>
                </c:pt>
                <c:pt idx="13">
                  <c:v>248.746975488</c:v>
                </c:pt>
                <c:pt idx="14">
                  <c:v>232.2090971465326</c:v>
                </c:pt>
                <c:pt idx="15">
                  <c:v>215.86983300478803</c:v>
                </c:pt>
                <c:pt idx="16">
                  <c:v>227.65546504249318</c:v>
                </c:pt>
                <c:pt idx="17">
                  <c:v>209.66801379028399</c:v>
                </c:pt>
                <c:pt idx="18">
                  <c:v>192.34226062968426</c:v>
                </c:pt>
                <c:pt idx="19">
                  <c:v>200.81248041303803</c:v>
                </c:pt>
                <c:pt idx="20">
                  <c:v>184.61659603199999</c:v>
                </c:pt>
                <c:pt idx="21">
                  <c:v>171.46531920394975</c:v>
                </c:pt>
                <c:pt idx="22">
                  <c:v>161.89287648093878</c:v>
                </c:pt>
                <c:pt idx="23">
                  <c:v>168.48916852112285</c:v>
                </c:pt>
                <c:pt idx="24">
                  <c:v>156.94694544135257</c:v>
                </c:pt>
                <c:pt idx="25">
                  <c:v>146.59494542826778</c:v>
                </c:pt>
                <c:pt idx="26">
                  <c:v>154.90862390390188</c:v>
                </c:pt>
                <c:pt idx="27">
                  <c:v>146.11842484799999</c:v>
                </c:pt>
                <c:pt idx="28">
                  <c:v>138.65377908129733</c:v>
                </c:pt>
                <c:pt idx="29">
                  <c:v>129.65681844850081</c:v>
                </c:pt>
                <c:pt idx="30">
                  <c:v>136.67070631570911</c:v>
                </c:pt>
                <c:pt idx="31">
                  <c:v>125.57163003978152</c:v>
                </c:pt>
                <c:pt idx="32">
                  <c:v>112.82056037722205</c:v>
                </c:pt>
                <c:pt idx="33">
                  <c:v>111.85554440942695</c:v>
                </c:pt>
                <c:pt idx="34">
                  <c:v>97.532075652000003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7E-4E31-9BDB-B2A06776E01E}"/>
            </c:ext>
          </c:extLst>
        </c:ser>
        <c:ser>
          <c:idx val="3"/>
          <c:order val="2"/>
          <c:tx>
            <c:v>Gut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solidFill>
                  <a:srgbClr val="0070C0"/>
                </a:solidFill>
              </a:ln>
              <a:effectLst/>
            </c:spPr>
          </c:marker>
          <c:xVal>
            <c:numRef>
              <c:f>Gut!$A$5:$A$39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Gut!$W$5:$W$39</c:f>
              <c:numCache>
                <c:formatCode>0.00</c:formatCode>
                <c:ptCount val="35"/>
                <c:pt idx="0">
                  <c:v>276.70795061094452</c:v>
                </c:pt>
                <c:pt idx="1">
                  <c:v>270.39746981382171</c:v>
                </c:pt>
                <c:pt idx="2">
                  <c:v>277.90696094031051</c:v>
                </c:pt>
                <c:pt idx="3">
                  <c:v>263.00548053686464</c:v>
                </c:pt>
                <c:pt idx="4">
                  <c:v>245.38539209147257</c:v>
                </c:pt>
                <c:pt idx="5">
                  <c:v>263.123402838949</c:v>
                </c:pt>
                <c:pt idx="6">
                  <c:v>243.432701952</c:v>
                </c:pt>
                <c:pt idx="7">
                  <c:v>229.62502056469307</c:v>
                </c:pt>
                <c:pt idx="8">
                  <c:v>213.64738355659986</c:v>
                </c:pt>
                <c:pt idx="9">
                  <c:v>217.69195024641311</c:v>
                </c:pt>
                <c:pt idx="10">
                  <c:v>208.08031937987238</c:v>
                </c:pt>
                <c:pt idx="11">
                  <c:v>191.5389227928631</c:v>
                </c:pt>
                <c:pt idx="12">
                  <c:v>199.92865809336621</c:v>
                </c:pt>
                <c:pt idx="13">
                  <c:v>185.50621900799999</c:v>
                </c:pt>
                <c:pt idx="14">
                  <c:v>173.17288600758363</c:v>
                </c:pt>
                <c:pt idx="15">
                  <c:v>160.98767207136734</c:v>
                </c:pt>
                <c:pt idx="16">
                  <c:v>169.77695698084239</c:v>
                </c:pt>
                <c:pt idx="17">
                  <c:v>156.36258655546604</c:v>
                </c:pt>
                <c:pt idx="18">
                  <c:v>143.44168589332384</c:v>
                </c:pt>
                <c:pt idx="19">
                  <c:v>149.7584599690453</c:v>
                </c:pt>
                <c:pt idx="20">
                  <c:v>137.68017331199999</c:v>
                </c:pt>
                <c:pt idx="21">
                  <c:v>127.87244144023371</c:v>
                </c:pt>
                <c:pt idx="22">
                  <c:v>120.73367059595435</c:v>
                </c:pt>
                <c:pt idx="23">
                  <c:v>125.65293923609163</c:v>
                </c:pt>
                <c:pt idx="24">
                  <c:v>117.04517965117819</c:v>
                </c:pt>
                <c:pt idx="25">
                  <c:v>109.32504404819969</c:v>
                </c:pt>
                <c:pt idx="26">
                  <c:v>115.52507545375734</c:v>
                </c:pt>
                <c:pt idx="27">
                  <c:v>108.969672768</c:v>
                </c:pt>
                <c:pt idx="28">
                  <c:v>103.40281829791665</c:v>
                </c:pt>
                <c:pt idx="29">
                  <c:v>96.693220537865017</c:v>
                </c:pt>
                <c:pt idx="30">
                  <c:v>101.92391657442712</c:v>
                </c:pt>
                <c:pt idx="31">
                  <c:v>93.646639351701481</c:v>
                </c:pt>
                <c:pt idx="32">
                  <c:v>84.137367060979159</c:v>
                </c:pt>
                <c:pt idx="33">
                  <c:v>83.417694135843831</c:v>
                </c:pt>
                <c:pt idx="34">
                  <c:v>72.735785231999998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7E-4E31-9BDB-B2A06776E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87103"/>
        <c:axId val="1135811103"/>
      </c:scatterChart>
      <c:valAx>
        <c:axId val="1238687103"/>
        <c:scaling>
          <c:orientation val="maxMin"/>
          <c:max val="34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11103"/>
        <c:crosses val="autoZero"/>
        <c:crossBetween val="midCat"/>
        <c:majorUnit val="4"/>
        <c:minorUnit val="1"/>
      </c:valAx>
      <c:valAx>
        <c:axId val="11358111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8710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Tension 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Nylon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Nylon!$A$5:$A$39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Nylon!$AA$5:$AA$39</c:f>
              <c:numCache>
                <c:formatCode>0.00</c:formatCode>
                <c:ptCount val="35"/>
                <c:pt idx="0">
                  <c:v>46.24893065906241</c:v>
                </c:pt>
                <c:pt idx="1">
                  <c:v>45.194197724330699</c:v>
                </c:pt>
                <c:pt idx="2">
                  <c:v>52.074684846765514</c:v>
                </c:pt>
                <c:pt idx="3">
                  <c:v>56.853930101941721</c:v>
                </c:pt>
                <c:pt idx="4">
                  <c:v>56.766342320471374</c:v>
                </c:pt>
                <c:pt idx="5">
                  <c:v>67.108924930005443</c:v>
                </c:pt>
                <c:pt idx="6">
                  <c:v>68.140685179346207</c:v>
                </c:pt>
                <c:pt idx="7">
                  <c:v>68.230214918634317</c:v>
                </c:pt>
                <c:pt idx="8">
                  <c:v>69.207630714751076</c:v>
                </c:pt>
                <c:pt idx="9">
                  <c:v>76.602953611214176</c:v>
                </c:pt>
                <c:pt idx="10">
                  <c:v>77.23210928140584</c:v>
                </c:pt>
                <c:pt idx="11">
                  <c:v>76.815865617167162</c:v>
                </c:pt>
                <c:pt idx="12">
                  <c:v>86.385820278866589</c:v>
                </c:pt>
                <c:pt idx="13">
                  <c:v>84.11176600375471</c:v>
                </c:pt>
                <c:pt idx="14">
                  <c:v>86.175724770807022</c:v>
                </c:pt>
                <c:pt idx="15">
                  <c:v>91.408805391806823</c:v>
                </c:pt>
                <c:pt idx="16">
                  <c:v>106.9273589293489</c:v>
                </c:pt>
                <c:pt idx="17">
                  <c:v>110.77739538215987</c:v>
                </c:pt>
                <c:pt idx="18">
                  <c:v>111.53224828869773</c:v>
                </c:pt>
                <c:pt idx="19">
                  <c:v>125.06643591465995</c:v>
                </c:pt>
                <c:pt idx="20">
                  <c:v>123.18990612360572</c:v>
                </c:pt>
                <c:pt idx="21">
                  <c:v>132.55246263231851</c:v>
                </c:pt>
                <c:pt idx="22">
                  <c:v>139.56196783071707</c:v>
                </c:pt>
                <c:pt idx="23">
                  <c:v>154.18470217211399</c:v>
                </c:pt>
                <c:pt idx="24">
                  <c:v>156.5745019331562</c:v>
                </c:pt>
                <c:pt idx="25">
                  <c:v>156.72747904457299</c:v>
                </c:pt>
                <c:pt idx="26">
                  <c:v>184.13251061503192</c:v>
                </c:pt>
                <c:pt idx="27">
                  <c:v>207.94686605161647</c:v>
                </c:pt>
                <c:pt idx="28">
                  <c:v>214.21242758361268</c:v>
                </c:pt>
                <c:pt idx="29">
                  <c:v>216.75392260599682</c:v>
                </c:pt>
                <c:pt idx="30">
                  <c:v>251.76600935849959</c:v>
                </c:pt>
                <c:pt idx="31">
                  <c:v>264.05722992378628</c:v>
                </c:pt>
                <c:pt idx="32">
                  <c:v>251.47526826209568</c:v>
                </c:pt>
                <c:pt idx="33">
                  <c:v>273.75382809110482</c:v>
                </c:pt>
                <c:pt idx="34">
                  <c:v>260.99542034523859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49-456A-B54B-7F176799F6C3}"/>
            </c:ext>
          </c:extLst>
        </c:ser>
        <c:ser>
          <c:idx val="0"/>
          <c:order val="1"/>
          <c:tx>
            <c:v>KF Standard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Fluorocarbon!$A$5:$A$39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Fluorocarbon!$AA$5:$AA$39</c:f>
              <c:numCache>
                <c:formatCode>0.00</c:formatCode>
                <c:ptCount val="35"/>
                <c:pt idx="0">
                  <c:v>59.011395088336556</c:v>
                </c:pt>
                <c:pt idx="1">
                  <c:v>62.905346059312059</c:v>
                </c:pt>
                <c:pt idx="2">
                  <c:v>64.652356260133715</c:v>
                </c:pt>
                <c:pt idx="3">
                  <c:v>74.896358441862986</c:v>
                </c:pt>
                <c:pt idx="4">
                  <c:v>78.174173963318907</c:v>
                </c:pt>
                <c:pt idx="5">
                  <c:v>83.825098519657374</c:v>
                </c:pt>
                <c:pt idx="6">
                  <c:v>83.294791875280893</c:v>
                </c:pt>
                <c:pt idx="7">
                  <c:v>92.959077173963038</c:v>
                </c:pt>
                <c:pt idx="8">
                  <c:v>86.490851768733506</c:v>
                </c:pt>
                <c:pt idx="9">
                  <c:v>99.866414505196872</c:v>
                </c:pt>
                <c:pt idx="10">
                  <c:v>104.33220926168445</c:v>
                </c:pt>
                <c:pt idx="11">
                  <c:v>110.46118467062273</c:v>
                </c:pt>
                <c:pt idx="12">
                  <c:v>124.83768828727365</c:v>
                </c:pt>
                <c:pt idx="13">
                  <c:v>128.17925055227803</c:v>
                </c:pt>
                <c:pt idx="14">
                  <c:v>134.88573219369985</c:v>
                </c:pt>
                <c:pt idx="15">
                  <c:v>140.39919624743348</c:v>
                </c:pt>
                <c:pt idx="16">
                  <c:v>148.06443247951555</c:v>
                </c:pt>
                <c:pt idx="17">
                  <c:v>148.6172678410571</c:v>
                </c:pt>
                <c:pt idx="18">
                  <c:v>154.10166993293691</c:v>
                </c:pt>
                <c:pt idx="19">
                  <c:v>173.88382301731394</c:v>
                </c:pt>
                <c:pt idx="20">
                  <c:v>169.12512535613669</c:v>
                </c:pt>
                <c:pt idx="21">
                  <c:v>181.20999655946591</c:v>
                </c:pt>
                <c:pt idx="22">
                  <c:v>198.6724497738426</c:v>
                </c:pt>
                <c:pt idx="23">
                  <c:v>206.76731798258291</c:v>
                </c:pt>
                <c:pt idx="24">
                  <c:v>214.77840432131256</c:v>
                </c:pt>
                <c:pt idx="25">
                  <c:v>225.66538576931288</c:v>
                </c:pt>
                <c:pt idx="26">
                  <c:v>255.80055465972762</c:v>
                </c:pt>
                <c:pt idx="27">
                  <c:v>258.21257065683136</c:v>
                </c:pt>
                <c:pt idx="28">
                  <c:v>278.7799640027302</c:v>
                </c:pt>
                <c:pt idx="29">
                  <c:v>301.26046059764013</c:v>
                </c:pt>
                <c:pt idx="30">
                  <c:v>347.78458640711153</c:v>
                </c:pt>
                <c:pt idx="31">
                  <c:v>356.03165666512638</c:v>
                </c:pt>
                <c:pt idx="32">
                  <c:v>379.68096510928928</c:v>
                </c:pt>
                <c:pt idx="33">
                  <c:v>376.43334612234889</c:v>
                </c:pt>
                <c:pt idx="34">
                  <c:v>337.81267272435008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49-456A-B54B-7F176799F6C3}"/>
            </c:ext>
          </c:extLst>
        </c:ser>
        <c:ser>
          <c:idx val="2"/>
          <c:order val="2"/>
          <c:tx>
            <c:v>KF Light</c:v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Fluorocarbon!$A$45:$A$79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Fluorocarbon!$AA$45:$AA$79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49-456A-B54B-7F176799F6C3}"/>
            </c:ext>
          </c:extLst>
        </c:ser>
        <c:ser>
          <c:idx val="3"/>
          <c:order val="3"/>
          <c:tx>
            <c:v>KF Heavy</c:v>
          </c:tx>
          <c:spPr>
            <a:ln w="127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Fluorocarbon!$A$85:$A$119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Fluorocarbon!$AA$85:$AA$119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49-456A-B54B-7F176799F6C3}"/>
            </c:ext>
          </c:extLst>
        </c:ser>
        <c:ser>
          <c:idx val="4"/>
          <c:order val="4"/>
          <c:tx>
            <c:v>Gut Standard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solidFill>
                  <a:srgbClr val="0070C0"/>
                </a:solidFill>
              </a:ln>
              <a:effectLst/>
            </c:spPr>
          </c:marker>
          <c:xVal>
            <c:numRef>
              <c:f>Gut!$A$5:$A$39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Gut!$AA$5:$AA$39</c:f>
              <c:numCache>
                <c:formatCode>0.00</c:formatCode>
                <c:ptCount val="35"/>
                <c:pt idx="0">
                  <c:v>58.764927742455995</c:v>
                </c:pt>
                <c:pt idx="1">
                  <c:v>61.926997573823385</c:v>
                </c:pt>
                <c:pt idx="2">
                  <c:v>68.448724602729143</c:v>
                </c:pt>
                <c:pt idx="3">
                  <c:v>69.488136791262093</c:v>
                </c:pt>
                <c:pt idx="4">
                  <c:v>69.381085058353904</c:v>
                </c:pt>
                <c:pt idx="5">
                  <c:v>79.438811392188072</c:v>
                </c:pt>
                <c:pt idx="6">
                  <c:v>78.3120781410219</c:v>
                </c:pt>
                <c:pt idx="7">
                  <c:v>78.559183440053857</c:v>
                </c:pt>
                <c:pt idx="8">
                  <c:v>77.589916653994976</c:v>
                </c:pt>
                <c:pt idx="9">
                  <c:v>83.777680375871356</c:v>
                </c:pt>
                <c:pt idx="10">
                  <c:v>87.0896624724286</c:v>
                </c:pt>
                <c:pt idx="11">
                  <c:v>86.890862181137862</c:v>
                </c:pt>
                <c:pt idx="12">
                  <c:v>100.49510456130959</c:v>
                </c:pt>
                <c:pt idx="13">
                  <c:v>105.26553607880457</c:v>
                </c:pt>
                <c:pt idx="14">
                  <c:v>105.32588583098632</c:v>
                </c:pt>
                <c:pt idx="15">
                  <c:v>107.01832675920207</c:v>
                </c:pt>
                <c:pt idx="16">
                  <c:v>120.34161545546498</c:v>
                </c:pt>
                <c:pt idx="17">
                  <c:v>122.80688830473757</c:v>
                </c:pt>
                <c:pt idx="18">
                  <c:v>124.20636741241336</c:v>
                </c:pt>
                <c:pt idx="19">
                  <c:v>142.32022348963136</c:v>
                </c:pt>
                <c:pt idx="20">
                  <c:v>143.00689132538176</c:v>
                </c:pt>
                <c:pt idx="21">
                  <c:v>144.62032414508255</c:v>
                </c:pt>
                <c:pt idx="22">
                  <c:v>148.16250491608602</c:v>
                </c:pt>
                <c:pt idx="23">
                  <c:v>166.78202321556464</c:v>
                </c:pt>
                <c:pt idx="24">
                  <c:v>167.53708349409015</c:v>
                </c:pt>
                <c:pt idx="25">
                  <c:v>180.52840572050448</c:v>
                </c:pt>
                <c:pt idx="26">
                  <c:v>217.9864699657777</c:v>
                </c:pt>
                <c:pt idx="27">
                  <c:v>219.09652699650084</c:v>
                </c:pt>
                <c:pt idx="28">
                  <c:v>234.70378854996795</c:v>
                </c:pt>
                <c:pt idx="29">
                  <c:v>246.05427614789249</c:v>
                </c:pt>
                <c:pt idx="30">
                  <c:v>273.97405768490751</c:v>
                </c:pt>
                <c:pt idx="31">
                  <c:v>282.54929028953933</c:v>
                </c:pt>
                <c:pt idx="32">
                  <c:v>285.89428152605467</c:v>
                </c:pt>
                <c:pt idx="33">
                  <c:v>311.35873155246969</c:v>
                </c:pt>
                <c:pt idx="34">
                  <c:v>299.57735204844778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49-456A-B54B-7F176799F6C3}"/>
            </c:ext>
          </c:extLst>
        </c:ser>
        <c:ser>
          <c:idx val="5"/>
          <c:order val="5"/>
          <c:tx>
            <c:v>Gut Light</c:v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2700">
                <a:solidFill>
                  <a:srgbClr val="00B0F0"/>
                </a:solidFill>
              </a:ln>
              <a:effectLst/>
            </c:spPr>
          </c:marker>
          <c:xVal>
            <c:numRef>
              <c:f>Gut!$A$45:$A$79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Gut!$AA$45:$AA$79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1-48E4-9125-CEF666FCF668}"/>
            </c:ext>
          </c:extLst>
        </c:ser>
        <c:ser>
          <c:idx val="6"/>
          <c:order val="6"/>
          <c:tx>
            <c:v>Gut Heavy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12700">
                <a:solidFill>
                  <a:srgbClr val="002060"/>
                </a:solidFill>
              </a:ln>
              <a:effectLst/>
            </c:spPr>
          </c:marker>
          <c:xVal>
            <c:numRef>
              <c:f>Gut!$A$85:$A$119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Gut!$AA$85:$AA$119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61-48E4-9125-CEF666FCF668}"/>
            </c:ext>
          </c:extLst>
        </c:ser>
        <c:ser>
          <c:idx val="7"/>
          <c:order val="7"/>
          <c:tx>
            <c:v>Test Set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12700">
                <a:solidFill>
                  <a:schemeClr val="accent4"/>
                </a:solidFill>
              </a:ln>
              <a:effectLst/>
            </c:spPr>
          </c:marker>
          <c:xVal>
            <c:numRef>
              <c:f>'Test Set'!$A$6:$A$40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'Test Set'!$AA$6:$AA$40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49-456A-B54B-7F176799F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87103"/>
        <c:axId val="1135811103"/>
      </c:scatterChart>
      <c:valAx>
        <c:axId val="1238687103"/>
        <c:scaling>
          <c:orientation val="maxMin"/>
          <c:max val="34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11103"/>
        <c:crosses val="autoZero"/>
        <c:crossBetween val="midCat"/>
        <c:majorUnit val="4"/>
        <c:minorUnit val="1"/>
      </c:valAx>
      <c:valAx>
        <c:axId val="11358111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8710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Feel (N/mm)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Nylon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Nylon!$A$5:$A$39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Nylon!$AC$5:$AC$39</c:f>
              <c:numCache>
                <c:formatCode>0.00</c:formatCode>
                <c:ptCount val="35"/>
                <c:pt idx="0">
                  <c:v>2.534187981318488</c:v>
                </c:pt>
                <c:pt idx="1">
                  <c:v>2.2318122333002814</c:v>
                </c:pt>
                <c:pt idx="2">
                  <c:v>2.3942383837593342</c:v>
                </c:pt>
                <c:pt idx="3">
                  <c:v>2.3938496885028093</c:v>
                </c:pt>
                <c:pt idx="4">
                  <c:v>2.2045181483678205</c:v>
                </c:pt>
                <c:pt idx="5">
                  <c:v>2.3755371656639097</c:v>
                </c:pt>
                <c:pt idx="6">
                  <c:v>2.2341208255523348</c:v>
                </c:pt>
                <c:pt idx="7">
                  <c:v>2.0520365389062953</c:v>
                </c:pt>
                <c:pt idx="8">
                  <c:v>1.9224341865208632</c:v>
                </c:pt>
                <c:pt idx="9">
                  <c:v>1.9896871067847839</c:v>
                </c:pt>
                <c:pt idx="10">
                  <c:v>1.8279789179030967</c:v>
                </c:pt>
                <c:pt idx="11">
                  <c:v>1.6882607827948828</c:v>
                </c:pt>
                <c:pt idx="12">
                  <c:v>1.7540268076927226</c:v>
                </c:pt>
                <c:pt idx="13">
                  <c:v>1.5795636808216846</c:v>
                </c:pt>
                <c:pt idx="14">
                  <c:v>1.4922203423516367</c:v>
                </c:pt>
                <c:pt idx="15">
                  <c:v>1.4625408862689091</c:v>
                </c:pt>
                <c:pt idx="16">
                  <c:v>1.5724611607257191</c:v>
                </c:pt>
                <c:pt idx="17">
                  <c:v>1.5123193908827286</c:v>
                </c:pt>
                <c:pt idx="18">
                  <c:v>1.4162825179517171</c:v>
                </c:pt>
                <c:pt idx="19">
                  <c:v>1.4670549667408792</c:v>
                </c:pt>
                <c:pt idx="20">
                  <c:v>1.3426692765515611</c:v>
                </c:pt>
                <c:pt idx="21">
                  <c:v>1.3355411852122772</c:v>
                </c:pt>
                <c:pt idx="22">
                  <c:v>1.289256053863437</c:v>
                </c:pt>
                <c:pt idx="23">
                  <c:v>1.3178179672830255</c:v>
                </c:pt>
                <c:pt idx="24">
                  <c:v>1.2353017903996544</c:v>
                </c:pt>
                <c:pt idx="25">
                  <c:v>1.1398362112332581</c:v>
                </c:pt>
                <c:pt idx="26">
                  <c:v>1.2295994031053885</c:v>
                </c:pt>
                <c:pt idx="27">
                  <c:v>1.2737939727510963</c:v>
                </c:pt>
                <c:pt idx="28">
                  <c:v>1.2000696223171579</c:v>
                </c:pt>
                <c:pt idx="29">
                  <c:v>1.1187299231277255</c:v>
                </c:pt>
                <c:pt idx="30">
                  <c:v>1.1946192614875426</c:v>
                </c:pt>
                <c:pt idx="31">
                  <c:v>1.1645302311964114</c:v>
                </c:pt>
                <c:pt idx="32">
                  <c:v>1.0423845316563551</c:v>
                </c:pt>
                <c:pt idx="33">
                  <c:v>1.075653548491571</c:v>
                </c:pt>
                <c:pt idx="34">
                  <c:v>0.97842706783594591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3-49E1-8C53-559AF16D9809}"/>
            </c:ext>
          </c:extLst>
        </c:ser>
        <c:ser>
          <c:idx val="0"/>
          <c:order val="1"/>
          <c:tx>
            <c:v>KF Standard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Fluorocarbon!$A$5:$A$39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Fluorocarbon!$AC$5:$AC$39</c:f>
              <c:numCache>
                <c:formatCode>0.00</c:formatCode>
                <c:ptCount val="35"/>
                <c:pt idx="0">
                  <c:v>3.2335011007307704</c:v>
                </c:pt>
                <c:pt idx="1">
                  <c:v>3.1064368424351634</c:v>
                </c:pt>
                <c:pt idx="2">
                  <c:v>2.9725221269026996</c:v>
                </c:pt>
                <c:pt idx="3">
                  <c:v>3.1535308817626522</c:v>
                </c:pt>
                <c:pt idx="4">
                  <c:v>3.0358902510026762</c:v>
                </c:pt>
                <c:pt idx="5">
                  <c:v>2.9672601245896417</c:v>
                </c:pt>
                <c:pt idx="6">
                  <c:v>2.7309767827960947</c:v>
                </c:pt>
                <c:pt idx="7">
                  <c:v>2.7957617195176852</c:v>
                </c:pt>
                <c:pt idx="8">
                  <c:v>2.4025236602425974</c:v>
                </c:pt>
                <c:pt idx="9">
                  <c:v>2.593932844290828</c:v>
                </c:pt>
                <c:pt idx="10">
                  <c:v>2.469401402643419</c:v>
                </c:pt>
                <c:pt idx="11">
                  <c:v>2.4277183444092909</c:v>
                </c:pt>
                <c:pt idx="12">
                  <c:v>2.5347753966959119</c:v>
                </c:pt>
                <c:pt idx="13">
                  <c:v>2.4071220760991179</c:v>
                </c:pt>
                <c:pt idx="14">
                  <c:v>2.3356836743497809</c:v>
                </c:pt>
                <c:pt idx="15">
                  <c:v>2.2463871399589355</c:v>
                </c:pt>
                <c:pt idx="16">
                  <c:v>2.1774181246987578</c:v>
                </c:pt>
                <c:pt idx="17">
                  <c:v>2.0289046804239876</c:v>
                </c:pt>
                <c:pt idx="18">
                  <c:v>1.9568466023230084</c:v>
                </c:pt>
                <c:pt idx="19">
                  <c:v>2.0396929386195186</c:v>
                </c:pt>
                <c:pt idx="20">
                  <c:v>1.8433256169606178</c:v>
                </c:pt>
                <c:pt idx="21">
                  <c:v>1.8257934162162812</c:v>
                </c:pt>
                <c:pt idx="22">
                  <c:v>1.8353113143080149</c:v>
                </c:pt>
                <c:pt idx="23">
                  <c:v>1.7672420340391701</c:v>
                </c:pt>
                <c:pt idx="24">
                  <c:v>1.6945041761050301</c:v>
                </c:pt>
                <c:pt idx="25">
                  <c:v>1.6412028055950028</c:v>
                </c:pt>
                <c:pt idx="26">
                  <c:v>1.7081840044055268</c:v>
                </c:pt>
                <c:pt idx="27">
                  <c:v>1.5817002796743116</c:v>
                </c:pt>
                <c:pt idx="28">
                  <c:v>1.5617925154214576</c:v>
                </c:pt>
                <c:pt idx="29">
                  <c:v>1.5548926998587878</c:v>
                </c:pt>
                <c:pt idx="30">
                  <c:v>1.6502234230467925</c:v>
                </c:pt>
                <c:pt idx="31">
                  <c:v>1.5701506357888704</c:v>
                </c:pt>
                <c:pt idx="32">
                  <c:v>1.5738071092613026</c:v>
                </c:pt>
                <c:pt idx="33">
                  <c:v>1.4791094150190527</c:v>
                </c:pt>
                <c:pt idx="34">
                  <c:v>1.266401772162512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C3-49E1-8C53-559AF16D9809}"/>
            </c:ext>
          </c:extLst>
        </c:ser>
        <c:ser>
          <c:idx val="2"/>
          <c:order val="2"/>
          <c:tx>
            <c:v>KF Light</c:v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Fluorocarbon!$A$45:$A$79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Fluorocarbon!$AC$45:$AC$79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C3-49E1-8C53-559AF16D9809}"/>
            </c:ext>
          </c:extLst>
        </c:ser>
        <c:ser>
          <c:idx val="3"/>
          <c:order val="3"/>
          <c:tx>
            <c:v>KF Heavy</c:v>
          </c:tx>
          <c:spPr>
            <a:ln w="127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Fluorocarbon!$A$85:$A$119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Fluorocarbon!$AC$85:$AC$119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C3-49E1-8C53-559AF16D9809}"/>
            </c:ext>
          </c:extLst>
        </c:ser>
        <c:ser>
          <c:idx val="4"/>
          <c:order val="4"/>
          <c:tx>
            <c:v>Gut Standard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solidFill>
                  <a:srgbClr val="0070C0"/>
                </a:solidFill>
              </a:ln>
              <a:effectLst/>
            </c:spPr>
          </c:marker>
          <c:xVal>
            <c:numRef>
              <c:f>Gut!$A$5:$A$39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Gut!$AC$5:$AC$39</c:f>
              <c:numCache>
                <c:formatCode>0.00</c:formatCode>
                <c:ptCount val="35"/>
                <c:pt idx="0">
                  <c:v>3.2199960406825201</c:v>
                </c:pt>
                <c:pt idx="1">
                  <c:v>3.0581233369789325</c:v>
                </c:pt>
                <c:pt idx="2">
                  <c:v>3.1470677978266273</c:v>
                </c:pt>
                <c:pt idx="3">
                  <c:v>2.9258162859478776</c:v>
                </c:pt>
                <c:pt idx="4">
                  <c:v>2.6944110702273361</c:v>
                </c:pt>
                <c:pt idx="5">
                  <c:v>2.8119933236172767</c:v>
                </c:pt>
                <c:pt idx="6">
                  <c:v>2.5676091193777673</c:v>
                </c:pt>
                <c:pt idx="7">
                  <c:v>2.3626822087234243</c:v>
                </c:pt>
                <c:pt idx="8">
                  <c:v>2.1552754626109714</c:v>
                </c:pt>
                <c:pt idx="9">
                  <c:v>2.1760436461265287</c:v>
                </c:pt>
                <c:pt idx="10">
                  <c:v>2.0612937863296712</c:v>
                </c:pt>
                <c:pt idx="11">
                  <c:v>1.9096892787063267</c:v>
                </c:pt>
                <c:pt idx="12">
                  <c:v>2.0405097372854737</c:v>
                </c:pt>
                <c:pt idx="13">
                  <c:v>1.9768175789446869</c:v>
                </c:pt>
                <c:pt idx="14">
                  <c:v>1.823824862874222</c:v>
                </c:pt>
                <c:pt idx="15">
                  <c:v>1.7122932281472332</c:v>
                </c:pt>
                <c:pt idx="16">
                  <c:v>1.7697296390509556</c:v>
                </c:pt>
                <c:pt idx="17">
                  <c:v>1.6765445502353251</c:v>
                </c:pt>
                <c:pt idx="18">
                  <c:v>1.577223713173503</c:v>
                </c:pt>
                <c:pt idx="19">
                  <c:v>1.6694454368285203</c:v>
                </c:pt>
                <c:pt idx="20">
                  <c:v>1.5586582160804552</c:v>
                </c:pt>
                <c:pt idx="21">
                  <c:v>1.4571317294214867</c:v>
                </c:pt>
                <c:pt idx="22">
                  <c:v>1.3687067428737738</c:v>
                </c:pt>
                <c:pt idx="23">
                  <c:v>1.4254873779108088</c:v>
                </c:pt>
                <c:pt idx="24">
                  <c:v>1.3217915857521905</c:v>
                </c:pt>
                <c:pt idx="25">
                  <c:v>1.3129338597854872</c:v>
                </c:pt>
                <c:pt idx="26">
                  <c:v>1.4556692485193836</c:v>
                </c:pt>
                <c:pt idx="27">
                  <c:v>1.3420920489831598</c:v>
                </c:pt>
                <c:pt idx="28">
                  <c:v>1.3148671627449184</c:v>
                </c:pt>
                <c:pt idx="29">
                  <c:v>1.2699575543117032</c:v>
                </c:pt>
                <c:pt idx="30">
                  <c:v>1.2999955287540095</c:v>
                </c:pt>
                <c:pt idx="31">
                  <c:v>1.2460828678700742</c:v>
                </c:pt>
                <c:pt idx="32">
                  <c:v>1.1850540166883095</c:v>
                </c:pt>
                <c:pt idx="33">
                  <c:v>1.2234134835067572</c:v>
                </c:pt>
                <c:pt idx="34">
                  <c:v>1.1230641126464771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C3-49E1-8C53-559AF16D9809}"/>
            </c:ext>
          </c:extLst>
        </c:ser>
        <c:ser>
          <c:idx val="5"/>
          <c:order val="5"/>
          <c:tx>
            <c:v>Gut Light</c:v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2700">
                <a:solidFill>
                  <a:srgbClr val="00B0F0"/>
                </a:solidFill>
              </a:ln>
              <a:effectLst/>
            </c:spPr>
          </c:marker>
          <c:xVal>
            <c:numRef>
              <c:f>Gut!$A$45:$A$79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Gut!$AC$45:$AC$79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B6-4AF8-8A40-1386E2FCFE43}"/>
            </c:ext>
          </c:extLst>
        </c:ser>
        <c:ser>
          <c:idx val="6"/>
          <c:order val="6"/>
          <c:tx>
            <c:v>Gut Heavy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12700">
                <a:solidFill>
                  <a:srgbClr val="002060"/>
                </a:solidFill>
              </a:ln>
              <a:effectLst/>
            </c:spPr>
          </c:marker>
          <c:xVal>
            <c:numRef>
              <c:f>Gut!$A$85:$A$119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Gut!$AC$85:$AC$119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B6-4AF8-8A40-1386E2FCFE43}"/>
            </c:ext>
          </c:extLst>
        </c:ser>
        <c:ser>
          <c:idx val="7"/>
          <c:order val="7"/>
          <c:tx>
            <c:v>Test Set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12700">
                <a:solidFill>
                  <a:schemeClr val="accent4"/>
                </a:solidFill>
              </a:ln>
              <a:effectLst/>
            </c:spPr>
          </c:marker>
          <c:xVal>
            <c:numRef>
              <c:f>'Test Set'!$A$6:$A$40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'Test Set'!$AC$6:$AC$40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B6-4AF8-8A40-1386E2FCF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87103"/>
        <c:axId val="1135811103"/>
      </c:scatterChart>
      <c:valAx>
        <c:axId val="1238687103"/>
        <c:scaling>
          <c:orientation val="maxMin"/>
          <c:max val="34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11103"/>
        <c:crosses val="autoZero"/>
        <c:crossBetween val="midCat"/>
        <c:majorUnit val="4"/>
        <c:minorUnit val="1"/>
      </c:valAx>
      <c:valAx>
        <c:axId val="1135811103"/>
        <c:scaling>
          <c:orientation val="minMax"/>
          <c:max val="3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8710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Young's Modulus (GPa)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Nylon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Nylon!$A$5:$A$39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Nylon!$AD$5:$AD$39</c:f>
              <c:numCache>
                <c:formatCode>0.00</c:formatCode>
                <c:ptCount val="35"/>
                <c:pt idx="0">
                  <c:v>13.331368309823388</c:v>
                </c:pt>
                <c:pt idx="1">
                  <c:v>13.130626591915838</c:v>
                </c:pt>
                <c:pt idx="2">
                  <c:v>13.369509839929233</c:v>
                </c:pt>
                <c:pt idx="3">
                  <c:v>12.895481176864882</c:v>
                </c:pt>
                <c:pt idx="4">
                  <c:v>12.334971298469615</c:v>
                </c:pt>
                <c:pt idx="5">
                  <c:v>12.899232384777726</c:v>
                </c:pt>
                <c:pt idx="6">
                  <c:v>12.272854577772584</c:v>
                </c:pt>
                <c:pt idx="7">
                  <c:v>11.833620584180235</c:v>
                </c:pt>
                <c:pt idx="8">
                  <c:v>11.325358471637205</c:v>
                </c:pt>
                <c:pt idx="9">
                  <c:v>11.4540195501837</c:v>
                </c:pt>
                <c:pt idx="10">
                  <c:v>11.148265463597728</c:v>
                </c:pt>
                <c:pt idx="11">
                  <c:v>10.622069683241294</c:v>
                </c:pt>
                <c:pt idx="12">
                  <c:v>10.888954241036078</c:v>
                </c:pt>
                <c:pt idx="13">
                  <c:v>10.430164286436515</c:v>
                </c:pt>
                <c:pt idx="14">
                  <c:v>10.037830558845068</c:v>
                </c:pt>
                <c:pt idx="15">
                  <c:v>9.6502086236444509</c:v>
                </c:pt>
                <c:pt idx="16">
                  <c:v>9.9298031915752141</c:v>
                </c:pt>
                <c:pt idx="17">
                  <c:v>9.5030807514933038</c:v>
                </c:pt>
                <c:pt idx="18">
                  <c:v>9.0920560008889133</c:v>
                </c:pt>
                <c:pt idx="19">
                  <c:v>9.2929979132979241</c:v>
                </c:pt>
                <c:pt idx="20">
                  <c:v>8.9087774250554777</c:v>
                </c:pt>
                <c:pt idx="21">
                  <c:v>8.7286097911682461</c:v>
                </c:pt>
                <c:pt idx="22">
                  <c:v>8.4941600594666049</c:v>
                </c:pt>
                <c:pt idx="23">
                  <c:v>8.6557174533102081</c:v>
                </c:pt>
                <c:pt idx="24">
                  <c:v>8.3730235597455529</c:v>
                </c:pt>
                <c:pt idx="25">
                  <c:v>8.1194807916275646</c:v>
                </c:pt>
                <c:pt idx="26">
                  <c:v>8.3231006767986315</c:v>
                </c:pt>
                <c:pt idx="27">
                  <c:v>8.2201473718128195</c:v>
                </c:pt>
                <c:pt idx="28">
                  <c:v>8.0315832165736101</c:v>
                </c:pt>
                <c:pt idx="29">
                  <c:v>7.8043113091763114</c:v>
                </c:pt>
                <c:pt idx="30">
                  <c:v>7.9814888849056516</c:v>
                </c:pt>
                <c:pt idx="31">
                  <c:v>7.7011155078806492</c:v>
                </c:pt>
                <c:pt idx="32">
                  <c:v>7.3790111837823709</c:v>
                </c:pt>
                <c:pt idx="33">
                  <c:v>7.354633949222718</c:v>
                </c:pt>
                <c:pt idx="34">
                  <c:v>6.9928093066673807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F-40C6-8969-57D0125F675C}"/>
            </c:ext>
          </c:extLst>
        </c:ser>
        <c:ser>
          <c:idx val="0"/>
          <c:order val="1"/>
          <c:tx>
            <c:v>KF Standard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Fluorocarbon!$A$5:$A$39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Fluorocarbon!$AD$5:$AD$39</c:f>
              <c:numCache>
                <c:formatCode>0.00</c:formatCode>
                <c:ptCount val="35"/>
                <c:pt idx="0">
                  <c:v>18.463660920514691</c:v>
                </c:pt>
                <c:pt idx="1">
                  <c:v>18.116647086681844</c:v>
                </c:pt>
                <c:pt idx="2">
                  <c:v>18.529594592539837</c:v>
                </c:pt>
                <c:pt idx="3">
                  <c:v>17.71016101674282</c:v>
                </c:pt>
                <c:pt idx="4">
                  <c:v>16.741230971555591</c:v>
                </c:pt>
                <c:pt idx="5">
                  <c:v>17.716645573380617</c:v>
                </c:pt>
                <c:pt idx="6">
                  <c:v>16.633852387677337</c:v>
                </c:pt>
                <c:pt idx="7">
                  <c:v>15.874566905541583</c:v>
                </c:pt>
                <c:pt idx="8">
                  <c:v>14.995955393674548</c:v>
                </c:pt>
                <c:pt idx="9">
                  <c:v>15.218366433078174</c:v>
                </c:pt>
                <c:pt idx="10">
                  <c:v>14.689822098087861</c:v>
                </c:pt>
                <c:pt idx="11">
                  <c:v>13.780209402772352</c:v>
                </c:pt>
                <c:pt idx="12">
                  <c:v>14.241561604778536</c:v>
                </c:pt>
                <c:pt idx="13">
                  <c:v>13.448470548623911</c:v>
                </c:pt>
                <c:pt idx="14">
                  <c:v>12.770259599885586</c:v>
                </c:pt>
                <c:pt idx="15">
                  <c:v>12.100193730101505</c:v>
                </c:pt>
                <c:pt idx="16">
                  <c:v>12.583517196433377</c:v>
                </c:pt>
                <c:pt idx="17">
                  <c:v>11.845859914933341</c:v>
                </c:pt>
                <c:pt idx="18">
                  <c:v>9.4537620802583628</c:v>
                </c:pt>
                <c:pt idx="19">
                  <c:v>9.7298220435000662</c:v>
                </c:pt>
                <c:pt idx="20">
                  <c:v>9.2019685330536198</c:v>
                </c:pt>
                <c:pt idx="21">
                  <c:v>8.7733443543908649</c:v>
                </c:pt>
                <c:pt idx="22">
                  <c:v>8.461360928477756</c:v>
                </c:pt>
                <c:pt idx="23">
                  <c:v>8.6763461572817882</c:v>
                </c:pt>
                <c:pt idx="24">
                  <c:v>8.300163984843838</c:v>
                </c:pt>
                <c:pt idx="25">
                  <c:v>7.9627733602573807</c:v>
                </c:pt>
                <c:pt idx="26">
                  <c:v>8.2337313558099066</c:v>
                </c:pt>
                <c:pt idx="27">
                  <c:v>7.9472426825137914</c:v>
                </c:pt>
                <c:pt idx="28">
                  <c:v>7.7039562166751994</c:v>
                </c:pt>
                <c:pt idx="29">
                  <c:v>7.4107288052144025</c:v>
                </c:pt>
                <c:pt idx="30">
                  <c:v>7.6393242462215181</c:v>
                </c:pt>
                <c:pt idx="31">
                  <c:v>7.2775850390794528</c:v>
                </c:pt>
                <c:pt idx="32">
                  <c:v>6.862004344319157</c:v>
                </c:pt>
                <c:pt idx="33">
                  <c:v>6.8305527079494937</c:v>
                </c:pt>
                <c:pt idx="34">
                  <c:v>6.363724649197124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0F-40C6-8969-57D0125F675C}"/>
            </c:ext>
          </c:extLst>
        </c:ser>
        <c:ser>
          <c:idx val="2"/>
          <c:order val="2"/>
          <c:tx>
            <c:v>KF Light</c:v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Fluorocarbon!$A$45:$A$79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Fluorocarbon!$AD$45:$AD$79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0F-40C6-8969-57D0125F675C}"/>
            </c:ext>
          </c:extLst>
        </c:ser>
        <c:ser>
          <c:idx val="3"/>
          <c:order val="3"/>
          <c:tx>
            <c:v>KF Heavy</c:v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Fluorocarbon!$A$85:$A$119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Fluorocarbon!$AD$85:$AD$119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0F-40C6-8969-57D0125F675C}"/>
            </c:ext>
          </c:extLst>
        </c:ser>
        <c:ser>
          <c:idx val="4"/>
          <c:order val="4"/>
          <c:tx>
            <c:v>Gut Standard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solidFill>
                  <a:srgbClr val="0070C0"/>
                </a:solidFill>
              </a:ln>
              <a:effectLst/>
            </c:spPr>
          </c:marker>
          <c:xVal>
            <c:numRef>
              <c:f>Gut!$A$5:$A$39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Gut!$AD$5:$AD$39</c:f>
              <c:numCache>
                <c:formatCode>0.00</c:formatCode>
                <c:ptCount val="35"/>
                <c:pt idx="0">
                  <c:v>6.5292526411974832</c:v>
                </c:pt>
                <c:pt idx="1">
                  <c:v>6.5017808846108354</c:v>
                </c:pt>
                <c:pt idx="2">
                  <c:v>6.4735158195218414</c:v>
                </c:pt>
                <c:pt idx="3">
                  <c:v>6.4444810902804077</c:v>
                </c:pt>
                <c:pt idx="4">
                  <c:v>6.4147006498018122</c:v>
                </c:pt>
                <c:pt idx="5">
                  <c:v>6.3841987153685906</c:v>
                </c:pt>
                <c:pt idx="6">
                  <c:v>6.4212086514912716</c:v>
                </c:pt>
                <c:pt idx="7">
                  <c:v>6.3929857543498434</c:v>
                </c:pt>
                <c:pt idx="8">
                  <c:v>6.3641529512957193</c:v>
                </c:pt>
                <c:pt idx="9">
                  <c:v>6.3347300476775441</c:v>
                </c:pt>
                <c:pt idx="10">
                  <c:v>6.2895328487649378</c:v>
                </c:pt>
                <c:pt idx="11">
                  <c:v>6.2431203080667235</c:v>
                </c:pt>
                <c:pt idx="12">
                  <c:v>6.2445770469577218</c:v>
                </c:pt>
                <c:pt idx="13">
                  <c:v>6.1689186455145038</c:v>
                </c:pt>
                <c:pt idx="14">
                  <c:v>6.1222549688387407</c:v>
                </c:pt>
                <c:pt idx="15">
                  <c:v>6.0586761016560011</c:v>
                </c:pt>
                <c:pt idx="16">
                  <c:v>6.0100455160736628</c:v>
                </c:pt>
                <c:pt idx="17">
                  <c:v>5.9273589894770797</c:v>
                </c:pt>
                <c:pt idx="18">
                  <c:v>5.8428503709650883</c:v>
                </c:pt>
                <c:pt idx="19">
                  <c:v>5.9606258830169283</c:v>
                </c:pt>
                <c:pt idx="20">
                  <c:v>5.8860415931918402</c:v>
                </c:pt>
                <c:pt idx="21">
                  <c:v>5.8101095372821252</c:v>
                </c:pt>
                <c:pt idx="22">
                  <c:v>5.7967197240282875</c:v>
                </c:pt>
                <c:pt idx="23">
                  <c:v>5.7219954899818388</c:v>
                </c:pt>
                <c:pt idx="24">
                  <c:v>5.64635522179017</c:v>
                </c:pt>
                <c:pt idx="25">
                  <c:v>5.4929110944188251</c:v>
                </c:pt>
                <c:pt idx="26">
                  <c:v>5.3374995940446404</c:v>
                </c:pt>
                <c:pt idx="27">
                  <c:v>5.8143194353318872</c:v>
                </c:pt>
                <c:pt idx="28">
                  <c:v>5.698630467430263</c:v>
                </c:pt>
                <c:pt idx="29">
                  <c:v>5.5808568416690871</c:v>
                </c:pt>
                <c:pt idx="30">
                  <c:v>5.7160552325567373</c:v>
                </c:pt>
                <c:pt idx="31">
                  <c:v>5.5983296929375452</c:v>
                </c:pt>
                <c:pt idx="32">
                  <c:v>5.46805733229289</c:v>
                </c:pt>
                <c:pt idx="33">
                  <c:v>5.4116037077554733</c:v>
                </c:pt>
                <c:pt idx="34">
                  <c:v>5.293392493718307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0F-40C6-8969-57D0125F675C}"/>
            </c:ext>
          </c:extLst>
        </c:ser>
        <c:ser>
          <c:idx val="5"/>
          <c:order val="5"/>
          <c:tx>
            <c:v>Gut Light</c:v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2700">
                <a:solidFill>
                  <a:srgbClr val="00B0F0"/>
                </a:solidFill>
              </a:ln>
              <a:effectLst/>
            </c:spPr>
          </c:marker>
          <c:xVal>
            <c:numRef>
              <c:f>Gut!$A$45:$A$79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Gut!$AD$45:$AD$79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EC-4C1F-81EE-BB38FB4B98D0}"/>
            </c:ext>
          </c:extLst>
        </c:ser>
        <c:ser>
          <c:idx val="6"/>
          <c:order val="6"/>
          <c:tx>
            <c:v>Gut Heavy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12700">
                <a:solidFill>
                  <a:srgbClr val="002060"/>
                </a:solidFill>
              </a:ln>
              <a:effectLst/>
            </c:spPr>
          </c:marker>
          <c:xVal>
            <c:numRef>
              <c:f>Gut!$A$85:$A$119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Gut!$AD$85:$AD$119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EC-4C1F-81EE-BB38FB4B98D0}"/>
            </c:ext>
          </c:extLst>
        </c:ser>
        <c:ser>
          <c:idx val="7"/>
          <c:order val="7"/>
          <c:tx>
            <c:v>Test Set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12700">
                <a:solidFill>
                  <a:schemeClr val="accent4"/>
                </a:solidFill>
              </a:ln>
              <a:effectLst/>
            </c:spPr>
          </c:marker>
          <c:xVal>
            <c:numRef>
              <c:f>'Test Set'!$A$6:$A$40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'Test Set'!$AD$6:$AD$40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EC-4C1F-81EE-BB38FB4B9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87103"/>
        <c:axId val="1135811103"/>
      </c:scatterChart>
      <c:valAx>
        <c:axId val="1238687103"/>
        <c:scaling>
          <c:orientation val="maxMin"/>
          <c:max val="34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11103"/>
        <c:crosses val="autoZero"/>
        <c:crossBetween val="midCat"/>
        <c:majorUnit val="4"/>
        <c:minorUnit val="1"/>
      </c:valAx>
      <c:valAx>
        <c:axId val="11358111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8710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Inharmonicity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Nylon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Nylon!$A$5:$A$39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Nylon!$AE$5:$AE$39</c:f>
              <c:numCache>
                <c:formatCode>0.00</c:formatCode>
                <c:ptCount val="35"/>
                <c:pt idx="0">
                  <c:v>6.8467177044950605</c:v>
                </c:pt>
                <c:pt idx="1">
                  <c:v>5.6051577901858822</c:v>
                </c:pt>
                <c:pt idx="2">
                  <c:v>5.3963458473740822</c:v>
                </c:pt>
                <c:pt idx="3">
                  <c:v>5.3212814601888638</c:v>
                </c:pt>
                <c:pt idx="4">
                  <c:v>4.9665200159331793</c:v>
                </c:pt>
                <c:pt idx="5">
                  <c:v>4.4367330885702554</c:v>
                </c:pt>
                <c:pt idx="6">
                  <c:v>4.2960524930142929</c:v>
                </c:pt>
                <c:pt idx="7">
                  <c:v>3.9223620352799431</c:v>
                </c:pt>
                <c:pt idx="8">
                  <c:v>3.752155191434472</c:v>
                </c:pt>
                <c:pt idx="9">
                  <c:v>3.5373028872580328</c:v>
                </c:pt>
                <c:pt idx="10">
                  <c:v>3.1547487142854171</c:v>
                </c:pt>
                <c:pt idx="11">
                  <c:v>3.042273209268207</c:v>
                </c:pt>
                <c:pt idx="12">
                  <c:v>2.7475213446541087</c:v>
                </c:pt>
                <c:pt idx="13">
                  <c:v>2.5460489053739876</c:v>
                </c:pt>
                <c:pt idx="14">
                  <c:v>2.4492665484582679</c:v>
                </c:pt>
                <c:pt idx="15">
                  <c:v>2.4674847234410726</c:v>
                </c:pt>
                <c:pt idx="16">
                  <c:v>2.2559484820837157</c:v>
                </c:pt>
                <c:pt idx="17">
                  <c:v>2.2725300360212541</c:v>
                </c:pt>
                <c:pt idx="18">
                  <c:v>2.2505345505886258</c:v>
                </c:pt>
                <c:pt idx="19">
                  <c:v>2.0192966267650827</c:v>
                </c:pt>
                <c:pt idx="20">
                  <c:v>1.9476606577047926</c:v>
                </c:pt>
                <c:pt idx="21">
                  <c:v>1.9084936674975184</c:v>
                </c:pt>
                <c:pt idx="22">
                  <c:v>1.8439438600394511</c:v>
                </c:pt>
                <c:pt idx="23">
                  <c:v>1.6405902228204561</c:v>
                </c:pt>
                <c:pt idx="24">
                  <c:v>1.5826072091116901</c:v>
                </c:pt>
                <c:pt idx="25">
                  <c:v>1.4962407453377806</c:v>
                </c:pt>
                <c:pt idx="26">
                  <c:v>1.3605115328780986</c:v>
                </c:pt>
                <c:pt idx="27">
                  <c:v>1.3490907131027559</c:v>
                </c:pt>
                <c:pt idx="28">
                  <c:v>1.2613379908898223</c:v>
                </c:pt>
                <c:pt idx="29">
                  <c:v>1.2037960670573475</c:v>
                </c:pt>
                <c:pt idx="30">
                  <c:v>1.0877284256312378</c:v>
                </c:pt>
                <c:pt idx="31">
                  <c:v>1.1264179391463169</c:v>
                </c:pt>
                <c:pt idx="32">
                  <c:v>1.1248841895090287</c:v>
                </c:pt>
                <c:pt idx="33">
                  <c:v>1.1157224480416925</c:v>
                </c:pt>
                <c:pt idx="34">
                  <c:v>1.210894468629099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9-44EA-8D77-6183CC062AE8}"/>
            </c:ext>
          </c:extLst>
        </c:ser>
        <c:ser>
          <c:idx val="0"/>
          <c:order val="1"/>
          <c:tx>
            <c:v>KF Standard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Fluorocarbon!$A$5:$A$39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Fluorocarbon!$AE$5:$AE$39</c:f>
              <c:numCache>
                <c:formatCode>0.00</c:formatCode>
                <c:ptCount val="35"/>
                <c:pt idx="0">
                  <c:v>4.5046460820491188</c:v>
                </c:pt>
                <c:pt idx="1">
                  <c:v>4.0076156966946916</c:v>
                </c:pt>
                <c:pt idx="2">
                  <c:v>3.4570757293375598</c:v>
                </c:pt>
                <c:pt idx="3">
                  <c:v>3.5842837056373802</c:v>
                </c:pt>
                <c:pt idx="4">
                  <c:v>3.4560085032900565</c:v>
                </c:pt>
                <c:pt idx="5">
                  <c:v>2.8338424529852819</c:v>
                </c:pt>
                <c:pt idx="6">
                  <c:v>2.6498980379890531</c:v>
                </c:pt>
                <c:pt idx="7">
                  <c:v>2.6689962549957325</c:v>
                </c:pt>
                <c:pt idx="8">
                  <c:v>2.311639709088642</c:v>
                </c:pt>
                <c:pt idx="9">
                  <c:v>2.2811680816063045</c:v>
                </c:pt>
                <c:pt idx="10">
                  <c:v>2.0907181656382066</c:v>
                </c:pt>
                <c:pt idx="11">
                  <c:v>2.1130249735495341</c:v>
                </c:pt>
                <c:pt idx="12">
                  <c:v>1.9333778992091246</c:v>
                </c:pt>
                <c:pt idx="13">
                  <c:v>1.8625607354339619</c:v>
                </c:pt>
                <c:pt idx="14">
                  <c:v>1.8158416104641597</c:v>
                </c:pt>
                <c:pt idx="15">
                  <c:v>1.7692437109425623</c:v>
                </c:pt>
                <c:pt idx="16">
                  <c:v>1.4738506195023149</c:v>
                </c:pt>
                <c:pt idx="17">
                  <c:v>1.4149168104864764</c:v>
                </c:pt>
                <c:pt idx="18">
                  <c:v>1.2037494935112771</c:v>
                </c:pt>
                <c:pt idx="19">
                  <c:v>1.0943810439850308</c:v>
                </c:pt>
                <c:pt idx="20">
                  <c:v>1.0282765038029698</c:v>
                </c:pt>
                <c:pt idx="21">
                  <c:v>1.0406588299244879</c:v>
                </c:pt>
                <c:pt idx="22">
                  <c:v>1.0376269417741748</c:v>
                </c:pt>
                <c:pt idx="23">
                  <c:v>0.87514039075585348</c:v>
                </c:pt>
                <c:pt idx="24">
                  <c:v>0.85398506173115896</c:v>
                </c:pt>
                <c:pt idx="25">
                  <c:v>0.83841796634319143</c:v>
                </c:pt>
                <c:pt idx="26">
                  <c:v>0.74197279506296354</c:v>
                </c:pt>
                <c:pt idx="27">
                  <c:v>0.68367889563035278</c:v>
                </c:pt>
                <c:pt idx="28">
                  <c:v>0.66467625128681629</c:v>
                </c:pt>
                <c:pt idx="29">
                  <c:v>0.67066180578979795</c:v>
                </c:pt>
                <c:pt idx="30">
                  <c:v>0.60709113475400078</c:v>
                </c:pt>
                <c:pt idx="31">
                  <c:v>0.60586087811573131</c:v>
                </c:pt>
                <c:pt idx="32">
                  <c:v>0.66670440642386075</c:v>
                </c:pt>
                <c:pt idx="33">
                  <c:v>0.6014894178071355</c:v>
                </c:pt>
                <c:pt idx="34">
                  <c:v>0.60208552860170228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9-44EA-8D77-6183CC062AE8}"/>
            </c:ext>
          </c:extLst>
        </c:ser>
        <c:ser>
          <c:idx val="2"/>
          <c:order val="2"/>
          <c:tx>
            <c:v>KF Light</c:v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Fluorocarbon!$A$45:$A$79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Fluorocarbon!$AE$45:$AE$79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39-44EA-8D77-6183CC062AE8}"/>
            </c:ext>
          </c:extLst>
        </c:ser>
        <c:ser>
          <c:idx val="3"/>
          <c:order val="3"/>
          <c:tx>
            <c:v>KF Heavy</c:v>
          </c:tx>
          <c:spPr>
            <a:ln w="127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Fluorocarbon!$A$85:$A$119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Fluorocarbon!$AE$85:$AE$119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39-44EA-8D77-6183CC062AE8}"/>
            </c:ext>
          </c:extLst>
        </c:ser>
        <c:ser>
          <c:idx val="4"/>
          <c:order val="4"/>
          <c:tx>
            <c:v>Gut Standard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solidFill>
                  <a:srgbClr val="0070C0"/>
                </a:solidFill>
              </a:ln>
              <a:effectLst/>
            </c:spPr>
          </c:marker>
          <c:xVal>
            <c:numRef>
              <c:f>Gut!$A$5:$A$39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Gut!$AE$5:$AE$39</c:f>
              <c:numCache>
                <c:formatCode>0.00</c:formatCode>
                <c:ptCount val="35"/>
                <c:pt idx="0">
                  <c:v>2.8522482853364641</c:v>
                </c:pt>
                <c:pt idx="1">
                  <c:v>2.5458435586680079</c:v>
                </c:pt>
                <c:pt idx="2">
                  <c:v>2.2991264753104539</c:v>
                </c:pt>
                <c:pt idx="3">
                  <c:v>2.1757873974555149</c:v>
                </c:pt>
                <c:pt idx="4">
                  <c:v>2.1131983618929087</c:v>
                </c:pt>
                <c:pt idx="5">
                  <c:v>1.7400348100733378</c:v>
                </c:pt>
                <c:pt idx="6">
                  <c:v>1.7292694710266463</c:v>
                </c:pt>
                <c:pt idx="7">
                  <c:v>1.6332536700476747</c:v>
                </c:pt>
                <c:pt idx="8">
                  <c:v>1.5824150195102227</c:v>
                </c:pt>
                <c:pt idx="9">
                  <c:v>1.432270033932765</c:v>
                </c:pt>
                <c:pt idx="10">
                  <c:v>1.3435202604902836</c:v>
                </c:pt>
                <c:pt idx="11">
                  <c:v>1.3539842021449382</c:v>
                </c:pt>
                <c:pt idx="12">
                  <c:v>1.2270436834750733</c:v>
                </c:pt>
                <c:pt idx="13">
                  <c:v>1.2615769307341151</c:v>
                </c:pt>
                <c:pt idx="14">
                  <c:v>1.2222426302506295</c:v>
                </c:pt>
                <c:pt idx="15">
                  <c:v>1.2141302444815587</c:v>
                </c:pt>
                <c:pt idx="16">
                  <c:v>1.0287099572072975</c:v>
                </c:pt>
                <c:pt idx="17">
                  <c:v>1.0519077855509344</c:v>
                </c:pt>
                <c:pt idx="18">
                  <c:v>1.0781803175636229</c:v>
                </c:pt>
                <c:pt idx="19">
                  <c:v>0.98664662898537792</c:v>
                </c:pt>
                <c:pt idx="20">
                  <c:v>1</c:v>
                </c:pt>
                <c:pt idx="21">
                  <c:v>0.98894779555337753</c:v>
                </c:pt>
                <c:pt idx="22">
                  <c:v>0.95319697712840445</c:v>
                </c:pt>
                <c:pt idx="23">
                  <c:v>0.8370557476320023</c:v>
                </c:pt>
                <c:pt idx="24">
                  <c:v>0.81479960119338157</c:v>
                </c:pt>
                <c:pt idx="25">
                  <c:v>0.83191328445954793</c:v>
                </c:pt>
                <c:pt idx="26">
                  <c:v>0.73698028613593625</c:v>
                </c:pt>
                <c:pt idx="27">
                  <c:v>0.76311742289928286</c:v>
                </c:pt>
                <c:pt idx="28">
                  <c:v>0.74425894703912832</c:v>
                </c:pt>
                <c:pt idx="29">
                  <c:v>0.74170462510973334</c:v>
                </c:pt>
                <c:pt idx="30">
                  <c:v>0.64341790991657288</c:v>
                </c:pt>
                <c:pt idx="31">
                  <c:v>0.66504091969026491</c:v>
                </c:pt>
                <c:pt idx="32">
                  <c:v>0.71928451451764452</c:v>
                </c:pt>
                <c:pt idx="33">
                  <c:v>0.70871195905610351</c:v>
                </c:pt>
                <c:pt idx="34">
                  <c:v>0.79856931136747211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39-44EA-8D77-6183CC062AE8}"/>
            </c:ext>
          </c:extLst>
        </c:ser>
        <c:ser>
          <c:idx val="5"/>
          <c:order val="5"/>
          <c:tx>
            <c:v>Gut Light</c:v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2700">
                <a:solidFill>
                  <a:srgbClr val="00B0F0"/>
                </a:solidFill>
              </a:ln>
              <a:effectLst/>
            </c:spPr>
          </c:marker>
          <c:xVal>
            <c:numRef>
              <c:f>Gut!$A$45:$A$79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Gut!$AE$45:$AE$79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1-48D5-8605-416B52D6EE9D}"/>
            </c:ext>
          </c:extLst>
        </c:ser>
        <c:ser>
          <c:idx val="6"/>
          <c:order val="6"/>
          <c:tx>
            <c:v>Gut Heavy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12700">
                <a:solidFill>
                  <a:srgbClr val="002060"/>
                </a:solidFill>
              </a:ln>
              <a:effectLst/>
            </c:spPr>
          </c:marker>
          <c:xVal>
            <c:numRef>
              <c:f>Gut!$A$85:$A$119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Gut!$AE$85:$AE$119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51-48D5-8605-416B52D6EE9D}"/>
            </c:ext>
          </c:extLst>
        </c:ser>
        <c:ser>
          <c:idx val="7"/>
          <c:order val="7"/>
          <c:tx>
            <c:v>Test Set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12700">
                <a:solidFill>
                  <a:schemeClr val="accent4"/>
                </a:solidFill>
              </a:ln>
              <a:effectLst/>
            </c:spPr>
          </c:marker>
          <c:xVal>
            <c:numRef>
              <c:f>'Test Set'!$A$6:$A$40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'Test Set'!$AE$6:$AE$40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51-48D5-8605-416B52D6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87103"/>
        <c:axId val="1135811103"/>
      </c:scatterChart>
      <c:valAx>
        <c:axId val="1238687103"/>
        <c:scaling>
          <c:orientation val="maxMin"/>
          <c:max val="34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11103"/>
        <c:crosses val="autoZero"/>
        <c:crossBetween val="midCat"/>
        <c:majorUnit val="4"/>
        <c:minorUnit val="1"/>
      </c:valAx>
      <c:valAx>
        <c:axId val="1135811103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8710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Overtones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Nylon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Nylon!$A$5:$A$39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Nylon!$AF$5:$AF$39</c:f>
              <c:numCache>
                <c:formatCode>0.00</c:formatCode>
                <c:ptCount val="35"/>
                <c:pt idx="0">
                  <c:v>5.448593020663302</c:v>
                </c:pt>
                <c:pt idx="1">
                  <c:v>6.0218739315884431</c:v>
                </c:pt>
                <c:pt idx="2">
                  <c:v>6.1372765450259594</c:v>
                </c:pt>
                <c:pt idx="3">
                  <c:v>6.1804125440548656</c:v>
                </c:pt>
                <c:pt idx="4">
                  <c:v>6.3973407786066501</c:v>
                </c:pt>
                <c:pt idx="5">
                  <c:v>6.7685233180877917</c:v>
                </c:pt>
                <c:pt idx="6">
                  <c:v>6.8784532683003512</c:v>
                </c:pt>
                <c:pt idx="7">
                  <c:v>7.1986613341727654</c:v>
                </c:pt>
                <c:pt idx="8">
                  <c:v>7.360124900687576</c:v>
                </c:pt>
                <c:pt idx="9">
                  <c:v>7.5803534575767646</c:v>
                </c:pt>
                <c:pt idx="10">
                  <c:v>8.0268139118473805</c:v>
                </c:pt>
                <c:pt idx="11">
                  <c:v>8.173846435433429</c:v>
                </c:pt>
                <c:pt idx="12">
                  <c:v>8.6011207203975584</c:v>
                </c:pt>
                <c:pt idx="13">
                  <c:v>8.9349517168475927</c:v>
                </c:pt>
                <c:pt idx="14">
                  <c:v>9.1097729994127814</c:v>
                </c:pt>
                <c:pt idx="15">
                  <c:v>9.0760806096482511</c:v>
                </c:pt>
                <c:pt idx="16">
                  <c:v>9.4920713024761394</c:v>
                </c:pt>
                <c:pt idx="17">
                  <c:v>9.4573783726303233</c:v>
                </c:pt>
                <c:pt idx="18">
                  <c:v>9.5034816038694494</c:v>
                </c:pt>
                <c:pt idx="19">
                  <c:v>10.032877759264558</c:v>
                </c:pt>
                <c:pt idx="20">
                  <c:v>10.215718916040041</c:v>
                </c:pt>
                <c:pt idx="21">
                  <c:v>10.320012399263863</c:v>
                </c:pt>
                <c:pt idx="22">
                  <c:v>10.499091809623625</c:v>
                </c:pt>
                <c:pt idx="23">
                  <c:v>11.130778006287825</c:v>
                </c:pt>
                <c:pt idx="24">
                  <c:v>11.332846616203254</c:v>
                </c:pt>
                <c:pt idx="25">
                  <c:v>11.655337187527262</c:v>
                </c:pt>
                <c:pt idx="26">
                  <c:v>12.222905861704994</c:v>
                </c:pt>
                <c:pt idx="27">
                  <c:v>12.274533750229999</c:v>
                </c:pt>
                <c:pt idx="28">
                  <c:v>12.694331707184697</c:v>
                </c:pt>
                <c:pt idx="29">
                  <c:v>12.994187246659674</c:v>
                </c:pt>
                <c:pt idx="30">
                  <c:v>13.669900129093422</c:v>
                </c:pt>
                <c:pt idx="31">
                  <c:v>13.433086197579069</c:v>
                </c:pt>
                <c:pt idx="32">
                  <c:v>13.442240905748834</c:v>
                </c:pt>
                <c:pt idx="33">
                  <c:v>13.49731846951318</c:v>
                </c:pt>
                <c:pt idx="34">
                  <c:v>12.956044560984104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8-4CFA-9AD1-CF4AB2A0B516}"/>
            </c:ext>
          </c:extLst>
        </c:ser>
        <c:ser>
          <c:idx val="0"/>
          <c:order val="1"/>
          <c:tx>
            <c:v>KF Standard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Fluorocarbon!$A$5:$A$39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Fluorocarbon!$AF$5:$AF$39</c:f>
              <c:numCache>
                <c:formatCode>0.00</c:formatCode>
                <c:ptCount val="35"/>
                <c:pt idx="0">
                  <c:v>6.7173077088170166</c:v>
                </c:pt>
                <c:pt idx="1">
                  <c:v>7.1216814876754535</c:v>
                </c:pt>
                <c:pt idx="2">
                  <c:v>7.6678063128194358</c:v>
                </c:pt>
                <c:pt idx="3">
                  <c:v>7.5305100379775833</c:v>
                </c:pt>
                <c:pt idx="4">
                  <c:v>7.6689901425117339</c:v>
                </c:pt>
                <c:pt idx="5">
                  <c:v>8.4691091422103515</c:v>
                </c:pt>
                <c:pt idx="6">
                  <c:v>8.7581221680474872</c:v>
                </c:pt>
                <c:pt idx="7">
                  <c:v>8.7267311888642229</c:v>
                </c:pt>
                <c:pt idx="8">
                  <c:v>9.3770343660025581</c:v>
                </c:pt>
                <c:pt idx="9">
                  <c:v>9.4394553731325868</c:v>
                </c:pt>
                <c:pt idx="10">
                  <c:v>9.8600208741569322</c:v>
                </c:pt>
                <c:pt idx="11">
                  <c:v>9.807837591928239</c:v>
                </c:pt>
                <c:pt idx="12">
                  <c:v>10.253383607276072</c:v>
                </c:pt>
                <c:pt idx="13">
                  <c:v>10.446489186205689</c:v>
                </c:pt>
                <c:pt idx="14">
                  <c:v>10.580022682913762</c:v>
                </c:pt>
                <c:pt idx="15">
                  <c:v>10.7184441778194</c:v>
                </c:pt>
                <c:pt idx="16">
                  <c:v>11.743535002322099</c:v>
                </c:pt>
                <c:pt idx="17">
                  <c:v>11.98560959804092</c:v>
                </c:pt>
                <c:pt idx="18">
                  <c:v>12.994438619361405</c:v>
                </c:pt>
                <c:pt idx="19">
                  <c:v>13.628287906776013</c:v>
                </c:pt>
                <c:pt idx="20">
                  <c:v>14.059524231756647</c:v>
                </c:pt>
                <c:pt idx="21">
                  <c:v>13.975629987855825</c:v>
                </c:pt>
                <c:pt idx="22">
                  <c:v>13.996033100878128</c:v>
                </c:pt>
                <c:pt idx="23">
                  <c:v>15.240061391481179</c:v>
                </c:pt>
                <c:pt idx="24">
                  <c:v>15.427673662540224</c:v>
                </c:pt>
                <c:pt idx="25">
                  <c:v>15.570239490556034</c:v>
                </c:pt>
                <c:pt idx="26">
                  <c:v>16.551280153822134</c:v>
                </c:pt>
                <c:pt idx="27">
                  <c:v>17.242470584159271</c:v>
                </c:pt>
                <c:pt idx="28">
                  <c:v>17.487208969041557</c:v>
                </c:pt>
                <c:pt idx="29">
                  <c:v>17.408998735593716</c:v>
                </c:pt>
                <c:pt idx="30">
                  <c:v>18.297789841898549</c:v>
                </c:pt>
                <c:pt idx="31">
                  <c:v>18.316358099202223</c:v>
                </c:pt>
                <c:pt idx="32">
                  <c:v>17.460590135805173</c:v>
                </c:pt>
                <c:pt idx="33">
                  <c:v>18.382796739698097</c:v>
                </c:pt>
                <c:pt idx="34">
                  <c:v>18.373694297641265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58-4CFA-9AD1-CF4AB2A0B516}"/>
            </c:ext>
          </c:extLst>
        </c:ser>
        <c:ser>
          <c:idx val="2"/>
          <c:order val="2"/>
          <c:tx>
            <c:v>KF Light</c:v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Fluorocarbon!$A$45:$A$79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Fluorocarbon!$AF$45:$AF$79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58-4CFA-9AD1-CF4AB2A0B516}"/>
            </c:ext>
          </c:extLst>
        </c:ser>
        <c:ser>
          <c:idx val="3"/>
          <c:order val="3"/>
          <c:tx>
            <c:v>KF Heavy</c:v>
          </c:tx>
          <c:spPr>
            <a:ln w="127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Fluorocarbon!$A$85:$A$119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Fluorocarbon!$AF$85:$AF$119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58-4CFA-9AD1-CF4AB2A0B516}"/>
            </c:ext>
          </c:extLst>
        </c:ser>
        <c:ser>
          <c:idx val="4"/>
          <c:order val="4"/>
          <c:tx>
            <c:v>Gut Standard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solidFill>
                  <a:srgbClr val="0070C0"/>
                </a:solidFill>
              </a:ln>
              <a:effectLst/>
            </c:spPr>
          </c:marker>
          <c:xVal>
            <c:numRef>
              <c:f>Gut!$A$5:$A$39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Gut!$AF$5:$AF$39</c:f>
              <c:numCache>
                <c:formatCode>0.00</c:formatCode>
                <c:ptCount val="35"/>
                <c:pt idx="0">
                  <c:v>8.4417389274033336</c:v>
                </c:pt>
                <c:pt idx="1">
                  <c:v>8.9353120543672677</c:v>
                </c:pt>
                <c:pt idx="2">
                  <c:v>9.402517479415339</c:v>
                </c:pt>
                <c:pt idx="3">
                  <c:v>9.6653448148997487</c:v>
                </c:pt>
                <c:pt idx="4">
                  <c:v>9.8074352161675957</c:v>
                </c:pt>
                <c:pt idx="5">
                  <c:v>10.808031765178164</c:v>
                </c:pt>
                <c:pt idx="6">
                  <c:v>10.841621557311196</c:v>
                </c:pt>
                <c:pt idx="7">
                  <c:v>11.155749644652742</c:v>
                </c:pt>
                <c:pt idx="8">
                  <c:v>11.333534801388176</c:v>
                </c:pt>
                <c:pt idx="9">
                  <c:v>11.9127801751997</c:v>
                </c:pt>
                <c:pt idx="10">
                  <c:v>12.299953531381236</c:v>
                </c:pt>
                <c:pt idx="11">
                  <c:v>12.252332728346879</c:v>
                </c:pt>
                <c:pt idx="12">
                  <c:v>12.870504436946796</c:v>
                </c:pt>
                <c:pt idx="13">
                  <c:v>12.693129511265974</c:v>
                </c:pt>
                <c:pt idx="14">
                  <c:v>12.895757775932697</c:v>
                </c:pt>
                <c:pt idx="15">
                  <c:v>12.938768479717067</c:v>
                </c:pt>
                <c:pt idx="16">
                  <c:v>14.056561885234176</c:v>
                </c:pt>
                <c:pt idx="17">
                  <c:v>13.900702411036368</c:v>
                </c:pt>
                <c:pt idx="18">
                  <c:v>13.730295401954411</c:v>
                </c:pt>
                <c:pt idx="19">
                  <c:v>14.353068665129094</c:v>
                </c:pt>
                <c:pt idx="20">
                  <c:v>14.256915669134713</c:v>
                </c:pt>
                <c:pt idx="21">
                  <c:v>14.336359978461795</c:v>
                </c:pt>
                <c:pt idx="22">
                  <c:v>14.602736631011123</c:v>
                </c:pt>
                <c:pt idx="23">
                  <c:v>15.582903790016013</c:v>
                </c:pt>
                <c:pt idx="24">
                  <c:v>15.794292508703945</c:v>
                </c:pt>
                <c:pt idx="25">
                  <c:v>15.630992367262033</c:v>
                </c:pt>
                <c:pt idx="26">
                  <c:v>16.607247011932532</c:v>
                </c:pt>
                <c:pt idx="27">
                  <c:v>16.32036608085134</c:v>
                </c:pt>
                <c:pt idx="28">
                  <c:v>16.525840188228329</c:v>
                </c:pt>
                <c:pt idx="29">
                  <c:v>16.554272015236428</c:v>
                </c:pt>
                <c:pt idx="30">
                  <c:v>17.773747573463822</c:v>
                </c:pt>
                <c:pt idx="31">
                  <c:v>17.482413845296811</c:v>
                </c:pt>
                <c:pt idx="32">
                  <c:v>16.81029076721498</c:v>
                </c:pt>
                <c:pt idx="33">
                  <c:v>16.935214435203466</c:v>
                </c:pt>
                <c:pt idx="34">
                  <c:v>15.953988420289997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58-4CFA-9AD1-CF4AB2A0B516}"/>
            </c:ext>
          </c:extLst>
        </c:ser>
        <c:ser>
          <c:idx val="5"/>
          <c:order val="5"/>
          <c:tx>
            <c:v>Gut Light</c:v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2700">
                <a:solidFill>
                  <a:srgbClr val="00B0F0"/>
                </a:solidFill>
              </a:ln>
              <a:effectLst/>
            </c:spPr>
          </c:marker>
          <c:xVal>
            <c:numRef>
              <c:f>Gut!$A$45:$A$79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Gut!$AF$45:$AF$79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3-4456-8DDD-35F5FCDB9541}"/>
            </c:ext>
          </c:extLst>
        </c:ser>
        <c:ser>
          <c:idx val="6"/>
          <c:order val="6"/>
          <c:tx>
            <c:v>Gut Heavy</c:v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12700">
                <a:solidFill>
                  <a:srgbClr val="002060"/>
                </a:solidFill>
              </a:ln>
              <a:effectLst/>
            </c:spPr>
          </c:marker>
          <c:xVal>
            <c:numRef>
              <c:f>Gut!$A$85:$A$119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Gut!$AF$85:$AF$119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7-4076-BA6C-A73B3DC53EE5}"/>
            </c:ext>
          </c:extLst>
        </c:ser>
        <c:ser>
          <c:idx val="7"/>
          <c:order val="7"/>
          <c:tx>
            <c:v>Test Set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12700">
                <a:solidFill>
                  <a:schemeClr val="accent4"/>
                </a:solidFill>
              </a:ln>
              <a:effectLst/>
            </c:spPr>
          </c:marker>
          <c:xVal>
            <c:numRef>
              <c:f>'Test Set'!$A$6:$A$40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'Test Set'!$AF$6:$AF$40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83-4456-8DDD-35F5FCDB9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87103"/>
        <c:axId val="1135811103"/>
      </c:scatterChart>
      <c:valAx>
        <c:axId val="1238687103"/>
        <c:scaling>
          <c:orientation val="maxMin"/>
          <c:max val="34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11103"/>
        <c:crosses val="autoZero"/>
        <c:crossBetween val="midCat"/>
        <c:majorUnit val="4"/>
        <c:minorUnit val="1"/>
      </c:valAx>
      <c:valAx>
        <c:axId val="1135811103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87103"/>
        <c:crosses val="max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Bandwidth (kHz)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Nylon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Nylon!$A$5:$A$39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Nylon!$AG$5:$AG$39</c:f>
              <c:numCache>
                <c:formatCode>0.00</c:formatCode>
                <c:ptCount val="35"/>
                <c:pt idx="0">
                  <c:v>17.086588772976217</c:v>
                </c:pt>
                <c:pt idx="1">
                  <c:v>16.824067064329135</c:v>
                </c:pt>
                <c:pt idx="2">
                  <c:v>16.184123789084531</c:v>
                </c:pt>
                <c:pt idx="3">
                  <c:v>14.519755323069653</c:v>
                </c:pt>
                <c:pt idx="4">
                  <c:v>13.389663180988295</c:v>
                </c:pt>
                <c:pt idx="5">
                  <c:v>13.371442563865015</c:v>
                </c:pt>
                <c:pt idx="6">
                  <c:v>12.106077752208618</c:v>
                </c:pt>
                <c:pt idx="7">
                  <c:v>11.287369552696056</c:v>
                </c:pt>
                <c:pt idx="8">
                  <c:v>10.281453608772543</c:v>
                </c:pt>
                <c:pt idx="9">
                  <c:v>9.99477356302822</c:v>
                </c:pt>
                <c:pt idx="10">
                  <c:v>9.4287697781555178</c:v>
                </c:pt>
                <c:pt idx="11">
                  <c:v>8.5539487774022174</c:v>
                </c:pt>
                <c:pt idx="12">
                  <c:v>8.4958997917847974</c:v>
                </c:pt>
                <c:pt idx="13">
                  <c:v>7.8627575108258814</c:v>
                </c:pt>
                <c:pt idx="14">
                  <c:v>7.1419788771991612</c:v>
                </c:pt>
                <c:pt idx="15">
                  <c:v>6.339247159301677</c:v>
                </c:pt>
                <c:pt idx="16">
                  <c:v>6.2576965469559456</c:v>
                </c:pt>
                <c:pt idx="17">
                  <c:v>5.5545976498111873</c:v>
                </c:pt>
                <c:pt idx="18">
                  <c:v>4.9727074938723703</c:v>
                </c:pt>
                <c:pt idx="19">
                  <c:v>4.9550707888447247</c:v>
                </c:pt>
                <c:pt idx="20">
                  <c:v>4.4949163230576179</c:v>
                </c:pt>
                <c:pt idx="21">
                  <c:v>4.0453977597864963</c:v>
                </c:pt>
                <c:pt idx="22">
                  <c:v>3.666579264327595</c:v>
                </c:pt>
                <c:pt idx="23">
                  <c:v>3.6690111607521607</c:v>
                </c:pt>
                <c:pt idx="24">
                  <c:v>3.3280577713909061</c:v>
                </c:pt>
                <c:pt idx="25">
                  <c:v>3.0493341804559098</c:v>
                </c:pt>
                <c:pt idx="26">
                  <c:v>3.0183445489608465</c:v>
                </c:pt>
                <c:pt idx="27">
                  <c:v>2.7003974250505998</c:v>
                </c:pt>
                <c:pt idx="28">
                  <c:v>2.4880600460274045</c:v>
                </c:pt>
                <c:pt idx="29">
                  <c:v>2.2689685155301262</c:v>
                </c:pt>
                <c:pt idx="30">
                  <c:v>2.252987891397995</c:v>
                </c:pt>
                <c:pt idx="31">
                  <c:v>1.9724120703132941</c:v>
                </c:pt>
                <c:pt idx="32">
                  <c:v>1.7584169379366852</c:v>
                </c:pt>
                <c:pt idx="33">
                  <c:v>1.6665250509571066</c:v>
                </c:pt>
                <c:pt idx="34">
                  <c:v>1.4251649017082513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9C-4AA6-8B80-27F6B41B1EB8}"/>
            </c:ext>
          </c:extLst>
        </c:ser>
        <c:ser>
          <c:idx val="0"/>
          <c:order val="1"/>
          <c:tx>
            <c:v>KF Standard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Fluorocarbon!$A$5:$A$39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Fluorocarbon!$AG$5:$AG$39</c:f>
              <c:numCache>
                <c:formatCode>0.00</c:formatCode>
                <c:ptCount val="35"/>
                <c:pt idx="0">
                  <c:v>21.065231711530334</c:v>
                </c:pt>
                <c:pt idx="1">
                  <c:v>19.896737846160502</c:v>
                </c:pt>
                <c:pt idx="2">
                  <c:v>20.220162094206014</c:v>
                </c:pt>
                <c:pt idx="3">
                  <c:v>17.691563860819162</c:v>
                </c:pt>
                <c:pt idx="4">
                  <c:v>16.051231050554811</c:v>
                </c:pt>
                <c:pt idx="5">
                  <c:v>16.73100632741308</c:v>
                </c:pt>
                <c:pt idx="6">
                  <c:v>15.414295015763576</c:v>
                </c:pt>
                <c:pt idx="7">
                  <c:v>13.68335518829744</c:v>
                </c:pt>
                <c:pt idx="8">
                  <c:v>13.09890051090229</c:v>
                </c:pt>
                <c:pt idx="9">
                  <c:v>12.44601845293503</c:v>
                </c:pt>
                <c:pt idx="10">
                  <c:v>11.582162966680359</c:v>
                </c:pt>
                <c:pt idx="11">
                  <c:v>10.263924217458753</c:v>
                </c:pt>
                <c:pt idx="12">
                  <c:v>10.127949890013866</c:v>
                </c:pt>
                <c:pt idx="13">
                  <c:v>9.1929104838610058</c:v>
                </c:pt>
                <c:pt idx="14">
                  <c:v>8.2946412085711536</c:v>
                </c:pt>
                <c:pt idx="15">
                  <c:v>7.4863666078664926</c:v>
                </c:pt>
                <c:pt idx="16">
                  <c:v>7.7419855046724164</c:v>
                </c:pt>
                <c:pt idx="17">
                  <c:v>7.0395025219146792</c:v>
                </c:pt>
                <c:pt idx="18">
                  <c:v>6.7993546991087177</c:v>
                </c:pt>
                <c:pt idx="19">
                  <c:v>6.7307838218674503</c:v>
                </c:pt>
                <c:pt idx="20">
                  <c:v>6.1861906619729252</c:v>
                </c:pt>
                <c:pt idx="21">
                  <c:v>5.4783831702091534</c:v>
                </c:pt>
                <c:pt idx="22">
                  <c:v>4.8878098868974504</c:v>
                </c:pt>
                <c:pt idx="23">
                  <c:v>5.023544203676094</c:v>
                </c:pt>
                <c:pt idx="24">
                  <c:v>4.5305642056153763</c:v>
                </c:pt>
                <c:pt idx="25">
                  <c:v>4.0735727085824278</c:v>
                </c:pt>
                <c:pt idx="26">
                  <c:v>4.0872004411923228</c:v>
                </c:pt>
                <c:pt idx="27">
                  <c:v>3.7933435285150394</c:v>
                </c:pt>
                <c:pt idx="28">
                  <c:v>3.4274530519617006</c:v>
                </c:pt>
                <c:pt idx="29">
                  <c:v>3.0398569197253975</c:v>
                </c:pt>
                <c:pt idx="30">
                  <c:v>3.0157278812450734</c:v>
                </c:pt>
                <c:pt idx="31">
                  <c:v>2.6894345251471745</c:v>
                </c:pt>
                <c:pt idx="32">
                  <c:v>2.2840683823810428</c:v>
                </c:pt>
                <c:pt idx="33">
                  <c:v>2.269739085030603</c:v>
                </c:pt>
                <c:pt idx="34">
                  <c:v>2.0211063727405394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9C-4AA6-8B80-27F6B41B1EB8}"/>
            </c:ext>
          </c:extLst>
        </c:ser>
        <c:ser>
          <c:idx val="2"/>
          <c:order val="2"/>
          <c:tx>
            <c:v>KF Light</c:v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Fluorocarbon!$A$45:$A$79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Fluorocarbon!$AG$45:$AG$79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9C-4AA6-8B80-27F6B41B1EB8}"/>
            </c:ext>
          </c:extLst>
        </c:ser>
        <c:ser>
          <c:idx val="3"/>
          <c:order val="3"/>
          <c:tx>
            <c:v>KF Heavy</c:v>
          </c:tx>
          <c:spPr>
            <a:ln w="127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Fluorocarbon!$A$85:$A$119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Fluorocarbon!$AG$85:$AG$119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9C-4AA6-8B80-27F6B41B1EB8}"/>
            </c:ext>
          </c:extLst>
        </c:ser>
        <c:ser>
          <c:idx val="4"/>
          <c:order val="4"/>
          <c:tx>
            <c:v>Gut Standard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solidFill>
                  <a:srgbClr val="0070C0"/>
                </a:solidFill>
              </a:ln>
              <a:effectLst/>
            </c:spPr>
          </c:marker>
          <c:xVal>
            <c:numRef>
              <c:f>Gut!$A$5:$A$39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Gut!$AG$5:$AG$39</c:f>
              <c:numCache>
                <c:formatCode>0.00</c:formatCode>
                <c:ptCount val="35"/>
                <c:pt idx="0">
                  <c:v>26.472985050332593</c:v>
                </c:pt>
                <c:pt idx="1">
                  <c:v>24.963705808389452</c:v>
                </c:pt>
                <c:pt idx="2">
                  <c:v>24.794630924561872</c:v>
                </c:pt>
                <c:pt idx="3">
                  <c:v>22.706969935274028</c:v>
                </c:pt>
                <c:pt idx="4">
                  <c:v>20.527006260630774</c:v>
                </c:pt>
                <c:pt idx="5">
                  <c:v>21.351625633068988</c:v>
                </c:pt>
                <c:pt idx="6">
                  <c:v>19.081253940867704</c:v>
                </c:pt>
                <c:pt idx="7">
                  <c:v>17.492011782635586</c:v>
                </c:pt>
                <c:pt idx="8">
                  <c:v>15.831961258292775</c:v>
                </c:pt>
                <c:pt idx="9">
                  <c:v>15.707122500764591</c:v>
                </c:pt>
                <c:pt idx="10">
                  <c:v>14.448251996751875</c:v>
                </c:pt>
                <c:pt idx="11">
                  <c:v>12.822093905219115</c:v>
                </c:pt>
                <c:pt idx="12">
                  <c:v>12.713054440301754</c:v>
                </c:pt>
                <c:pt idx="13">
                  <c:v>11.169953969914056</c:v>
                </c:pt>
                <c:pt idx="14">
                  <c:v>10.110156383383542</c:v>
                </c:pt>
                <c:pt idx="15">
                  <c:v>9.0371664661853757</c:v>
                </c:pt>
                <c:pt idx="16">
                  <c:v>9.2668603056486134</c:v>
                </c:pt>
                <c:pt idx="17">
                  <c:v>8.1642930948518853</c:v>
                </c:pt>
                <c:pt idx="18">
                  <c:v>7.1843925925610677</c:v>
                </c:pt>
                <c:pt idx="19">
                  <c:v>7.0887409354897875</c:v>
                </c:pt>
                <c:pt idx="20">
                  <c:v>6.273042894419274</c:v>
                </c:pt>
                <c:pt idx="21">
                  <c:v>5.6197876801484323</c:v>
                </c:pt>
                <c:pt idx="22">
                  <c:v>5.0996878877299556</c:v>
                </c:pt>
                <c:pt idx="23">
                  <c:v>5.1365545059112803</c:v>
                </c:pt>
                <c:pt idx="24">
                  <c:v>4.6382272439881937</c:v>
                </c:pt>
                <c:pt idx="25">
                  <c:v>4.089467214294273</c:v>
                </c:pt>
                <c:pt idx="26">
                  <c:v>4.1010209895145708</c:v>
                </c:pt>
                <c:pt idx="27">
                  <c:v>3.590480537787295</c:v>
                </c:pt>
                <c:pt idx="28">
                  <c:v>3.2390269647746388</c:v>
                </c:pt>
                <c:pt idx="29">
                  <c:v>2.8906095692709437</c:v>
                </c:pt>
                <c:pt idx="30">
                  <c:v>2.9293584949134646</c:v>
                </c:pt>
                <c:pt idx="31">
                  <c:v>2.5669845022575806</c:v>
                </c:pt>
                <c:pt idx="32">
                  <c:v>2.1990009124200269</c:v>
                </c:pt>
                <c:pt idx="33">
                  <c:v>2.0910049031846638</c:v>
                </c:pt>
                <c:pt idx="34">
                  <c:v>1.7549387262318996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B9C-4AA6-8B80-27F6B41B1EB8}"/>
            </c:ext>
          </c:extLst>
        </c:ser>
        <c:ser>
          <c:idx val="5"/>
          <c:order val="5"/>
          <c:tx>
            <c:v>Gut Light</c:v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2700">
                <a:solidFill>
                  <a:srgbClr val="00B0F0"/>
                </a:solidFill>
              </a:ln>
              <a:effectLst/>
            </c:spPr>
          </c:marker>
          <c:xVal>
            <c:numRef>
              <c:f>Gut!$A$45:$A$79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Gut!$AG$45:$AG$79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0F-4DD8-AD84-D765F04B05D8}"/>
            </c:ext>
          </c:extLst>
        </c:ser>
        <c:ser>
          <c:idx val="6"/>
          <c:order val="6"/>
          <c:tx>
            <c:v>Gut Heavy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12700">
                <a:solidFill>
                  <a:srgbClr val="002060"/>
                </a:solidFill>
              </a:ln>
              <a:effectLst/>
            </c:spPr>
          </c:marker>
          <c:xVal>
            <c:numRef>
              <c:f>Gut!$A$85:$A$119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Gut!$AG$85:$AG$119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0F-4DD8-AD84-D765F04B05D8}"/>
            </c:ext>
          </c:extLst>
        </c:ser>
        <c:ser>
          <c:idx val="7"/>
          <c:order val="7"/>
          <c:tx>
            <c:v>Test Set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12700">
                <a:solidFill>
                  <a:schemeClr val="accent4"/>
                </a:solidFill>
              </a:ln>
              <a:effectLst/>
            </c:spPr>
          </c:marker>
          <c:xVal>
            <c:numRef>
              <c:f>'Test Set'!$A$6:$A$40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'Test Set'!$AG$6:$AG$40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0F-4DD8-AD84-D765F04B0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87103"/>
        <c:axId val="1135811103"/>
      </c:scatterChart>
      <c:valAx>
        <c:axId val="1238687103"/>
        <c:scaling>
          <c:orientation val="maxMin"/>
          <c:max val="34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11103"/>
        <c:crosses val="autoZero"/>
        <c:crossBetween val="midCat"/>
        <c:majorUnit val="4"/>
        <c:minorUnit val="1"/>
      </c:valAx>
      <c:valAx>
        <c:axId val="1135811103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8710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A.E (kN)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Nylon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Nylon!$A$5:$A$39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Nylon!$AH$5:$AH$39</c:f>
              <c:numCache>
                <c:formatCode>0.00</c:formatCode>
                <c:ptCount val="35"/>
                <c:pt idx="0">
                  <c:v>2.7233594116072717</c:v>
                </c:pt>
                <c:pt idx="1">
                  <c:v>2.6823514794835375</c:v>
                </c:pt>
                <c:pt idx="2">
                  <c:v>3.0619132789614021</c:v>
                </c:pt>
                <c:pt idx="3">
                  <c:v>3.4070885449914847</c:v>
                </c:pt>
                <c:pt idx="4">
                  <c:v>3.4876309692161778</c:v>
                </c:pt>
                <c:pt idx="5">
                  <c:v>4.0210071660813771</c:v>
                </c:pt>
                <c:pt idx="6">
                  <c:v>4.198782135053567</c:v>
                </c:pt>
                <c:pt idx="7">
                  <c:v>4.2975936309479801</c:v>
                </c:pt>
                <c:pt idx="8">
                  <c:v>4.4839270262689075</c:v>
                </c:pt>
                <c:pt idx="9">
                  <c:v>4.9261909368242511</c:v>
                </c:pt>
                <c:pt idx="10">
                  <c:v>5.0573658023741537</c:v>
                </c:pt>
                <c:pt idx="11">
                  <c:v>5.206587964317265</c:v>
                </c:pt>
                <c:pt idx="12">
                  <c:v>5.7504755188825039</c:v>
                </c:pt>
                <c:pt idx="13">
                  <c:v>5.7801565706478311</c:v>
                </c:pt>
                <c:pt idx="14">
                  <c:v>6.1051323899828187</c:v>
                </c:pt>
                <c:pt idx="15">
                  <c:v>6.6970307159489453</c:v>
                </c:pt>
                <c:pt idx="16">
                  <c:v>7.6436520906890237</c:v>
                </c:pt>
                <c:pt idx="17">
                  <c:v>8.2287316411466325</c:v>
                </c:pt>
                <c:pt idx="18">
                  <c:v>8.6404697423719306</c:v>
                </c:pt>
                <c:pt idx="19">
                  <c:v>9.4853950602312356</c:v>
                </c:pt>
                <c:pt idx="20">
                  <c:v>9.7425356744063674</c:v>
                </c:pt>
                <c:pt idx="21">
                  <c:v>10.71161577968207</c:v>
                </c:pt>
                <c:pt idx="22">
                  <c:v>11.624069130442457</c:v>
                </c:pt>
                <c:pt idx="23">
                  <c:v>12.573922218990306</c:v>
                </c:pt>
                <c:pt idx="24">
                  <c:v>13.26016363196033</c:v>
                </c:pt>
                <c:pt idx="25">
                  <c:v>13.780113973979256</c:v>
                </c:pt>
                <c:pt idx="26">
                  <c:v>15.705017534754615</c:v>
                </c:pt>
                <c:pt idx="27">
                  <c:v>18.005385632298491</c:v>
                </c:pt>
                <c:pt idx="28">
                  <c:v>19.09807266593824</c:v>
                </c:pt>
                <c:pt idx="29">
                  <c:v>20.080827983795199</c:v>
                </c:pt>
                <c:pt idx="30">
                  <c:v>22.629814628089186</c:v>
                </c:pt>
                <c:pt idx="31">
                  <c:v>24.925024538902797</c:v>
                </c:pt>
                <c:pt idx="32">
                  <c:v>25.3151568258777</c:v>
                </c:pt>
                <c:pt idx="33">
                  <c:v>27.70378914927911</c:v>
                </c:pt>
                <c:pt idx="34">
                  <c:v>28.801329205276986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74-45BF-BD26-E4ED9912C9E9}"/>
            </c:ext>
          </c:extLst>
        </c:ser>
        <c:ser>
          <c:idx val="0"/>
          <c:order val="1"/>
          <c:tx>
            <c:v>KF Standard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Fluorocarbon!$A$5:$A$39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Fluorocarbon!$AH$5:$AH$39</c:f>
              <c:numCache>
                <c:formatCode>0.00</c:formatCode>
                <c:ptCount val="35"/>
                <c:pt idx="0">
                  <c:v>2.9365183887545094</c:v>
                </c:pt>
                <c:pt idx="1">
                  <c:v>3.1431377999498431</c:v>
                </c:pt>
                <c:pt idx="2">
                  <c:v>3.2147819021309489</c:v>
                </c:pt>
                <c:pt idx="3">
                  <c:v>3.7611363539005915</c:v>
                </c:pt>
                <c:pt idx="4">
                  <c:v>3.977430947566853</c:v>
                </c:pt>
                <c:pt idx="5">
                  <c:v>4.2091728207062431</c:v>
                </c:pt>
                <c:pt idx="6">
                  <c:v>4.2445576428279121</c:v>
                </c:pt>
                <c:pt idx="7">
                  <c:v>4.7926437281363699</c:v>
                </c:pt>
                <c:pt idx="8">
                  <c:v>4.5273847149693394</c:v>
                </c:pt>
                <c:pt idx="9">
                  <c:v>5.2064990014331736</c:v>
                </c:pt>
                <c:pt idx="10">
                  <c:v>5.4929367610510109</c:v>
                </c:pt>
                <c:pt idx="11">
                  <c:v>5.9266480531185017</c:v>
                </c:pt>
                <c:pt idx="12">
                  <c:v>6.631762193051844</c:v>
                </c:pt>
                <c:pt idx="13">
                  <c:v>6.9299933099293352</c:v>
                </c:pt>
                <c:pt idx="14">
                  <c:v>7.4179945471611468</c:v>
                </c:pt>
                <c:pt idx="15">
                  <c:v>7.8698234509997729</c:v>
                </c:pt>
                <c:pt idx="16">
                  <c:v>8.1841713395211535</c:v>
                </c:pt>
                <c:pt idx="17">
                  <c:v>8.396604250499518</c:v>
                </c:pt>
                <c:pt idx="18">
                  <c:v>7.5742092192694885</c:v>
                </c:pt>
                <c:pt idx="19">
                  <c:v>8.425067260371728</c:v>
                </c:pt>
                <c:pt idx="20">
                  <c:v>8.4298167939688611</c:v>
                </c:pt>
                <c:pt idx="21">
                  <c:v>9.2719490311808563</c:v>
                </c:pt>
                <c:pt idx="22">
                  <c:v>10.38365208292087</c:v>
                </c:pt>
                <c:pt idx="23">
                  <c:v>10.647478651452538</c:v>
                </c:pt>
                <c:pt idx="24">
                  <c:v>11.358589816812579</c:v>
                </c:pt>
                <c:pt idx="25">
                  <c:v>12.257737242484696</c:v>
                </c:pt>
                <c:pt idx="26">
                  <c:v>13.596357611710175</c:v>
                </c:pt>
                <c:pt idx="27">
                  <c:v>14.043937065570319</c:v>
                </c:pt>
                <c:pt idx="28">
                  <c:v>15.489723042485906</c:v>
                </c:pt>
                <c:pt idx="29">
                  <c:v>17.218990870964912</c:v>
                </c:pt>
                <c:pt idx="30">
                  <c:v>19.439712393559127</c:v>
                </c:pt>
                <c:pt idx="31">
                  <c:v>20.634044944418914</c:v>
                </c:pt>
                <c:pt idx="32">
                  <c:v>23.09306409509065</c:v>
                </c:pt>
                <c:pt idx="33">
                  <c:v>22.987218249163519</c:v>
                </c:pt>
                <c:pt idx="34">
                  <c:v>22.041434244643028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74-45BF-BD26-E4ED9912C9E9}"/>
            </c:ext>
          </c:extLst>
        </c:ser>
        <c:ser>
          <c:idx val="2"/>
          <c:order val="2"/>
          <c:tx>
            <c:v>KF Light</c:v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Fluorocarbon!$A$45:$A$79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Fluorocarbon!$AH$45:$AH$79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74-45BF-BD26-E4ED9912C9E9}"/>
            </c:ext>
          </c:extLst>
        </c:ser>
        <c:ser>
          <c:idx val="3"/>
          <c:order val="3"/>
          <c:tx>
            <c:v>KF Heavy</c:v>
          </c:tx>
          <c:spPr>
            <a:ln w="127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Fluorocarbon!$A$85:$A$119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Fluorocarbon!$AH$85:$AH$119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74-45BF-BD26-E4ED9912C9E9}"/>
            </c:ext>
          </c:extLst>
        </c:ser>
        <c:ser>
          <c:idx val="4"/>
          <c:order val="4"/>
          <c:tx>
            <c:v>Gut Standard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12700">
                <a:solidFill>
                  <a:srgbClr val="0070C0"/>
                </a:solidFill>
              </a:ln>
              <a:effectLst/>
            </c:spPr>
          </c:marker>
          <c:xVal>
            <c:numRef>
              <c:f>Gut!$A$5:$A$39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Gut!$AH$5:$AH$39</c:f>
              <c:numCache>
                <c:formatCode>0.00</c:formatCode>
                <c:ptCount val="35"/>
                <c:pt idx="0">
                  <c:v>1.3866282440568012</c:v>
                </c:pt>
                <c:pt idx="1">
                  <c:v>1.4890515408448739</c:v>
                </c:pt>
                <c:pt idx="2">
                  <c:v>1.594432539734159</c:v>
                </c:pt>
                <c:pt idx="3">
                  <c:v>1.7026830871964969</c:v>
                </c:pt>
                <c:pt idx="4">
                  <c:v>1.8137138792755541</c:v>
                </c:pt>
                <c:pt idx="5">
                  <c:v>1.9274346263712245</c:v>
                </c:pt>
                <c:pt idx="6">
                  <c:v>2.0656969652932813</c:v>
                </c:pt>
                <c:pt idx="7">
                  <c:v>2.1871647060522572</c:v>
                </c:pt>
                <c:pt idx="8">
                  <c:v>2.3112574038777978</c:v>
                </c:pt>
                <c:pt idx="9">
                  <c:v>2.4378898190816405</c:v>
                </c:pt>
                <c:pt idx="10">
                  <c:v>2.6324127843547274</c:v>
                </c:pt>
                <c:pt idx="11">
                  <c:v>2.8321664252812715</c:v>
                </c:pt>
                <c:pt idx="12">
                  <c:v>3.1388667800796521</c:v>
                </c:pt>
                <c:pt idx="13">
                  <c:v>3.5005539529573011</c:v>
                </c:pt>
                <c:pt idx="14">
                  <c:v>3.7236310068070315</c:v>
                </c:pt>
                <c:pt idx="15">
                  <c:v>4.0275716173332414</c:v>
                </c:pt>
                <c:pt idx="16">
                  <c:v>4.2600515360090396</c:v>
                </c:pt>
                <c:pt idx="17">
                  <c:v>4.6553368641326536</c:v>
                </c:pt>
                <c:pt idx="18">
                  <c:v>5.0593327552741929</c:v>
                </c:pt>
                <c:pt idx="19">
                  <c:v>5.6645721916771548</c:v>
                </c:pt>
                <c:pt idx="20">
                  <c:v>6.1137670748479316</c:v>
                </c:pt>
                <c:pt idx="21">
                  <c:v>6.5710790779959058</c:v>
                </c:pt>
                <c:pt idx="22">
                  <c:v>7.1136453515337195</c:v>
                </c:pt>
                <c:pt idx="23">
                  <c:v>7.5949356254723694</c:v>
                </c:pt>
                <c:pt idx="24">
                  <c:v>8.0821259709248459</c:v>
                </c:pt>
                <c:pt idx="25">
                  <c:v>9.0704421047633819</c:v>
                </c:pt>
                <c:pt idx="26">
                  <c:v>10.071429863859231</c:v>
                </c:pt>
                <c:pt idx="27">
                  <c:v>11.690382863144329</c:v>
                </c:pt>
                <c:pt idx="28">
                  <c:v>12.934755379671358</c:v>
                </c:pt>
                <c:pt idx="29">
                  <c:v>14.201550872164391</c:v>
                </c:pt>
                <c:pt idx="30">
                  <c:v>15.364900591031073</c:v>
                </c:pt>
                <c:pt idx="31">
                  <c:v>16.891199646852229</c:v>
                </c:pt>
                <c:pt idx="32">
                  <c:v>18.580166898093541</c:v>
                </c:pt>
                <c:pt idx="33">
                  <c:v>20.198952794924814</c:v>
                </c:pt>
                <c:pt idx="34">
                  <c:v>21.801930116836058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74-45BF-BD26-E4ED9912C9E9}"/>
            </c:ext>
          </c:extLst>
        </c:ser>
        <c:ser>
          <c:idx val="5"/>
          <c:order val="5"/>
          <c:tx>
            <c:v>Gut Light</c:v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2700">
                <a:solidFill>
                  <a:srgbClr val="00B0F0"/>
                </a:solidFill>
              </a:ln>
              <a:effectLst/>
            </c:spPr>
          </c:marker>
          <c:xVal>
            <c:numRef>
              <c:f>Gut!$A$45:$A$79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Gut!$AH$45:$AH$79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D-4658-B569-5977168E587A}"/>
            </c:ext>
          </c:extLst>
        </c:ser>
        <c:ser>
          <c:idx val="6"/>
          <c:order val="6"/>
          <c:tx>
            <c:v>Gut Heavy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12700">
                <a:solidFill>
                  <a:srgbClr val="002060"/>
                </a:solidFill>
              </a:ln>
              <a:effectLst/>
            </c:spPr>
          </c:marker>
          <c:xVal>
            <c:numRef>
              <c:f>Gut!$A$85:$A$119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Gut!$AH$85:$AH$119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CD-4658-B569-5977168E587A}"/>
            </c:ext>
          </c:extLst>
        </c:ser>
        <c:ser>
          <c:idx val="7"/>
          <c:order val="7"/>
          <c:tx>
            <c:v>Test Set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12700">
                <a:solidFill>
                  <a:schemeClr val="accent4"/>
                </a:solidFill>
              </a:ln>
              <a:effectLst/>
            </c:spPr>
          </c:marker>
          <c:xVal>
            <c:numRef>
              <c:f>'Test Set'!$A$6:$A$40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'Test Set'!$AH$6:$AH$40</c:f>
              <c:numCache>
                <c:formatCode>0.00</c:formatCode>
                <c:ptCount val="3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CD-4658-B569-5977168E5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87103"/>
        <c:axId val="1135811103"/>
      </c:scatterChart>
      <c:valAx>
        <c:axId val="1238687103"/>
        <c:scaling>
          <c:orientation val="maxMin"/>
          <c:max val="34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11103"/>
        <c:crosses val="autoZero"/>
        <c:crossBetween val="midCat"/>
        <c:majorUnit val="4"/>
        <c:minorUnit val="1"/>
      </c:valAx>
      <c:valAx>
        <c:axId val="1135811103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8710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 (mm)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string lengths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Gut!$A$5:$A$39</c:f>
              <c:numCache>
                <c:formatCode>General</c:formatCode>
                <c:ptCount val="3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</c:numCache>
            </c:numRef>
          </c:xVal>
          <c:yVal>
            <c:numRef>
              <c:f>'String Lengths'!$E$5:$E$39</c:f>
              <c:numCache>
                <c:formatCode>0</c:formatCode>
                <c:ptCount val="35"/>
                <c:pt idx="0">
                  <c:v>73</c:v>
                </c:pt>
                <c:pt idx="1">
                  <c:v>81</c:v>
                </c:pt>
                <c:pt idx="2">
                  <c:v>87</c:v>
                </c:pt>
                <c:pt idx="3">
                  <c:v>95</c:v>
                </c:pt>
                <c:pt idx="4">
                  <c:v>103</c:v>
                </c:pt>
                <c:pt idx="5">
                  <c:v>113</c:v>
                </c:pt>
                <c:pt idx="6">
                  <c:v>122</c:v>
                </c:pt>
                <c:pt idx="7">
                  <c:v>133</c:v>
                </c:pt>
                <c:pt idx="8">
                  <c:v>144</c:v>
                </c:pt>
                <c:pt idx="9">
                  <c:v>154</c:v>
                </c:pt>
                <c:pt idx="10">
                  <c:v>169</c:v>
                </c:pt>
                <c:pt idx="11">
                  <c:v>182</c:v>
                </c:pt>
                <c:pt idx="12">
                  <c:v>197</c:v>
                </c:pt>
                <c:pt idx="13">
                  <c:v>213</c:v>
                </c:pt>
                <c:pt idx="14">
                  <c:v>231</c:v>
                </c:pt>
                <c:pt idx="15">
                  <c:v>250</c:v>
                </c:pt>
                <c:pt idx="16">
                  <c:v>272</c:v>
                </c:pt>
                <c:pt idx="17">
                  <c:v>293</c:v>
                </c:pt>
                <c:pt idx="18">
                  <c:v>315</c:v>
                </c:pt>
                <c:pt idx="19">
                  <c:v>341</c:v>
                </c:pt>
                <c:pt idx="20">
                  <c:v>367</c:v>
                </c:pt>
                <c:pt idx="21">
                  <c:v>397</c:v>
                </c:pt>
                <c:pt idx="22">
                  <c:v>433</c:v>
                </c:pt>
                <c:pt idx="23">
                  <c:v>468</c:v>
                </c:pt>
                <c:pt idx="24">
                  <c:v>507</c:v>
                </c:pt>
                <c:pt idx="25">
                  <c:v>550</c:v>
                </c:pt>
                <c:pt idx="26">
                  <c:v>599</c:v>
                </c:pt>
                <c:pt idx="27">
                  <c:v>653</c:v>
                </c:pt>
                <c:pt idx="28">
                  <c:v>714</c:v>
                </c:pt>
                <c:pt idx="29">
                  <c:v>775</c:v>
                </c:pt>
                <c:pt idx="30">
                  <c:v>843</c:v>
                </c:pt>
                <c:pt idx="31">
                  <c:v>907</c:v>
                </c:pt>
                <c:pt idx="32">
                  <c:v>965</c:v>
                </c:pt>
                <c:pt idx="33">
                  <c:v>1018</c:v>
                </c:pt>
                <c:pt idx="34">
                  <c:v>1067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1-4125-86CB-97AC40C9E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687103"/>
        <c:axId val="1135811103"/>
      </c:scatterChart>
      <c:valAx>
        <c:axId val="1238687103"/>
        <c:scaling>
          <c:orientation val="maxMin"/>
          <c:max val="34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11103"/>
        <c:crosses val="autoZero"/>
        <c:crossBetween val="midCat"/>
        <c:majorUnit val="4"/>
        <c:minorUnit val="1"/>
      </c:valAx>
      <c:valAx>
        <c:axId val="1135811103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8710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6349</xdr:colOff>
      <xdr:row>1</xdr:row>
      <xdr:rowOff>0</xdr:rowOff>
    </xdr:from>
    <xdr:to>
      <xdr:col>17</xdr:col>
      <xdr:colOff>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6BE149-7EDB-A3EB-565B-C05E06772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23</xdr:col>
      <xdr:colOff>603251</xdr:colOff>
      <xdr:row>20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FB9376-65AB-4076-B2F7-FDF27A3B0E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</xdr:row>
      <xdr:rowOff>0</xdr:rowOff>
    </xdr:from>
    <xdr:to>
      <xdr:col>30</xdr:col>
      <xdr:colOff>603251</xdr:colOff>
      <xdr:row>21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249316-1547-4B29-AFAF-9717D20BD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0</xdr:colOff>
      <xdr:row>1</xdr:row>
      <xdr:rowOff>0</xdr:rowOff>
    </xdr:from>
    <xdr:to>
      <xdr:col>37</xdr:col>
      <xdr:colOff>603251</xdr:colOff>
      <xdr:row>21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E4423C-AC3E-40BA-B547-604A8CFA3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24</xdr:row>
      <xdr:rowOff>0</xdr:rowOff>
    </xdr:from>
    <xdr:to>
      <xdr:col>9</xdr:col>
      <xdr:colOff>603251</xdr:colOff>
      <xdr:row>44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9B473D-4F7A-4A7D-B09C-AB94F7CDC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24</xdr:row>
      <xdr:rowOff>0</xdr:rowOff>
    </xdr:from>
    <xdr:to>
      <xdr:col>16</xdr:col>
      <xdr:colOff>603251</xdr:colOff>
      <xdr:row>44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314B9C-0E8B-42A2-9D06-FB25E4EFF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24</xdr:row>
      <xdr:rowOff>0</xdr:rowOff>
    </xdr:from>
    <xdr:to>
      <xdr:col>23</xdr:col>
      <xdr:colOff>603251</xdr:colOff>
      <xdr:row>44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50FEA04-C755-4083-ADA4-C2B20D0C5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24</xdr:row>
      <xdr:rowOff>0</xdr:rowOff>
    </xdr:from>
    <xdr:to>
      <xdr:col>30</xdr:col>
      <xdr:colOff>603251</xdr:colOff>
      <xdr:row>44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A76522-2994-4BC2-9543-E9C31A860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0</xdr:colOff>
      <xdr:row>24</xdr:row>
      <xdr:rowOff>0</xdr:rowOff>
    </xdr:from>
    <xdr:to>
      <xdr:col>37</xdr:col>
      <xdr:colOff>603251</xdr:colOff>
      <xdr:row>44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4D7105-2F6D-413B-AA8E-52F6C0071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1</xdr:row>
      <xdr:rowOff>0</xdr:rowOff>
    </xdr:from>
    <xdr:to>
      <xdr:col>9</xdr:col>
      <xdr:colOff>603251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86ED73-D8CB-4518-B045-05ED682B9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8A056-305E-4A4E-8B6C-D5635159821D}" name="Table1" displayName="Table1" ref="B1:C2" totalsRowShown="0">
  <autoFilter ref="B1:C2" xr:uid="{C068A056-305E-4A4E-8B6C-D5635159821D}"/>
  <tableColumns count="2">
    <tableColumn id="1" xr3:uid="{838DD73A-AE17-42EA-B089-2C031878B49B}" name="Column1"/>
    <tableColumn id="3" xr3:uid="{D0AE8AF8-526D-4E4D-B9A3-5D2B33E8443E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F6EFEA-ED2E-4C81-B9A3-218C16425404}" name="Table2" displayName="Table2" ref="A2:B5" totalsRowShown="0" headerRowDxfId="3" dataDxfId="2">
  <autoFilter ref="A2:B5" xr:uid="{61F6EFEA-ED2E-4C81-B9A3-218C16425404}"/>
  <tableColumns count="2">
    <tableColumn id="1" xr3:uid="{3A0705FA-3BBA-4DDB-8562-A12D1FB79838}" name="Choice" dataDxfId="1"/>
    <tableColumn id="2" xr3:uid="{111E75A0-9CBF-408D-BAC7-9A192FBC2FAC}" name="Mater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90/ma11112160" TargetMode="External"/><Relationship Id="rId2" Type="http://schemas.openxmlformats.org/officeDocument/2006/relationships/hyperlink" Target="https://doi.org/10.3390/ma10050497" TargetMode="External"/><Relationship Id="rId1" Type="http://schemas.openxmlformats.org/officeDocument/2006/relationships/hyperlink" Target="https://doi.org/10.3813/AAA.919333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doi.org/10.3390/ma16155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792C-4D89-4D65-B0D2-B7291EE97F1F}">
  <dimension ref="B3:B18"/>
  <sheetViews>
    <sheetView tabSelected="1" workbookViewId="0"/>
  </sheetViews>
  <sheetFormatPr defaultRowHeight="15" x14ac:dyDescent="0.25"/>
  <sheetData>
    <row r="3" spans="2:2" x14ac:dyDescent="0.25">
      <c r="B3" t="s">
        <v>177</v>
      </c>
    </row>
    <row r="4" spans="2:2" x14ac:dyDescent="0.25">
      <c r="B4" t="s">
        <v>176</v>
      </c>
    </row>
    <row r="6" spans="2:2" x14ac:dyDescent="0.25">
      <c r="B6" t="s">
        <v>162</v>
      </c>
    </row>
    <row r="7" spans="2:2" x14ac:dyDescent="0.25">
      <c r="B7" s="57" t="s">
        <v>178</v>
      </c>
    </row>
    <row r="8" spans="2:2" x14ac:dyDescent="0.25">
      <c r="B8" t="s">
        <v>163</v>
      </c>
    </row>
    <row r="9" spans="2:2" x14ac:dyDescent="0.25">
      <c r="B9" t="s">
        <v>164</v>
      </c>
    </row>
    <row r="10" spans="2:2" x14ac:dyDescent="0.25">
      <c r="B10" t="s">
        <v>165</v>
      </c>
    </row>
    <row r="12" spans="2:2" x14ac:dyDescent="0.25">
      <c r="B12" t="s">
        <v>166</v>
      </c>
    </row>
    <row r="13" spans="2:2" x14ac:dyDescent="0.25">
      <c r="B13" t="s">
        <v>167</v>
      </c>
    </row>
    <row r="14" spans="2:2" x14ac:dyDescent="0.25">
      <c r="B14" t="s">
        <v>168</v>
      </c>
    </row>
    <row r="15" spans="2:2" x14ac:dyDescent="0.25">
      <c r="B15" t="s">
        <v>171</v>
      </c>
    </row>
    <row r="17" spans="2:2" x14ac:dyDescent="0.25">
      <c r="B17" s="58" t="s">
        <v>169</v>
      </c>
    </row>
    <row r="18" spans="2:2" x14ac:dyDescent="0.25">
      <c r="B18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D458-C0F3-4236-BB58-FD2A22BBF435}">
  <dimension ref="A2:B14"/>
  <sheetViews>
    <sheetView zoomScale="75" zoomScaleNormal="75" workbookViewId="0"/>
  </sheetViews>
  <sheetFormatPr defaultRowHeight="15" x14ac:dyDescent="0.25"/>
  <cols>
    <col min="1" max="1" width="19" bestFit="1" customWidth="1"/>
    <col min="2" max="2" width="9.140625" style="3"/>
  </cols>
  <sheetData>
    <row r="2" spans="1:2" x14ac:dyDescent="0.25">
      <c r="A2" t="s">
        <v>4</v>
      </c>
      <c r="B2" s="14" t="s">
        <v>1</v>
      </c>
    </row>
    <row r="4" spans="1:2" x14ac:dyDescent="0.25">
      <c r="A4" t="s">
        <v>12</v>
      </c>
      <c r="B4" s="14" t="s">
        <v>11</v>
      </c>
    </row>
    <row r="6" spans="1:2" x14ac:dyDescent="0.25">
      <c r="A6" t="s">
        <v>14</v>
      </c>
      <c r="B6" s="14" t="s">
        <v>10</v>
      </c>
    </row>
    <row r="7" spans="1:2" x14ac:dyDescent="0.25">
      <c r="A7" t="s">
        <v>13</v>
      </c>
      <c r="B7" s="14" t="s">
        <v>11</v>
      </c>
    </row>
    <row r="8" spans="1:2" x14ac:dyDescent="0.25">
      <c r="A8" t="s">
        <v>15</v>
      </c>
      <c r="B8" s="14" t="s">
        <v>11</v>
      </c>
    </row>
    <row r="10" spans="1:2" x14ac:dyDescent="0.25">
      <c r="A10" t="s">
        <v>17</v>
      </c>
      <c r="B10" s="14" t="s">
        <v>10</v>
      </c>
    </row>
    <row r="11" spans="1:2" x14ac:dyDescent="0.25">
      <c r="A11" t="s">
        <v>16</v>
      </c>
      <c r="B11" s="14" t="s">
        <v>11</v>
      </c>
    </row>
    <row r="12" spans="1:2" x14ac:dyDescent="0.25">
      <c r="A12" t="s">
        <v>18</v>
      </c>
      <c r="B12" s="14" t="s">
        <v>11</v>
      </c>
    </row>
    <row r="14" spans="1:2" x14ac:dyDescent="0.25">
      <c r="A14" t="s">
        <v>19</v>
      </c>
      <c r="B14" s="14" t="s">
        <v>10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9C0FCC-E990-446E-BC59-54DC8E220E2E}">
          <x14:formula1>
            <xm:f>'String Lengths'!$B$2:$C$2</xm:f>
          </x14:formula1>
          <xm:sqref>B2</xm:sqref>
        </x14:dataValidation>
        <x14:dataValidation type="list" allowBlank="1" showInputMessage="1" showErrorMessage="1" xr:uid="{D1709089-284B-4E81-A126-01A2B3DF07FB}">
          <x14:formula1>
            <xm:f>'Misc ref'!$A$3:$A$4</xm:f>
          </x14:formula1>
          <xm:sqref>B4 B6:B8 B10:B12 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7DE1-9B14-4685-AA19-26A85B858A5A}">
  <dimension ref="A1:AH53"/>
  <sheetViews>
    <sheetView zoomScale="75" zoomScaleNormal="75" workbookViewId="0">
      <selection activeCell="B1" sqref="B1:C1"/>
    </sheetView>
  </sheetViews>
  <sheetFormatPr defaultRowHeight="15" x14ac:dyDescent="0.25"/>
  <cols>
    <col min="1" max="3" width="9.140625" style="3"/>
    <col min="5" max="6" width="9.140625" style="3"/>
    <col min="7" max="7" width="8.85546875" customWidth="1"/>
    <col min="8" max="8" width="13.85546875" bestFit="1" customWidth="1"/>
    <col min="9" max="9" width="11.42578125" bestFit="1" customWidth="1"/>
    <col min="11" max="11" width="14.28515625" bestFit="1" customWidth="1"/>
    <col min="12" max="12" width="13.85546875" bestFit="1" customWidth="1"/>
    <col min="13" max="13" width="10.5703125" bestFit="1" customWidth="1"/>
    <col min="14" max="14" width="11" bestFit="1" customWidth="1"/>
  </cols>
  <sheetData>
    <row r="1" spans="1:34" x14ac:dyDescent="0.25">
      <c r="A1" s="56" t="s">
        <v>158</v>
      </c>
      <c r="B1" s="60" t="s">
        <v>161</v>
      </c>
      <c r="C1" s="61"/>
    </row>
    <row r="2" spans="1:34" x14ac:dyDescent="0.25">
      <c r="E2" s="38" t="s">
        <v>89</v>
      </c>
      <c r="R2" s="3"/>
      <c r="S2" s="3"/>
      <c r="T2" s="3"/>
      <c r="U2" s="3"/>
      <c r="X2" s="3"/>
      <c r="Y2" s="22"/>
      <c r="Z2" s="35"/>
      <c r="AA2" s="35"/>
      <c r="AB2" s="35"/>
      <c r="AC2" s="35"/>
      <c r="AD2" s="35"/>
      <c r="AE2" s="35"/>
      <c r="AF2" s="35"/>
      <c r="AG2" s="35"/>
      <c r="AH2" s="16"/>
    </row>
    <row r="3" spans="1:34" x14ac:dyDescent="0.25">
      <c r="A3" s="3" t="s">
        <v>20</v>
      </c>
      <c r="B3" s="3" t="s">
        <v>21</v>
      </c>
      <c r="C3" s="3" t="s">
        <v>22</v>
      </c>
      <c r="D3" s="3" t="s">
        <v>87</v>
      </c>
      <c r="E3" s="39" t="s">
        <v>70</v>
      </c>
      <c r="F3" s="3" t="s">
        <v>62</v>
      </c>
      <c r="G3" s="3" t="s">
        <v>66</v>
      </c>
      <c r="H3" s="3" t="s">
        <v>68</v>
      </c>
      <c r="I3" s="3" t="s">
        <v>71</v>
      </c>
      <c r="J3" s="3" t="s">
        <v>73</v>
      </c>
      <c r="K3" s="3" t="s">
        <v>75</v>
      </c>
      <c r="L3" s="3" t="s">
        <v>77</v>
      </c>
      <c r="M3" s="3" t="s">
        <v>79</v>
      </c>
      <c r="N3" s="3" t="s">
        <v>80</v>
      </c>
      <c r="O3" s="3" t="s">
        <v>82</v>
      </c>
      <c r="R3" s="3"/>
      <c r="S3" s="3"/>
      <c r="T3" s="3"/>
      <c r="U3" s="3"/>
      <c r="X3" s="3"/>
      <c r="Y3" s="11" t="s">
        <v>70</v>
      </c>
      <c r="Z3" s="3" t="s">
        <v>62</v>
      </c>
      <c r="AA3" s="3" t="s">
        <v>68</v>
      </c>
      <c r="AB3" s="3" t="s">
        <v>71</v>
      </c>
      <c r="AC3" s="3" t="s">
        <v>73</v>
      </c>
      <c r="AD3" s="3" t="s">
        <v>75</v>
      </c>
      <c r="AE3" s="3" t="s">
        <v>77</v>
      </c>
      <c r="AF3" s="3" t="s">
        <v>79</v>
      </c>
      <c r="AG3" s="3" t="s">
        <v>80</v>
      </c>
      <c r="AH3" s="12" t="s">
        <v>82</v>
      </c>
    </row>
    <row r="4" spans="1:34" x14ac:dyDescent="0.25">
      <c r="A4" s="3" t="s">
        <v>61</v>
      </c>
      <c r="C4" s="3" t="s">
        <v>25</v>
      </c>
      <c r="D4" s="3"/>
      <c r="E4" s="39" t="s">
        <v>8</v>
      </c>
      <c r="F4" s="3" t="s">
        <v>63</v>
      </c>
      <c r="G4" s="3" t="s">
        <v>67</v>
      </c>
      <c r="H4" s="3" t="s">
        <v>69</v>
      </c>
      <c r="I4" s="3" t="s">
        <v>72</v>
      </c>
      <c r="J4" s="3" t="s">
        <v>74</v>
      </c>
      <c r="K4" s="3" t="s">
        <v>76</v>
      </c>
      <c r="L4" s="3" t="s">
        <v>78</v>
      </c>
      <c r="N4" s="3" t="s">
        <v>81</v>
      </c>
      <c r="O4" s="3" t="s">
        <v>83</v>
      </c>
      <c r="R4" s="3"/>
      <c r="S4" s="3"/>
      <c r="T4" s="3"/>
      <c r="U4" s="3"/>
      <c r="X4" s="3"/>
      <c r="Y4" s="11" t="s">
        <v>8</v>
      </c>
      <c r="Z4" s="3" t="s">
        <v>63</v>
      </c>
      <c r="AA4" s="3" t="s">
        <v>69</v>
      </c>
      <c r="AB4" s="3" t="s">
        <v>72</v>
      </c>
      <c r="AC4" s="3" t="s">
        <v>74</v>
      </c>
      <c r="AD4" s="3" t="s">
        <v>76</v>
      </c>
      <c r="AE4" s="3" t="s">
        <v>78</v>
      </c>
      <c r="AG4" s="3" t="s">
        <v>81</v>
      </c>
      <c r="AH4" s="12" t="s">
        <v>83</v>
      </c>
    </row>
    <row r="5" spans="1:34" x14ac:dyDescent="0.25">
      <c r="D5" s="3"/>
      <c r="E5" s="39"/>
      <c r="Y5" s="25"/>
      <c r="AH5" s="17"/>
    </row>
    <row r="6" spans="1:34" x14ac:dyDescent="0.25">
      <c r="A6" s="1">
        <v>-1</v>
      </c>
      <c r="B6" s="3" t="s">
        <v>26</v>
      </c>
      <c r="C6" s="3">
        <v>3135.9634878539941</v>
      </c>
      <c r="D6" s="3" t="str">
        <f>IF(AND($B$1='Misc ref'!$B$4,E6&gt;=Fluorocarbon!$E$127),"Yes","No")</f>
        <v>No</v>
      </c>
      <c r="E6" s="40">
        <v>0.52</v>
      </c>
      <c r="F6" s="3">
        <f>IF($B$1='Misc ref'!$B$5,$E$44,IF($B$1='Misc ref'!$B$4,$E$47,IF($B$1='Misc ref'!$B$3,IF(E6&lt;=$D$51,$E$51,IF(E6&gt;=$D$52,$E$52,$E$53)),"n/a")))</f>
        <v>1320</v>
      </c>
      <c r="G6" s="4">
        <f>((2*C6*'String Lengths'!E5)^2)*F6/1000000000000</f>
        <v>276.70795061094452</v>
      </c>
      <c r="H6" s="4">
        <f>G6*PI()*(E6^2)/4</f>
        <v>58.764927742455995</v>
      </c>
      <c r="I6" s="4">
        <f>PI()*(E6^2)*F6*'String Lengths'!E5*C6/2000000000</f>
        <v>0.12834955082999197</v>
      </c>
      <c r="J6" s="4">
        <f>4*H6/'String Lengths'!E5</f>
        <v>3.2199960406825201</v>
      </c>
      <c r="K6" s="4">
        <f>IF($B$1='Misc ref'!$B$5,_xlfn.XLOOKUP(E6,'Gut E est'!$A$5:$A$74,'Gut E est'!$B$5:$B$74,,-1,1),IF($B$1='Misc ref'!$B$4,IF(D6="No",$K$44+($K$45*G6),$K$46+($K$47*G6)),IF($B$1='Misc ref'!$B$3,$K$50+($K$51*G6),"n/a")))</f>
        <v>6.5292526411974832</v>
      </c>
      <c r="L6" s="4">
        <f>K6*(PI()^3)*(E6^4)/(0.128*H6*('String Lengths'!E5^2)*$L$48)</f>
        <v>2.8522482853364641</v>
      </c>
      <c r="M6" s="4">
        <f>0.008*('String Lengths'!E5^2)*C6*SQRT('Misc ref'!$B$9*F6/(K6*1000000000))/(PI()*E6)</f>
        <v>8.4417389274033336</v>
      </c>
      <c r="N6" s="4">
        <f t="shared" ref="N6:N40" si="0">M6*C6/1000</f>
        <v>26.472985050332593</v>
      </c>
      <c r="O6" s="4">
        <f>K6*PI()*(E6^2)/4</f>
        <v>1.3866282440568012</v>
      </c>
      <c r="Y6" s="26">
        <f>IF(Graphs!$B$4="Yes",E6,$Y$48)</f>
        <v>-100</v>
      </c>
      <c r="Z6" s="4">
        <f>IF(Graphs!$B$4="Yes",F6,$Y$48)</f>
        <v>-100</v>
      </c>
      <c r="AA6" s="4">
        <f>IF(Graphs!$B$4="Yes",H6,$Y$48)</f>
        <v>-100</v>
      </c>
      <c r="AB6" s="4">
        <f>IF(Graphs!$B$4="Yes",I6,$Y$48)</f>
        <v>-100</v>
      </c>
      <c r="AC6" s="4">
        <f>IF(Graphs!$B$4="Yes",J6,$Y$48)</f>
        <v>-100</v>
      </c>
      <c r="AD6" s="4">
        <f>IF(Graphs!$B$4="Yes",K6,$Y$48)</f>
        <v>-100</v>
      </c>
      <c r="AE6" s="4">
        <f>IF(Graphs!$B$4="Yes",L6,$Y$48)</f>
        <v>-100</v>
      </c>
      <c r="AF6" s="4">
        <f>IF(Graphs!$B$4="Yes",M6,$Y$48)</f>
        <v>-100</v>
      </c>
      <c r="AG6" s="4">
        <f>IF(Graphs!$B$4="Yes",N6,$Y$48)</f>
        <v>-100</v>
      </c>
      <c r="AH6" s="27">
        <f>IF(Graphs!$B$4="Yes",O6,$Y$48)</f>
        <v>-100</v>
      </c>
    </row>
    <row r="7" spans="1:34" x14ac:dyDescent="0.25">
      <c r="A7" s="2">
        <v>0</v>
      </c>
      <c r="B7" s="2" t="s">
        <v>27</v>
      </c>
      <c r="C7" s="2">
        <v>2793.8258514640311</v>
      </c>
      <c r="D7" s="18" t="str">
        <f>IF(AND($B$1='Misc ref'!$B$4,E7&gt;=Fluorocarbon!$E$127),"Yes","No")</f>
        <v>No</v>
      </c>
      <c r="E7" s="41">
        <v>0.54</v>
      </c>
      <c r="F7" s="13">
        <f>IF($B$1='Misc ref'!$B$5,$E$44,IF($B$1='Misc ref'!$B$4,$E$47,IF($B$1='Misc ref'!$B$3,IF(E7&lt;=$D$51,$E$51,IF(E7&gt;=$D$52,$E$52,$E$53)),"n/a")))</f>
        <v>1320</v>
      </c>
      <c r="G7" s="15">
        <f>((2*C7*'String Lengths'!E6)^2)*F7/1000000000000</f>
        <v>270.39746981382171</v>
      </c>
      <c r="H7" s="15">
        <f t="shared" ref="H7:H40" si="1">G7*PI()*(E7^2)/4</f>
        <v>61.926997573823385</v>
      </c>
      <c r="I7" s="15">
        <f>PI()*(E7^2)*F7*'String Lengths'!E6*C7/2000000000</f>
        <v>0.13682506979525957</v>
      </c>
      <c r="J7" s="15">
        <f>4*H7/'String Lengths'!E6</f>
        <v>3.0581233369789325</v>
      </c>
      <c r="K7" s="15">
        <f>IF($B$1='Misc ref'!$B$5,_xlfn.XLOOKUP(E7,'Gut E est'!$A$5:$A$74,'Gut E est'!$B$5:$B$74,,-1,1),IF($B$1='Misc ref'!$B$4,IF(D7="No",$K$44+($K$45*G7),$K$46+($K$47*G7)),IF($B$1='Misc ref'!$B$3,$K$50+($K$51*G7),"n/a")))</f>
        <v>6.5017808846108354</v>
      </c>
      <c r="L7" s="15">
        <f>K7*(PI()^3)*(E7^4)/(0.128*H7*('String Lengths'!E6^2)*$L$48)</f>
        <v>2.5458435586680079</v>
      </c>
      <c r="M7" s="15">
        <f>0.008*('String Lengths'!E6^2)*C7*SQRT('Misc ref'!$B$9*F7/(K7*1000000000))/(PI()*E7)</f>
        <v>8.9353120543672677</v>
      </c>
      <c r="N7" s="15">
        <f t="shared" si="0"/>
        <v>24.963705808389452</v>
      </c>
      <c r="O7" s="15">
        <f t="shared" ref="O7:O40" si="2">K7*PI()*(E7^2)/4</f>
        <v>1.4890515408448739</v>
      </c>
      <c r="Y7" s="26">
        <f>IF(Graphs!$B$4="Yes",E7,$Y$48)</f>
        <v>-100</v>
      </c>
      <c r="Z7" s="4">
        <f>IF(Graphs!$B$4="Yes",F7,$Y$48)</f>
        <v>-100</v>
      </c>
      <c r="AA7" s="4">
        <f>IF(Graphs!$B$4="Yes",H7,$Y$48)</f>
        <v>-100</v>
      </c>
      <c r="AB7" s="4">
        <f>IF(Graphs!$B$4="Yes",I7,$Y$48)</f>
        <v>-100</v>
      </c>
      <c r="AC7" s="4">
        <f>IF(Graphs!$B$4="Yes",J7,$Y$48)</f>
        <v>-100</v>
      </c>
      <c r="AD7" s="4">
        <f>IF(Graphs!$B$4="Yes",K7,$Y$48)</f>
        <v>-100</v>
      </c>
      <c r="AE7" s="4">
        <f>IF(Graphs!$B$4="Yes",L7,$Y$48)</f>
        <v>-100</v>
      </c>
      <c r="AF7" s="4">
        <f>IF(Graphs!$B$4="Yes",M7,$Y$48)</f>
        <v>-100</v>
      </c>
      <c r="AG7" s="4">
        <f>IF(Graphs!$B$4="Yes",N7,$Y$48)</f>
        <v>-100</v>
      </c>
      <c r="AH7" s="27">
        <f>IF(Graphs!$B$4="Yes",O7,$Y$48)</f>
        <v>-100</v>
      </c>
    </row>
    <row r="8" spans="1:34" x14ac:dyDescent="0.25">
      <c r="A8" s="3">
        <v>1</v>
      </c>
      <c r="B8" s="3" t="s">
        <v>28</v>
      </c>
      <c r="C8" s="3">
        <v>2637.0204553029594</v>
      </c>
      <c r="D8" s="3" t="str">
        <f>IF(AND($B$1='Misc ref'!$B$4,E8&gt;=Fluorocarbon!$E$127),"Yes","No")</f>
        <v>No</v>
      </c>
      <c r="E8" s="40">
        <v>0.56000000000000005</v>
      </c>
      <c r="F8" s="3">
        <f>IF($B$1='Misc ref'!$B$5,$E$44,IF($B$1='Misc ref'!$B$4,$E$47,IF($B$1='Misc ref'!$B$3,IF(E8&lt;=$D$51,$E$51,IF(E8&gt;=$D$52,$E$52,$E$53)),"n/a")))</f>
        <v>1320</v>
      </c>
      <c r="G8" s="4">
        <f>((2*C8*'String Lengths'!E7)^2)*F8/1000000000000</f>
        <v>277.90696094031051</v>
      </c>
      <c r="H8" s="4">
        <f t="shared" si="1"/>
        <v>68.448724602729143</v>
      </c>
      <c r="I8" s="4">
        <f>PI()*(E8^2)*F8*'String Lengths'!E7*C8/2000000000</f>
        <v>0.14917725569297252</v>
      </c>
      <c r="J8" s="4">
        <f>4*H8/'String Lengths'!E7</f>
        <v>3.1470677978266273</v>
      </c>
      <c r="K8" s="4">
        <f>IF($B$1='Misc ref'!$B$5,_xlfn.XLOOKUP(E8,'Gut E est'!$A$5:$A$74,'Gut E est'!$B$5:$B$74,,-1,1),IF($B$1='Misc ref'!$B$4,IF(D8="No",$K$44+($K$45*G8),$K$46+($K$47*G8)),IF($B$1='Misc ref'!$B$3,$K$50+($K$51*G8),"n/a")))</f>
        <v>6.4735158195218414</v>
      </c>
      <c r="L8" s="4">
        <f>K8*(PI()^3)*(E8^4)/(0.128*H8*('String Lengths'!E7^2)*$L$48)</f>
        <v>2.2991264753104539</v>
      </c>
      <c r="M8" s="4">
        <f>0.008*('String Lengths'!E7^2)*C8*SQRT('Misc ref'!$B$9*F8/(K8*1000000000))/(PI()*E8)</f>
        <v>9.402517479415339</v>
      </c>
      <c r="N8" s="4">
        <f t="shared" si="0"/>
        <v>24.794630924561872</v>
      </c>
      <c r="O8" s="4">
        <f t="shared" si="2"/>
        <v>1.594432539734159</v>
      </c>
      <c r="Y8" s="26">
        <f>IF(Graphs!$B$4="Yes",E8,$Y$48)</f>
        <v>-100</v>
      </c>
      <c r="Z8" s="4">
        <f>IF(Graphs!$B$4="Yes",F8,$Y$48)</f>
        <v>-100</v>
      </c>
      <c r="AA8" s="4">
        <f>IF(Graphs!$B$4="Yes",H8,$Y$48)</f>
        <v>-100</v>
      </c>
      <c r="AB8" s="4">
        <f>IF(Graphs!$B$4="Yes",I8,$Y$48)</f>
        <v>-100</v>
      </c>
      <c r="AC8" s="4">
        <f>IF(Graphs!$B$4="Yes",J8,$Y$48)</f>
        <v>-100</v>
      </c>
      <c r="AD8" s="4">
        <f>IF(Graphs!$B$4="Yes",K8,$Y$48)</f>
        <v>-100</v>
      </c>
      <c r="AE8" s="4">
        <f>IF(Graphs!$B$4="Yes",L8,$Y$48)</f>
        <v>-100</v>
      </c>
      <c r="AF8" s="4">
        <f>IF(Graphs!$B$4="Yes",M8,$Y$48)</f>
        <v>-100</v>
      </c>
      <c r="AG8" s="4">
        <f>IF(Graphs!$B$4="Yes",N8,$Y$48)</f>
        <v>-100</v>
      </c>
      <c r="AH8" s="27">
        <f>IF(Graphs!$B$4="Yes",O8,$Y$48)</f>
        <v>-100</v>
      </c>
    </row>
    <row r="9" spans="1:34" x14ac:dyDescent="0.25">
      <c r="A9" s="3">
        <v>2</v>
      </c>
      <c r="B9" s="3" t="s">
        <v>29</v>
      </c>
      <c r="C9" s="3">
        <v>2349.3181433392606</v>
      </c>
      <c r="D9" s="3" t="str">
        <f>IF(AND($B$1='Misc ref'!$B$4,E9&gt;=Fluorocarbon!$E$127),"Yes","No")</f>
        <v>No</v>
      </c>
      <c r="E9" s="40">
        <v>0.57999999999999996</v>
      </c>
      <c r="F9" s="3">
        <f>IF($B$1='Misc ref'!$B$5,$E$44,IF($B$1='Misc ref'!$B$4,$E$47,IF($B$1='Misc ref'!$B$3,IF(E9&lt;=$D$51,$E$51,IF(E9&gt;=$D$52,$E$52,$E$53)),"n/a")))</f>
        <v>1320</v>
      </c>
      <c r="G9" s="4">
        <f>((2*C9*'String Lengths'!E8)^2)*F9/1000000000000</f>
        <v>263.00548053686464</v>
      </c>
      <c r="H9" s="4">
        <f t="shared" si="1"/>
        <v>69.488136791262093</v>
      </c>
      <c r="I9" s="4">
        <f>PI()*(E9^2)*F9*'String Lengths'!E8*C9/2000000000</f>
        <v>0.15567369484647564</v>
      </c>
      <c r="J9" s="4">
        <f>4*H9/'String Lengths'!E8</f>
        <v>2.9258162859478776</v>
      </c>
      <c r="K9" s="4">
        <f>IF($B$1='Misc ref'!$B$5,_xlfn.XLOOKUP(E9,'Gut E est'!$A$5:$A$74,'Gut E est'!$B$5:$B$74,,-1,1),IF($B$1='Misc ref'!$B$4,IF(D9="No",$K$44+($K$45*G9),$K$46+($K$47*G9)),IF($B$1='Misc ref'!$B$3,$K$50+($K$51*G9),"n/a")))</f>
        <v>6.4444810902804077</v>
      </c>
      <c r="L9" s="4">
        <f>K9*(PI()^3)*(E9^4)/(0.128*H9*('String Lengths'!E8^2)*$L$48)</f>
        <v>2.1757873974555149</v>
      </c>
      <c r="M9" s="4">
        <f>0.008*('String Lengths'!E8^2)*C9*SQRT('Misc ref'!$B$9*F9/(K9*1000000000))/(PI()*E9)</f>
        <v>9.6653448148997487</v>
      </c>
      <c r="N9" s="4">
        <f t="shared" si="0"/>
        <v>22.706969935274028</v>
      </c>
      <c r="O9" s="4">
        <f t="shared" si="2"/>
        <v>1.7026830871964969</v>
      </c>
      <c r="Y9" s="26">
        <f>IF(Graphs!$B$4="Yes",E9,$Y$48)</f>
        <v>-100</v>
      </c>
      <c r="Z9" s="4">
        <f>IF(Graphs!$B$4="Yes",F9,$Y$48)</f>
        <v>-100</v>
      </c>
      <c r="AA9" s="4">
        <f>IF(Graphs!$B$4="Yes",H9,$Y$48)</f>
        <v>-100</v>
      </c>
      <c r="AB9" s="4">
        <f>IF(Graphs!$B$4="Yes",I9,$Y$48)</f>
        <v>-100</v>
      </c>
      <c r="AC9" s="4">
        <f>IF(Graphs!$B$4="Yes",J9,$Y$48)</f>
        <v>-100</v>
      </c>
      <c r="AD9" s="4">
        <f>IF(Graphs!$B$4="Yes",K9,$Y$48)</f>
        <v>-100</v>
      </c>
      <c r="AE9" s="4">
        <f>IF(Graphs!$B$4="Yes",L9,$Y$48)</f>
        <v>-100</v>
      </c>
      <c r="AF9" s="4">
        <f>IF(Graphs!$B$4="Yes",M9,$Y$48)</f>
        <v>-100</v>
      </c>
      <c r="AG9" s="4">
        <f>IF(Graphs!$B$4="Yes",N9,$Y$48)</f>
        <v>-100</v>
      </c>
      <c r="AH9" s="27">
        <f>IF(Graphs!$B$4="Yes",O9,$Y$48)</f>
        <v>-100</v>
      </c>
    </row>
    <row r="10" spans="1:34" x14ac:dyDescent="0.25">
      <c r="A10" s="3">
        <v>3</v>
      </c>
      <c r="B10" s="3" t="s">
        <v>30</v>
      </c>
      <c r="C10" s="3">
        <v>2093.0045224047894</v>
      </c>
      <c r="D10" s="3" t="str">
        <f>IF(AND($B$1='Misc ref'!$B$4,E10&gt;=Fluorocarbon!$E$127),"Yes","No")</f>
        <v>No</v>
      </c>
      <c r="E10" s="40">
        <v>0.6</v>
      </c>
      <c r="F10" s="3">
        <f>IF($B$1='Misc ref'!$B$5,$E$44,IF($B$1='Misc ref'!$B$4,$E$47,IF($B$1='Misc ref'!$B$3,IF(E10&lt;=$D$51,$E$51,IF(E10&gt;=$D$52,$E$52,$E$53)),"n/a")))</f>
        <v>1320</v>
      </c>
      <c r="G10" s="4">
        <f>((2*C10*'String Lengths'!E9)^2)*F10/1000000000000</f>
        <v>245.38539209147257</v>
      </c>
      <c r="H10" s="4">
        <f t="shared" si="1"/>
        <v>69.381085058353904</v>
      </c>
      <c r="I10" s="4">
        <f>PI()*(E10^2)*F10*'String Lengths'!E9*C10/2000000000</f>
        <v>0.16091765697259167</v>
      </c>
      <c r="J10" s="4">
        <f>4*H10/'String Lengths'!E9</f>
        <v>2.6944110702273361</v>
      </c>
      <c r="K10" s="4">
        <f>IF($B$1='Misc ref'!$B$5,_xlfn.XLOOKUP(E10,'Gut E est'!$A$5:$A$74,'Gut E est'!$B$5:$B$74,,-1,1),IF($B$1='Misc ref'!$B$4,IF(D10="No",$K$44+($K$45*G10),$K$46+($K$47*G10)),IF($B$1='Misc ref'!$B$3,$K$50+($K$51*G10),"n/a")))</f>
        <v>6.4147006498018122</v>
      </c>
      <c r="L10" s="4">
        <f>K10*(PI()^3)*(E10^4)/(0.128*H10*('String Lengths'!E9^2)*$L$48)</f>
        <v>2.1131983618929087</v>
      </c>
      <c r="M10" s="4">
        <f>0.008*('String Lengths'!E9^2)*C10*SQRT('Misc ref'!$B$9*F10/(K10*1000000000))/(PI()*E10)</f>
        <v>9.8074352161675957</v>
      </c>
      <c r="N10" s="4">
        <f t="shared" si="0"/>
        <v>20.527006260630774</v>
      </c>
      <c r="O10" s="4">
        <f t="shared" si="2"/>
        <v>1.8137138792755541</v>
      </c>
      <c r="Y10" s="26">
        <f>IF(Graphs!$B$4="Yes",E10,$Y$48)</f>
        <v>-100</v>
      </c>
      <c r="Z10" s="4">
        <f>IF(Graphs!$B$4="Yes",F10,$Y$48)</f>
        <v>-100</v>
      </c>
      <c r="AA10" s="4">
        <f>IF(Graphs!$B$4="Yes",H10,$Y$48)</f>
        <v>-100</v>
      </c>
      <c r="AB10" s="4">
        <f>IF(Graphs!$B$4="Yes",I10,$Y$48)</f>
        <v>-100</v>
      </c>
      <c r="AC10" s="4">
        <f>IF(Graphs!$B$4="Yes",J10,$Y$48)</f>
        <v>-100</v>
      </c>
      <c r="AD10" s="4">
        <f>IF(Graphs!$B$4="Yes",K10,$Y$48)</f>
        <v>-100</v>
      </c>
      <c r="AE10" s="4">
        <f>IF(Graphs!$B$4="Yes",L10,$Y$48)</f>
        <v>-100</v>
      </c>
      <c r="AF10" s="4">
        <f>IF(Graphs!$B$4="Yes",M10,$Y$48)</f>
        <v>-100</v>
      </c>
      <c r="AG10" s="4">
        <f>IF(Graphs!$B$4="Yes",N10,$Y$48)</f>
        <v>-100</v>
      </c>
      <c r="AH10" s="27">
        <f>IF(Graphs!$B$4="Yes",O10,$Y$48)</f>
        <v>-100</v>
      </c>
    </row>
    <row r="11" spans="1:34" x14ac:dyDescent="0.25">
      <c r="A11" s="3">
        <v>4</v>
      </c>
      <c r="B11" s="3" t="s">
        <v>31</v>
      </c>
      <c r="C11" s="3">
        <v>1975.5332050244965</v>
      </c>
      <c r="D11" s="3" t="str">
        <f>IF(AND($B$1='Misc ref'!$B$4,E11&gt;=Fluorocarbon!$E$127),"Yes","No")</f>
        <v>No</v>
      </c>
      <c r="E11" s="40">
        <v>0.62</v>
      </c>
      <c r="F11" s="3">
        <f>IF($B$1='Misc ref'!$B$5,$E$44,IF($B$1='Misc ref'!$B$4,$E$47,IF($B$1='Misc ref'!$B$3,IF(E11&lt;=$D$51,$E$51,IF(E11&gt;=$D$52,$E$52,$E$53)),"n/a")))</f>
        <v>1320</v>
      </c>
      <c r="G11" s="4">
        <f>((2*C11*'String Lengths'!E10)^2)*F11/1000000000000</f>
        <v>263.123402838949</v>
      </c>
      <c r="H11" s="4">
        <f t="shared" si="1"/>
        <v>79.438811392188072</v>
      </c>
      <c r="I11" s="4">
        <f>PI()*(E11^2)*F11*'String Lengths'!E10*C11/2000000000</f>
        <v>0.17792622495950458</v>
      </c>
      <c r="J11" s="4">
        <f>4*H11/'String Lengths'!E10</f>
        <v>2.8119933236172767</v>
      </c>
      <c r="K11" s="4">
        <f>IF($B$1='Misc ref'!$B$5,_xlfn.XLOOKUP(E11,'Gut E est'!$A$5:$A$74,'Gut E est'!$B$5:$B$74,,-1,1),IF($B$1='Misc ref'!$B$4,IF(D11="No",$K$44+($K$45*G11),$K$46+($K$47*G11)),IF($B$1='Misc ref'!$B$3,$K$50+($K$51*G11),"n/a")))</f>
        <v>6.3841987153685906</v>
      </c>
      <c r="L11" s="4">
        <f>K11*(PI()^3)*(E11^4)/(0.128*H11*('String Lengths'!E10^2)*$L$48)</f>
        <v>1.7400348100733378</v>
      </c>
      <c r="M11" s="4">
        <f>0.008*('String Lengths'!E10^2)*C11*SQRT('Misc ref'!$B$9*F11/(K11*1000000000))/(PI()*E11)</f>
        <v>10.808031765178164</v>
      </c>
      <c r="N11" s="4">
        <f t="shared" si="0"/>
        <v>21.351625633068988</v>
      </c>
      <c r="O11" s="4">
        <f t="shared" si="2"/>
        <v>1.9274346263712245</v>
      </c>
      <c r="Y11" s="26">
        <f>IF(Graphs!$B$4="Yes",E11,$Y$48)</f>
        <v>-100</v>
      </c>
      <c r="Z11" s="4">
        <f>IF(Graphs!$B$4="Yes",F11,$Y$48)</f>
        <v>-100</v>
      </c>
      <c r="AA11" s="4">
        <f>IF(Graphs!$B$4="Yes",H11,$Y$48)</f>
        <v>-100</v>
      </c>
      <c r="AB11" s="4">
        <f>IF(Graphs!$B$4="Yes",I11,$Y$48)</f>
        <v>-100</v>
      </c>
      <c r="AC11" s="4">
        <f>IF(Graphs!$B$4="Yes",J11,$Y$48)</f>
        <v>-100</v>
      </c>
      <c r="AD11" s="4">
        <f>IF(Graphs!$B$4="Yes",K11,$Y$48)</f>
        <v>-100</v>
      </c>
      <c r="AE11" s="4">
        <f>IF(Graphs!$B$4="Yes",L11,$Y$48)</f>
        <v>-100</v>
      </c>
      <c r="AF11" s="4">
        <f>IF(Graphs!$B$4="Yes",M11,$Y$48)</f>
        <v>-100</v>
      </c>
      <c r="AG11" s="4">
        <f>IF(Graphs!$B$4="Yes",N11,$Y$48)</f>
        <v>-100</v>
      </c>
      <c r="AH11" s="27">
        <f>IF(Graphs!$B$4="Yes",O11,$Y$48)</f>
        <v>-100</v>
      </c>
    </row>
    <row r="12" spans="1:34" x14ac:dyDescent="0.25">
      <c r="A12" s="3">
        <v>5</v>
      </c>
      <c r="B12" s="3" t="s">
        <v>32</v>
      </c>
      <c r="C12" s="3">
        <v>1760</v>
      </c>
      <c r="D12" s="3" t="str">
        <f>IF(AND($B$1='Misc ref'!$B$4,E12&gt;=Fluorocarbon!$E$127),"Yes","No")</f>
        <v>No</v>
      </c>
      <c r="E12" s="40">
        <v>0.64</v>
      </c>
      <c r="F12" s="3">
        <f>IF($B$1='Misc ref'!$B$5,$E$44,IF($B$1='Misc ref'!$B$4,$E$47,IF($B$1='Misc ref'!$B$3,IF(E12&lt;=$D$51,$E$51,IF(E12&gt;=$D$52,$E$52,$E$53)),"n/a")))</f>
        <v>1320</v>
      </c>
      <c r="G12" s="4">
        <f>((2*C12*'String Lengths'!E11)^2)*F12/1000000000000</f>
        <v>243.432701952</v>
      </c>
      <c r="H12" s="4">
        <f t="shared" si="1"/>
        <v>78.3120781410219</v>
      </c>
      <c r="I12" s="4">
        <f>PI()*(E12^2)*F12*'String Lengths'!E11*C12/2000000000</f>
        <v>0.18235860222853459</v>
      </c>
      <c r="J12" s="4">
        <f>4*H12/'String Lengths'!E11</f>
        <v>2.5676091193777673</v>
      </c>
      <c r="K12" s="4">
        <f>IF($B$1='Misc ref'!$B$5,_xlfn.XLOOKUP(E12,'Gut E est'!$A$5:$A$74,'Gut E est'!$B$5:$B$74,,-1,1),IF($B$1='Misc ref'!$B$4,IF(D12="No",$K$44+($K$45*G12),$K$46+($K$47*G12)),IF($B$1='Misc ref'!$B$3,$K$50+($K$51*G12),"n/a")))</f>
        <v>6.4212086514912716</v>
      </c>
      <c r="L12" s="4">
        <f>K12*(PI()^3)*(E12^4)/(0.128*H12*('String Lengths'!E11^2)*$L$48)</f>
        <v>1.7292694710266463</v>
      </c>
      <c r="M12" s="4">
        <f>0.008*('String Lengths'!E11^2)*C12*SQRT('Misc ref'!$B$9*F12/(K12*1000000000))/(PI()*E12)</f>
        <v>10.841621557311196</v>
      </c>
      <c r="N12" s="4">
        <f t="shared" si="0"/>
        <v>19.081253940867704</v>
      </c>
      <c r="O12" s="4">
        <f t="shared" si="2"/>
        <v>2.0656969652932813</v>
      </c>
      <c r="Y12" s="26">
        <f>IF(Graphs!$B$4="Yes",E12,$Y$48)</f>
        <v>-100</v>
      </c>
      <c r="Z12" s="4">
        <f>IF(Graphs!$B$4="Yes",F12,$Y$48)</f>
        <v>-100</v>
      </c>
      <c r="AA12" s="4">
        <f>IF(Graphs!$B$4="Yes",H12,$Y$48)</f>
        <v>-100</v>
      </c>
      <c r="AB12" s="4">
        <f>IF(Graphs!$B$4="Yes",I12,$Y$48)</f>
        <v>-100</v>
      </c>
      <c r="AC12" s="4">
        <f>IF(Graphs!$B$4="Yes",J12,$Y$48)</f>
        <v>-100</v>
      </c>
      <c r="AD12" s="4">
        <f>IF(Graphs!$B$4="Yes",K12,$Y$48)</f>
        <v>-100</v>
      </c>
      <c r="AE12" s="4">
        <f>IF(Graphs!$B$4="Yes",L12,$Y$48)</f>
        <v>-100</v>
      </c>
      <c r="AF12" s="4">
        <f>IF(Graphs!$B$4="Yes",M12,$Y$48)</f>
        <v>-100</v>
      </c>
      <c r="AG12" s="4">
        <f>IF(Graphs!$B$4="Yes",N12,$Y$48)</f>
        <v>-100</v>
      </c>
      <c r="AH12" s="27">
        <f>IF(Graphs!$B$4="Yes",O12,$Y$48)</f>
        <v>-100</v>
      </c>
    </row>
    <row r="13" spans="1:34" x14ac:dyDescent="0.25">
      <c r="A13" s="3">
        <v>6</v>
      </c>
      <c r="B13" s="3" t="s">
        <v>33</v>
      </c>
      <c r="C13" s="3">
        <v>1567.9817439269971</v>
      </c>
      <c r="D13" s="3" t="str">
        <f>IF(AND($B$1='Misc ref'!$B$4,E13&gt;=Fluorocarbon!$E$127),"Yes","No")</f>
        <v>No</v>
      </c>
      <c r="E13" s="40">
        <v>0.66</v>
      </c>
      <c r="F13" s="3">
        <f>IF($B$1='Misc ref'!$B$5,$E$44,IF($B$1='Misc ref'!$B$4,$E$47,IF($B$1='Misc ref'!$B$3,IF(E13&lt;=$D$51,$E$51,IF(E13&gt;=$D$52,$E$52,$E$53)),"n/a")))</f>
        <v>1320</v>
      </c>
      <c r="G13" s="4">
        <f>((2*C13*'String Lengths'!E12)^2)*F13/1000000000000</f>
        <v>229.62502056469307</v>
      </c>
      <c r="H13" s="4">
        <f t="shared" si="1"/>
        <v>78.559183440053857</v>
      </c>
      <c r="I13" s="4">
        <f>PI()*(E13^2)*F13*'String Lengths'!E12*C13/2000000000</f>
        <v>0.18835377212413415</v>
      </c>
      <c r="J13" s="4">
        <f>4*H13/'String Lengths'!E12</f>
        <v>2.3626822087234243</v>
      </c>
      <c r="K13" s="4">
        <f>IF($B$1='Misc ref'!$B$5,_xlfn.XLOOKUP(E13,'Gut E est'!$A$5:$A$74,'Gut E est'!$B$5:$B$74,,-1,1),IF($B$1='Misc ref'!$B$4,IF(D13="No",$K$44+($K$45*G13),$K$46+($K$47*G13)),IF($B$1='Misc ref'!$B$3,$K$50+($K$51*G13),"n/a")))</f>
        <v>6.3929857543498434</v>
      </c>
      <c r="L13" s="4">
        <f>K13*(PI()^3)*(E13^4)/(0.128*H13*('String Lengths'!E12^2)*$L$48)</f>
        <v>1.6332536700476747</v>
      </c>
      <c r="M13" s="4">
        <f>0.008*('String Lengths'!E12^2)*C13*SQRT('Misc ref'!$B$9*F13/(K13*1000000000))/(PI()*E13)</f>
        <v>11.155749644652742</v>
      </c>
      <c r="N13" s="4">
        <f t="shared" si="0"/>
        <v>17.492011782635586</v>
      </c>
      <c r="O13" s="4">
        <f t="shared" si="2"/>
        <v>2.1871647060522572</v>
      </c>
      <c r="Y13" s="26">
        <f>IF(Graphs!$B$4="Yes",E13,$Y$48)</f>
        <v>-100</v>
      </c>
      <c r="Z13" s="4">
        <f>IF(Graphs!$B$4="Yes",F13,$Y$48)</f>
        <v>-100</v>
      </c>
      <c r="AA13" s="4">
        <f>IF(Graphs!$B$4="Yes",H13,$Y$48)</f>
        <v>-100</v>
      </c>
      <c r="AB13" s="4">
        <f>IF(Graphs!$B$4="Yes",I13,$Y$48)</f>
        <v>-100</v>
      </c>
      <c r="AC13" s="4">
        <f>IF(Graphs!$B$4="Yes",J13,$Y$48)</f>
        <v>-100</v>
      </c>
      <c r="AD13" s="4">
        <f>IF(Graphs!$B$4="Yes",K13,$Y$48)</f>
        <v>-100</v>
      </c>
      <c r="AE13" s="4">
        <f>IF(Graphs!$B$4="Yes",L13,$Y$48)</f>
        <v>-100</v>
      </c>
      <c r="AF13" s="4">
        <f>IF(Graphs!$B$4="Yes",M13,$Y$48)</f>
        <v>-100</v>
      </c>
      <c r="AG13" s="4">
        <f>IF(Graphs!$B$4="Yes",N13,$Y$48)</f>
        <v>-100</v>
      </c>
      <c r="AH13" s="27">
        <f>IF(Graphs!$B$4="Yes",O13,$Y$48)</f>
        <v>-100</v>
      </c>
    </row>
    <row r="14" spans="1:34" x14ac:dyDescent="0.25">
      <c r="A14" s="2">
        <v>7</v>
      </c>
      <c r="B14" s="2" t="s">
        <v>34</v>
      </c>
      <c r="C14" s="2">
        <v>1396.9129257320155</v>
      </c>
      <c r="D14" s="18" t="str">
        <f>IF(AND($B$1='Misc ref'!$B$4,E14&gt;=Fluorocarbon!$E$127),"Yes","No")</f>
        <v>No</v>
      </c>
      <c r="E14" s="41">
        <v>0.68</v>
      </c>
      <c r="F14" s="13">
        <f>IF($B$1='Misc ref'!$B$5,$E$44,IF($B$1='Misc ref'!$B$4,$E$47,IF($B$1='Misc ref'!$B$3,IF(E14&lt;=$D$51,$E$51,IF(E14&gt;=$D$52,$E$52,$E$53)),"n/a")))</f>
        <v>1320</v>
      </c>
      <c r="G14" s="15">
        <f>((2*C14*'String Lengths'!E13)^2)*F14/1000000000000</f>
        <v>213.64738355659986</v>
      </c>
      <c r="H14" s="15">
        <f t="shared" si="1"/>
        <v>77.589916653994976</v>
      </c>
      <c r="I14" s="15">
        <f>PI()*(E14^2)*F14*'String Lengths'!E13*C14/2000000000</f>
        <v>0.19286057696487743</v>
      </c>
      <c r="J14" s="15">
        <f>4*H14/'String Lengths'!E13</f>
        <v>2.1552754626109714</v>
      </c>
      <c r="K14" s="15">
        <f>IF($B$1='Misc ref'!$B$5,_xlfn.XLOOKUP(E14,'Gut E est'!$A$5:$A$74,'Gut E est'!$B$5:$B$74,,-1,1),IF($B$1='Misc ref'!$B$4,IF(D14="No",$K$44+($K$45*G14),$K$46+($K$47*G14)),IF($B$1='Misc ref'!$B$3,$K$50+($K$51*G14),"n/a")))</f>
        <v>6.3641529512957193</v>
      </c>
      <c r="L14" s="15">
        <f>K14*(PI()^3)*(E14^4)/(0.128*H14*('String Lengths'!E13^2)*$L$48)</f>
        <v>1.5824150195102227</v>
      </c>
      <c r="M14" s="15">
        <f>0.008*('String Lengths'!E13^2)*C14*SQRT('Misc ref'!$B$9*F14/(K14*1000000000))/(PI()*E14)</f>
        <v>11.333534801388176</v>
      </c>
      <c r="N14" s="15">
        <f t="shared" si="0"/>
        <v>15.831961258292775</v>
      </c>
      <c r="O14" s="15">
        <f t="shared" si="2"/>
        <v>2.3112574038777978</v>
      </c>
      <c r="Y14" s="26">
        <f>IF(Graphs!$B$4="Yes",E14,$Y$48)</f>
        <v>-100</v>
      </c>
      <c r="Z14" s="4">
        <f>IF(Graphs!$B$4="Yes",F14,$Y$48)</f>
        <v>-100</v>
      </c>
      <c r="AA14" s="4">
        <f>IF(Graphs!$B$4="Yes",H14,$Y$48)</f>
        <v>-100</v>
      </c>
      <c r="AB14" s="4">
        <f>IF(Graphs!$B$4="Yes",I14,$Y$48)</f>
        <v>-100</v>
      </c>
      <c r="AC14" s="4">
        <f>IF(Graphs!$B$4="Yes",J14,$Y$48)</f>
        <v>-100</v>
      </c>
      <c r="AD14" s="4">
        <f>IF(Graphs!$B$4="Yes",K14,$Y$48)</f>
        <v>-100</v>
      </c>
      <c r="AE14" s="4">
        <f>IF(Graphs!$B$4="Yes",L14,$Y$48)</f>
        <v>-100</v>
      </c>
      <c r="AF14" s="4">
        <f>IF(Graphs!$B$4="Yes",M14,$Y$48)</f>
        <v>-100</v>
      </c>
      <c r="AG14" s="4">
        <f>IF(Graphs!$B$4="Yes",N14,$Y$48)</f>
        <v>-100</v>
      </c>
      <c r="AH14" s="27">
        <f>IF(Graphs!$B$4="Yes",O14,$Y$48)</f>
        <v>-100</v>
      </c>
    </row>
    <row r="15" spans="1:34" x14ac:dyDescent="0.25">
      <c r="A15" s="3">
        <v>8</v>
      </c>
      <c r="B15" s="3" t="s">
        <v>35</v>
      </c>
      <c r="C15" s="3">
        <v>1318.5102276514797</v>
      </c>
      <c r="D15" s="3" t="str">
        <f>IF(AND($B$1='Misc ref'!$B$4,E15&gt;=Fluorocarbon!$E$127),"Yes","No")</f>
        <v>No</v>
      </c>
      <c r="E15" s="40">
        <v>0.7</v>
      </c>
      <c r="F15" s="3">
        <f>IF($B$1='Misc ref'!$B$5,$E$44,IF($B$1='Misc ref'!$B$4,$E$47,IF($B$1='Misc ref'!$B$3,IF(E15&lt;=$D$51,$E$51,IF(E15&gt;=$D$52,$E$52,$E$53)),"n/a")))</f>
        <v>1320</v>
      </c>
      <c r="G15" s="4">
        <f>((2*C15*'String Lengths'!E14)^2)*F15/1000000000000</f>
        <v>217.69195024641311</v>
      </c>
      <c r="H15" s="4">
        <f t="shared" si="1"/>
        <v>83.777680375871356</v>
      </c>
      <c r="I15" s="4">
        <f>PI()*(E15^2)*F15*'String Lengths'!E14*C15/2000000000</f>
        <v>0.20629756983403161</v>
      </c>
      <c r="J15" s="4">
        <f>4*H15/'String Lengths'!E14</f>
        <v>2.1760436461265287</v>
      </c>
      <c r="K15" s="4">
        <f>IF($B$1='Misc ref'!$B$5,_xlfn.XLOOKUP(E15,'Gut E est'!$A$5:$A$74,'Gut E est'!$B$5:$B$74,,-1,1),IF($B$1='Misc ref'!$B$4,IF(D15="No",$K$44+($K$45*G15),$K$46+($K$47*G15)),IF($B$1='Misc ref'!$B$3,$K$50+($K$51*G15),"n/a")))</f>
        <v>6.3347300476775441</v>
      </c>
      <c r="L15" s="4">
        <f>K15*(PI()^3)*(E15^4)/(0.128*H15*('String Lengths'!E14^2)*$L$48)</f>
        <v>1.432270033932765</v>
      </c>
      <c r="M15" s="4">
        <f>0.008*('String Lengths'!E14^2)*C15*SQRT('Misc ref'!$B$9*F15/(K15*1000000000))/(PI()*E15)</f>
        <v>11.9127801751997</v>
      </c>
      <c r="N15" s="4">
        <f t="shared" si="0"/>
        <v>15.707122500764591</v>
      </c>
      <c r="O15" s="4">
        <f t="shared" si="2"/>
        <v>2.4378898190816405</v>
      </c>
      <c r="Y15" s="26">
        <f>IF(Graphs!$B$4="Yes",E15,$Y$48)</f>
        <v>-100</v>
      </c>
      <c r="Z15" s="4">
        <f>IF(Graphs!$B$4="Yes",F15,$Y$48)</f>
        <v>-100</v>
      </c>
      <c r="AA15" s="4">
        <f>IF(Graphs!$B$4="Yes",H15,$Y$48)</f>
        <v>-100</v>
      </c>
      <c r="AB15" s="4">
        <f>IF(Graphs!$B$4="Yes",I15,$Y$48)</f>
        <v>-100</v>
      </c>
      <c r="AC15" s="4">
        <f>IF(Graphs!$B$4="Yes",J15,$Y$48)</f>
        <v>-100</v>
      </c>
      <c r="AD15" s="4">
        <f>IF(Graphs!$B$4="Yes",K15,$Y$48)</f>
        <v>-100</v>
      </c>
      <c r="AE15" s="4">
        <f>IF(Graphs!$B$4="Yes",L15,$Y$48)</f>
        <v>-100</v>
      </c>
      <c r="AF15" s="4">
        <f>IF(Graphs!$B$4="Yes",M15,$Y$48)</f>
        <v>-100</v>
      </c>
      <c r="AG15" s="4">
        <f>IF(Graphs!$B$4="Yes",N15,$Y$48)</f>
        <v>-100</v>
      </c>
      <c r="AH15" s="27">
        <f>IF(Graphs!$B$4="Yes",O15,$Y$48)</f>
        <v>-100</v>
      </c>
    </row>
    <row r="16" spans="1:34" x14ac:dyDescent="0.25">
      <c r="A16" s="3">
        <v>9</v>
      </c>
      <c r="B16" s="3" t="s">
        <v>36</v>
      </c>
      <c r="C16" s="3">
        <v>1174.6590716696303</v>
      </c>
      <c r="D16" s="3" t="str">
        <f>IF(AND($B$1='Misc ref'!$B$4,E16&gt;=Fluorocarbon!$E$127),"Yes","No")</f>
        <v>No</v>
      </c>
      <c r="E16" s="40">
        <v>0.73</v>
      </c>
      <c r="F16" s="3">
        <f>IF($B$1='Misc ref'!$B$5,$E$44,IF($B$1='Misc ref'!$B$4,$E$47,IF($B$1='Misc ref'!$B$3,IF(E16&lt;=$D$51,$E$51,IF(E16&gt;=$D$52,$E$52,$E$53)),"n/a")))</f>
        <v>1320</v>
      </c>
      <c r="G16" s="4">
        <f>((2*C16*'String Lengths'!E15)^2)*F16/1000000000000</f>
        <v>208.08031937987238</v>
      </c>
      <c r="H16" s="4">
        <f t="shared" si="1"/>
        <v>87.0896624724286</v>
      </c>
      <c r="I16" s="4">
        <f>PI()*(E16^2)*F16*'String Lengths'!E15*C16/2000000000</f>
        <v>0.21935021786787465</v>
      </c>
      <c r="J16" s="4">
        <f>4*H16/'String Lengths'!E15</f>
        <v>2.0612937863296712</v>
      </c>
      <c r="K16" s="4">
        <f>IF($B$1='Misc ref'!$B$5,_xlfn.XLOOKUP(E16,'Gut E est'!$A$5:$A$74,'Gut E est'!$B$5:$B$74,,-1,1),IF($B$1='Misc ref'!$B$4,IF(D16="No",$K$44+($K$45*G16),$K$46+($K$47*G16)),IF($B$1='Misc ref'!$B$3,$K$50+($K$51*G16),"n/a")))</f>
        <v>6.2895328487649378</v>
      </c>
      <c r="L16" s="4">
        <f>K16*(PI()^3)*(E16^4)/(0.128*H16*('String Lengths'!E15^2)*$L$48)</f>
        <v>1.3435202604902836</v>
      </c>
      <c r="M16" s="4">
        <f>0.008*('String Lengths'!E15^2)*C16*SQRT('Misc ref'!$B$9*F16/(K16*1000000000))/(PI()*E16)</f>
        <v>12.299953531381236</v>
      </c>
      <c r="N16" s="4">
        <f t="shared" si="0"/>
        <v>14.448251996751875</v>
      </c>
      <c r="O16" s="4">
        <f t="shared" si="2"/>
        <v>2.6324127843547274</v>
      </c>
      <c r="Y16" s="26">
        <f>IF(Graphs!$B$4="Yes",E16,$Y$48)</f>
        <v>-100</v>
      </c>
      <c r="Z16" s="4">
        <f>IF(Graphs!$B$4="Yes",F16,$Y$48)</f>
        <v>-100</v>
      </c>
      <c r="AA16" s="4">
        <f>IF(Graphs!$B$4="Yes",H16,$Y$48)</f>
        <v>-100</v>
      </c>
      <c r="AB16" s="4">
        <f>IF(Graphs!$B$4="Yes",I16,$Y$48)</f>
        <v>-100</v>
      </c>
      <c r="AC16" s="4">
        <f>IF(Graphs!$B$4="Yes",J16,$Y$48)</f>
        <v>-100</v>
      </c>
      <c r="AD16" s="4">
        <f>IF(Graphs!$B$4="Yes",K16,$Y$48)</f>
        <v>-100</v>
      </c>
      <c r="AE16" s="4">
        <f>IF(Graphs!$B$4="Yes",L16,$Y$48)</f>
        <v>-100</v>
      </c>
      <c r="AF16" s="4">
        <f>IF(Graphs!$B$4="Yes",M16,$Y$48)</f>
        <v>-100</v>
      </c>
      <c r="AG16" s="4">
        <f>IF(Graphs!$B$4="Yes",N16,$Y$48)</f>
        <v>-100</v>
      </c>
      <c r="AH16" s="27">
        <f>IF(Graphs!$B$4="Yes",O16,$Y$48)</f>
        <v>-100</v>
      </c>
    </row>
    <row r="17" spans="1:34" x14ac:dyDescent="0.25">
      <c r="A17" s="3">
        <v>10</v>
      </c>
      <c r="B17" s="3" t="s">
        <v>37</v>
      </c>
      <c r="C17" s="3">
        <v>1046.5022612023947</v>
      </c>
      <c r="D17" s="3" t="str">
        <f>IF(AND($B$1='Misc ref'!$B$4,E17&gt;=Fluorocarbon!$E$127),"Yes","No")</f>
        <v>No</v>
      </c>
      <c r="E17" s="40">
        <v>0.76</v>
      </c>
      <c r="F17" s="3">
        <f>IF($B$1='Misc ref'!$B$5,$E$44,IF($B$1='Misc ref'!$B$4,$E$47,IF($B$1='Misc ref'!$B$3,IF(E17&lt;=$D$51,$E$51,IF(E17&gt;=$D$52,$E$52,$E$53)),"n/a")))</f>
        <v>1320</v>
      </c>
      <c r="G17" s="4">
        <f>((2*C17*'String Lengths'!E16)^2)*F17/1000000000000</f>
        <v>191.5389227928631</v>
      </c>
      <c r="H17" s="4">
        <f t="shared" si="1"/>
        <v>86.890862181137862</v>
      </c>
      <c r="I17" s="4">
        <f>PI()*(E17^2)*F17*'String Lengths'!E16*C17/2000000000</f>
        <v>0.22810381657849446</v>
      </c>
      <c r="J17" s="4">
        <f>4*H17/'String Lengths'!E16</f>
        <v>1.9096892787063267</v>
      </c>
      <c r="K17" s="4">
        <f>IF($B$1='Misc ref'!$B$5,_xlfn.XLOOKUP(E17,'Gut E est'!$A$5:$A$74,'Gut E est'!$B$5:$B$74,,-1,1),IF($B$1='Misc ref'!$B$4,IF(D17="No",$K$44+($K$45*G17),$K$46+($K$47*G17)),IF($B$1='Misc ref'!$B$3,$K$50+($K$51*G17),"n/a")))</f>
        <v>6.2431203080667235</v>
      </c>
      <c r="L17" s="4">
        <f>K17*(PI()^3)*(E17^4)/(0.128*H17*('String Lengths'!E16^2)*$L$48)</f>
        <v>1.3539842021449382</v>
      </c>
      <c r="M17" s="4">
        <f>0.008*('String Lengths'!E16^2)*C17*SQRT('Misc ref'!$B$9*F17/(K17*1000000000))/(PI()*E17)</f>
        <v>12.252332728346879</v>
      </c>
      <c r="N17" s="4">
        <f t="shared" si="0"/>
        <v>12.822093905219115</v>
      </c>
      <c r="O17" s="4">
        <f t="shared" si="2"/>
        <v>2.8321664252812715</v>
      </c>
      <c r="Y17" s="26">
        <f>IF(Graphs!$B$4="Yes",E17,$Y$48)</f>
        <v>-100</v>
      </c>
      <c r="Z17" s="4">
        <f>IF(Graphs!$B$4="Yes",F17,$Y$48)</f>
        <v>-100</v>
      </c>
      <c r="AA17" s="4">
        <f>IF(Graphs!$B$4="Yes",H17,$Y$48)</f>
        <v>-100</v>
      </c>
      <c r="AB17" s="4">
        <f>IF(Graphs!$B$4="Yes",I17,$Y$48)</f>
        <v>-100</v>
      </c>
      <c r="AC17" s="4">
        <f>IF(Graphs!$B$4="Yes",J17,$Y$48)</f>
        <v>-100</v>
      </c>
      <c r="AD17" s="4">
        <f>IF(Graphs!$B$4="Yes",K17,$Y$48)</f>
        <v>-100</v>
      </c>
      <c r="AE17" s="4">
        <f>IF(Graphs!$B$4="Yes",L17,$Y$48)</f>
        <v>-100</v>
      </c>
      <c r="AF17" s="4">
        <f>IF(Graphs!$B$4="Yes",M17,$Y$48)</f>
        <v>-100</v>
      </c>
      <c r="AG17" s="4">
        <f>IF(Graphs!$B$4="Yes",N17,$Y$48)</f>
        <v>-100</v>
      </c>
      <c r="AH17" s="27">
        <f>IF(Graphs!$B$4="Yes",O17,$Y$48)</f>
        <v>-100</v>
      </c>
    </row>
    <row r="18" spans="1:34" x14ac:dyDescent="0.25">
      <c r="A18" s="3">
        <v>11</v>
      </c>
      <c r="B18" s="3" t="s">
        <v>38</v>
      </c>
      <c r="C18" s="3">
        <v>987.76660251224826</v>
      </c>
      <c r="D18" s="3" t="str">
        <f>IF(AND($B$1='Misc ref'!$B$4,E18&gt;=Fluorocarbon!$E$127),"Yes","No")</f>
        <v>No</v>
      </c>
      <c r="E18" s="40">
        <v>0.8</v>
      </c>
      <c r="F18" s="3">
        <f>IF($B$1='Misc ref'!$B$5,$E$44,IF($B$1='Misc ref'!$B$4,$E$47,IF($B$1='Misc ref'!$B$3,IF(E18&lt;=$D$51,$E$51,IF(E18&gt;=$D$52,$E$52,$E$53)),"n/a")))</f>
        <v>1320</v>
      </c>
      <c r="G18" s="4">
        <f>((2*C18*'String Lengths'!E17)^2)*F18/1000000000000</f>
        <v>199.92865809336621</v>
      </c>
      <c r="H18" s="4">
        <f t="shared" si="1"/>
        <v>100.49510456130959</v>
      </c>
      <c r="I18" s="4">
        <f>PI()*(E18^2)*F18*'String Lengths'!E17*C18/2000000000</f>
        <v>0.25822265757109503</v>
      </c>
      <c r="J18" s="4">
        <f>4*H18/'String Lengths'!E17</f>
        <v>2.0405097372854737</v>
      </c>
      <c r="K18" s="4">
        <f>IF($B$1='Misc ref'!$B$5,_xlfn.XLOOKUP(E18,'Gut E est'!$A$5:$A$74,'Gut E est'!$B$5:$B$74,,-1,1),IF($B$1='Misc ref'!$B$4,IF(D18="No",$K$44+($K$45*G18),$K$46+($K$47*G18)),IF($B$1='Misc ref'!$B$3,$K$50+($K$51*G18),"n/a")))</f>
        <v>6.2445770469577218</v>
      </c>
      <c r="L18" s="4">
        <f>K18*(PI()^3)*(E18^4)/(0.128*H18*('String Lengths'!E17^2)*$L$48)</f>
        <v>1.2270436834750733</v>
      </c>
      <c r="M18" s="4">
        <f>0.008*('String Lengths'!E17^2)*C18*SQRT('Misc ref'!$B$9*F18/(K18*1000000000))/(PI()*E18)</f>
        <v>12.870504436946796</v>
      </c>
      <c r="N18" s="4">
        <f t="shared" si="0"/>
        <v>12.713054440301754</v>
      </c>
      <c r="O18" s="4">
        <f t="shared" si="2"/>
        <v>3.1388667800796521</v>
      </c>
      <c r="Y18" s="26">
        <f>IF(Graphs!$B$4="Yes",E18,$Y$48)</f>
        <v>-100</v>
      </c>
      <c r="Z18" s="4">
        <f>IF(Graphs!$B$4="Yes",F18,$Y$48)</f>
        <v>-100</v>
      </c>
      <c r="AA18" s="4">
        <f>IF(Graphs!$B$4="Yes",H18,$Y$48)</f>
        <v>-100</v>
      </c>
      <c r="AB18" s="4">
        <f>IF(Graphs!$B$4="Yes",I18,$Y$48)</f>
        <v>-100</v>
      </c>
      <c r="AC18" s="4">
        <f>IF(Graphs!$B$4="Yes",J18,$Y$48)</f>
        <v>-100</v>
      </c>
      <c r="AD18" s="4">
        <f>IF(Graphs!$B$4="Yes",K18,$Y$48)</f>
        <v>-100</v>
      </c>
      <c r="AE18" s="4">
        <f>IF(Graphs!$B$4="Yes",L18,$Y$48)</f>
        <v>-100</v>
      </c>
      <c r="AF18" s="4">
        <f>IF(Graphs!$B$4="Yes",M18,$Y$48)</f>
        <v>-100</v>
      </c>
      <c r="AG18" s="4">
        <f>IF(Graphs!$B$4="Yes",N18,$Y$48)</f>
        <v>-100</v>
      </c>
      <c r="AH18" s="27">
        <f>IF(Graphs!$B$4="Yes",O18,$Y$48)</f>
        <v>-100</v>
      </c>
    </row>
    <row r="19" spans="1:34" x14ac:dyDescent="0.25">
      <c r="A19" s="3">
        <v>12</v>
      </c>
      <c r="B19" s="3" t="s">
        <v>39</v>
      </c>
      <c r="C19" s="3">
        <v>880</v>
      </c>
      <c r="D19" s="3" t="str">
        <f>IF(AND($B$1='Misc ref'!$B$4,E19&gt;=Fluorocarbon!$E$127),"Yes","No")</f>
        <v>No</v>
      </c>
      <c r="E19" s="40">
        <v>0.85</v>
      </c>
      <c r="F19" s="3">
        <f>IF($B$1='Misc ref'!$B$5,$E$44,IF($B$1='Misc ref'!$B$4,$E$47,IF($B$1='Misc ref'!$B$3,IF(E19&lt;=$D$51,$E$51,IF(E19&gt;=$D$52,$E$52,$E$53)),"n/a")))</f>
        <v>1320</v>
      </c>
      <c r="G19" s="4">
        <f>((2*C19*'String Lengths'!E18)^2)*F19/1000000000000</f>
        <v>185.50621900799999</v>
      </c>
      <c r="H19" s="4">
        <f t="shared" si="1"/>
        <v>105.26553607880457</v>
      </c>
      <c r="I19" s="4">
        <f>PI()*(E19^2)*F19*'String Lengths'!E18*C19/2000000000</f>
        <v>0.28079795155464299</v>
      </c>
      <c r="J19" s="4">
        <f>4*H19/'String Lengths'!E18</f>
        <v>1.9768175789446869</v>
      </c>
      <c r="K19" s="4">
        <f>IF($B$1='Misc ref'!$B$5,_xlfn.XLOOKUP(E19,'Gut E est'!$A$5:$A$74,'Gut E est'!$B$5:$B$74,,-1,1),IF($B$1='Misc ref'!$B$4,IF(D19="No",$K$44+($K$45*G19),$K$46+($K$47*G19)),IF($B$1='Misc ref'!$B$3,$K$50+($K$51*G19),"n/a")))</f>
        <v>6.1689186455145038</v>
      </c>
      <c r="L19" s="4">
        <f>K19*(PI()^3)*(E19^4)/(0.128*H19*('String Lengths'!E18^2)*$L$48)</f>
        <v>1.2615769307341151</v>
      </c>
      <c r="M19" s="4">
        <f>0.008*('String Lengths'!E18^2)*C19*SQRT('Misc ref'!$B$9*F19/(K19*1000000000))/(PI()*E19)</f>
        <v>12.693129511265974</v>
      </c>
      <c r="N19" s="4">
        <f t="shared" si="0"/>
        <v>11.169953969914056</v>
      </c>
      <c r="O19" s="4">
        <f t="shared" si="2"/>
        <v>3.5005539529573011</v>
      </c>
      <c r="Y19" s="26">
        <f>IF(Graphs!$B$4="Yes",E19,$Y$48)</f>
        <v>-100</v>
      </c>
      <c r="Z19" s="4">
        <f>IF(Graphs!$B$4="Yes",F19,$Y$48)</f>
        <v>-100</v>
      </c>
      <c r="AA19" s="4">
        <f>IF(Graphs!$B$4="Yes",H19,$Y$48)</f>
        <v>-100</v>
      </c>
      <c r="AB19" s="4">
        <f>IF(Graphs!$B$4="Yes",I19,$Y$48)</f>
        <v>-100</v>
      </c>
      <c r="AC19" s="4">
        <f>IF(Graphs!$B$4="Yes",J19,$Y$48)</f>
        <v>-100</v>
      </c>
      <c r="AD19" s="4">
        <f>IF(Graphs!$B$4="Yes",K19,$Y$48)</f>
        <v>-100</v>
      </c>
      <c r="AE19" s="4">
        <f>IF(Graphs!$B$4="Yes",L19,$Y$48)</f>
        <v>-100</v>
      </c>
      <c r="AF19" s="4">
        <f>IF(Graphs!$B$4="Yes",M19,$Y$48)</f>
        <v>-100</v>
      </c>
      <c r="AG19" s="4">
        <f>IF(Graphs!$B$4="Yes",N19,$Y$48)</f>
        <v>-100</v>
      </c>
      <c r="AH19" s="27">
        <f>IF(Graphs!$B$4="Yes",O19,$Y$48)</f>
        <v>-100</v>
      </c>
    </row>
    <row r="20" spans="1:34" x14ac:dyDescent="0.25">
      <c r="A20" s="3">
        <v>13</v>
      </c>
      <c r="B20" s="3" t="s">
        <v>40</v>
      </c>
      <c r="C20" s="3">
        <v>783.99087196349853</v>
      </c>
      <c r="D20" s="3" t="str">
        <f>IF(AND($B$1='Misc ref'!$B$4,E20&gt;=Fluorocarbon!$E$127),"Yes","No")</f>
        <v>No</v>
      </c>
      <c r="E20" s="40">
        <v>0.88</v>
      </c>
      <c r="F20" s="3">
        <f>IF($B$1='Misc ref'!$B$5,$E$44,IF($B$1='Misc ref'!$B$4,$E$47,IF($B$1='Misc ref'!$B$3,IF(E20&lt;=$D$51,$E$51,IF(E20&gt;=$D$52,$E$52,$E$53)),"n/a")))</f>
        <v>1320</v>
      </c>
      <c r="G20" s="4">
        <f>((2*C20*'String Lengths'!E19)^2)*F20/1000000000000</f>
        <v>173.17288600758363</v>
      </c>
      <c r="H20" s="4">
        <f t="shared" si="1"/>
        <v>105.32588583098632</v>
      </c>
      <c r="I20" s="4">
        <f>PI()*(E20^2)*F20*'String Lengths'!E19*C20/2000000000</f>
        <v>0.29079178854252286</v>
      </c>
      <c r="J20" s="4">
        <f>4*H20/'String Lengths'!E19</f>
        <v>1.823824862874222</v>
      </c>
      <c r="K20" s="4">
        <f>IF($B$1='Misc ref'!$B$5,_xlfn.XLOOKUP(E20,'Gut E est'!$A$5:$A$74,'Gut E est'!$B$5:$B$74,,-1,1),IF($B$1='Misc ref'!$B$4,IF(D20="No",$K$44+($K$45*G20),$K$46+($K$47*G20)),IF($B$1='Misc ref'!$B$3,$K$50+($K$51*G20),"n/a")))</f>
        <v>6.1222549688387407</v>
      </c>
      <c r="L20" s="4">
        <f>K20*(PI()^3)*(E20^4)/(0.128*H20*('String Lengths'!E19^2)*$L$48)</f>
        <v>1.2222426302506295</v>
      </c>
      <c r="M20" s="4">
        <f>0.008*('String Lengths'!E19^2)*C20*SQRT('Misc ref'!$B$9*F20/(K20*1000000000))/(PI()*E20)</f>
        <v>12.895757775932697</v>
      </c>
      <c r="N20" s="4">
        <f t="shared" si="0"/>
        <v>10.110156383383542</v>
      </c>
      <c r="O20" s="4">
        <f t="shared" si="2"/>
        <v>3.7236310068070315</v>
      </c>
      <c r="Y20" s="26">
        <f>IF(Graphs!$B$4="Yes",E20,$Y$48)</f>
        <v>-100</v>
      </c>
      <c r="Z20" s="4">
        <f>IF(Graphs!$B$4="Yes",F20,$Y$48)</f>
        <v>-100</v>
      </c>
      <c r="AA20" s="4">
        <f>IF(Graphs!$B$4="Yes",H20,$Y$48)</f>
        <v>-100</v>
      </c>
      <c r="AB20" s="4">
        <f>IF(Graphs!$B$4="Yes",I20,$Y$48)</f>
        <v>-100</v>
      </c>
      <c r="AC20" s="4">
        <f>IF(Graphs!$B$4="Yes",J20,$Y$48)</f>
        <v>-100</v>
      </c>
      <c r="AD20" s="4">
        <f>IF(Graphs!$B$4="Yes",K20,$Y$48)</f>
        <v>-100</v>
      </c>
      <c r="AE20" s="4">
        <f>IF(Graphs!$B$4="Yes",L20,$Y$48)</f>
        <v>-100</v>
      </c>
      <c r="AF20" s="4">
        <f>IF(Graphs!$B$4="Yes",M20,$Y$48)</f>
        <v>-100</v>
      </c>
      <c r="AG20" s="4">
        <f>IF(Graphs!$B$4="Yes",N20,$Y$48)</f>
        <v>-100</v>
      </c>
      <c r="AH20" s="27">
        <f>IF(Graphs!$B$4="Yes",O20,$Y$48)</f>
        <v>-100</v>
      </c>
    </row>
    <row r="21" spans="1:34" x14ac:dyDescent="0.25">
      <c r="A21" s="2">
        <v>14</v>
      </c>
      <c r="B21" s="2" t="s">
        <v>41</v>
      </c>
      <c r="C21" s="2">
        <v>698.45646286600777</v>
      </c>
      <c r="D21" s="18" t="str">
        <f>IF(AND($B$1='Misc ref'!$B$4,E21&gt;=Fluorocarbon!$E$127),"Yes","No")</f>
        <v>No</v>
      </c>
      <c r="E21" s="41">
        <v>0.92</v>
      </c>
      <c r="F21" s="13">
        <f>IF($B$1='Misc ref'!$B$5,$E$44,IF($B$1='Misc ref'!$B$4,$E$47,IF($B$1='Misc ref'!$B$3,IF(E21&lt;=$D$51,$E$51,IF(E21&gt;=$D$52,$E$52,$E$53)),"n/a")))</f>
        <v>1320</v>
      </c>
      <c r="G21" s="15">
        <f>((2*C21*'String Lengths'!E20)^2)*F21/1000000000000</f>
        <v>160.98767207136734</v>
      </c>
      <c r="H21" s="15">
        <f t="shared" si="1"/>
        <v>107.01832675920207</v>
      </c>
      <c r="I21" s="15">
        <f>PI()*(E21^2)*F21*'String Lengths'!E20*C21/2000000000</f>
        <v>0.30644236956465098</v>
      </c>
      <c r="J21" s="15">
        <f>4*H21/'String Lengths'!E20</f>
        <v>1.7122932281472332</v>
      </c>
      <c r="K21" s="15">
        <f>IF($B$1='Misc ref'!$B$5,_xlfn.XLOOKUP(E21,'Gut E est'!$A$5:$A$74,'Gut E est'!$B$5:$B$74,,-1,1),IF($B$1='Misc ref'!$B$4,IF(D21="No",$K$44+($K$45*G21),$K$46+($K$47*G21)),IF($B$1='Misc ref'!$B$3,$K$50+($K$51*G21),"n/a")))</f>
        <v>6.0586761016560011</v>
      </c>
      <c r="L21" s="15">
        <f>K21*(PI()^3)*(E21^4)/(0.128*H21*('String Lengths'!E20^2)*$L$48)</f>
        <v>1.2141302444815587</v>
      </c>
      <c r="M21" s="15">
        <f>0.008*('String Lengths'!E20^2)*C21*SQRT('Misc ref'!$B$9*F21/(K21*1000000000))/(PI()*E21)</f>
        <v>12.938768479717067</v>
      </c>
      <c r="N21" s="15">
        <f t="shared" si="0"/>
        <v>9.0371664661853757</v>
      </c>
      <c r="O21" s="15">
        <f t="shared" si="2"/>
        <v>4.0275716173332414</v>
      </c>
      <c r="Y21" s="26">
        <f>IF(Graphs!$B$4="Yes",E21,$Y$48)</f>
        <v>-100</v>
      </c>
      <c r="Z21" s="4">
        <f>IF(Graphs!$B$4="Yes",F21,$Y$48)</f>
        <v>-100</v>
      </c>
      <c r="AA21" s="4">
        <f>IF(Graphs!$B$4="Yes",H21,$Y$48)</f>
        <v>-100</v>
      </c>
      <c r="AB21" s="4">
        <f>IF(Graphs!$B$4="Yes",I21,$Y$48)</f>
        <v>-100</v>
      </c>
      <c r="AC21" s="4">
        <f>IF(Graphs!$B$4="Yes",J21,$Y$48)</f>
        <v>-100</v>
      </c>
      <c r="AD21" s="4">
        <f>IF(Graphs!$B$4="Yes",K21,$Y$48)</f>
        <v>-100</v>
      </c>
      <c r="AE21" s="4">
        <f>IF(Graphs!$B$4="Yes",L21,$Y$48)</f>
        <v>-100</v>
      </c>
      <c r="AF21" s="4">
        <f>IF(Graphs!$B$4="Yes",M21,$Y$48)</f>
        <v>-100</v>
      </c>
      <c r="AG21" s="4">
        <f>IF(Graphs!$B$4="Yes",N21,$Y$48)</f>
        <v>-100</v>
      </c>
      <c r="AH21" s="27">
        <f>IF(Graphs!$B$4="Yes",O21,$Y$48)</f>
        <v>-100</v>
      </c>
    </row>
    <row r="22" spans="1:34" x14ac:dyDescent="0.25">
      <c r="A22" s="3">
        <v>15</v>
      </c>
      <c r="B22" s="3" t="s">
        <v>42</v>
      </c>
      <c r="C22" s="3">
        <v>659.25511382573984</v>
      </c>
      <c r="D22" s="3" t="str">
        <f>IF(AND($B$1='Misc ref'!$B$4,E22&gt;=Fluorocarbon!$E$127),"Yes","No")</f>
        <v>No</v>
      </c>
      <c r="E22" s="40">
        <v>0.95</v>
      </c>
      <c r="F22" s="3">
        <f>IF($B$1='Misc ref'!$B$5,$E$44,IF($B$1='Misc ref'!$B$4,$E$47,IF($B$1='Misc ref'!$B$3,IF(E22&lt;=$D$51,$E$51,IF(E22&gt;=$D$52,$E$52,$E$53)),"n/a")))</f>
        <v>1320</v>
      </c>
      <c r="G22" s="4">
        <f>((2*C22*'String Lengths'!E21)^2)*F22/1000000000000</f>
        <v>169.77695698084239</v>
      </c>
      <c r="H22" s="4">
        <f t="shared" si="1"/>
        <v>120.34161545546498</v>
      </c>
      <c r="I22" s="4">
        <f>PI()*(E22^2)*F22*'String Lengths'!E21*C22/2000000000</f>
        <v>0.33555478029988139</v>
      </c>
      <c r="J22" s="4">
        <f>4*H22/'String Lengths'!E21</f>
        <v>1.7697296390509556</v>
      </c>
      <c r="K22" s="4">
        <f>IF($B$1='Misc ref'!$B$5,_xlfn.XLOOKUP(E22,'Gut E est'!$A$5:$A$74,'Gut E est'!$B$5:$B$74,,-1,1),IF($B$1='Misc ref'!$B$4,IF(D22="No",$K$44+($K$45*G22),$K$46+($K$47*G22)),IF($B$1='Misc ref'!$B$3,$K$50+($K$51*G22),"n/a")))</f>
        <v>6.0100455160736628</v>
      </c>
      <c r="L22" s="4">
        <f>K22*(PI()^3)*(E22^4)/(0.128*H22*('String Lengths'!E21^2)*$L$48)</f>
        <v>1.0287099572072975</v>
      </c>
      <c r="M22" s="4">
        <f>0.008*('String Lengths'!E21^2)*C22*SQRT('Misc ref'!$B$9*F22/(K22*1000000000))/(PI()*E22)</f>
        <v>14.056561885234176</v>
      </c>
      <c r="N22" s="4">
        <f t="shared" si="0"/>
        <v>9.2668603056486134</v>
      </c>
      <c r="O22" s="4">
        <f t="shared" si="2"/>
        <v>4.2600515360090396</v>
      </c>
      <c r="Y22" s="26">
        <f>IF(Graphs!$B$4="Yes",E22,$Y$48)</f>
        <v>-100</v>
      </c>
      <c r="Z22" s="4">
        <f>IF(Graphs!$B$4="Yes",F22,$Y$48)</f>
        <v>-100</v>
      </c>
      <c r="AA22" s="4">
        <f>IF(Graphs!$B$4="Yes",H22,$Y$48)</f>
        <v>-100</v>
      </c>
      <c r="AB22" s="4">
        <f>IF(Graphs!$B$4="Yes",I22,$Y$48)</f>
        <v>-100</v>
      </c>
      <c r="AC22" s="4">
        <f>IF(Graphs!$B$4="Yes",J22,$Y$48)</f>
        <v>-100</v>
      </c>
      <c r="AD22" s="4">
        <f>IF(Graphs!$B$4="Yes",K22,$Y$48)</f>
        <v>-100</v>
      </c>
      <c r="AE22" s="4">
        <f>IF(Graphs!$B$4="Yes",L22,$Y$48)</f>
        <v>-100</v>
      </c>
      <c r="AF22" s="4">
        <f>IF(Graphs!$B$4="Yes",M22,$Y$48)</f>
        <v>-100</v>
      </c>
      <c r="AG22" s="4">
        <f>IF(Graphs!$B$4="Yes",N22,$Y$48)</f>
        <v>-100</v>
      </c>
      <c r="AH22" s="27">
        <f>IF(Graphs!$B$4="Yes",O22,$Y$48)</f>
        <v>-100</v>
      </c>
    </row>
    <row r="23" spans="1:34" x14ac:dyDescent="0.25">
      <c r="A23" s="3">
        <v>16</v>
      </c>
      <c r="B23" s="3" t="s">
        <v>43</v>
      </c>
      <c r="C23" s="3">
        <v>587.32953583481515</v>
      </c>
      <c r="D23" s="3" t="str">
        <f>IF(AND($B$1='Misc ref'!$B$4,E23&gt;=Fluorocarbon!$E$127),"Yes","No")</f>
        <v>No</v>
      </c>
      <c r="E23" s="40">
        <v>1</v>
      </c>
      <c r="F23" s="3">
        <f>IF($B$1='Misc ref'!$B$5,$E$44,IF($B$1='Misc ref'!$B$4,$E$47,IF($B$1='Misc ref'!$B$3,IF(E23&lt;=$D$51,$E$51,IF(E23&gt;=$D$52,$E$52,$E$53)),"n/a")))</f>
        <v>1320</v>
      </c>
      <c r="G23" s="4">
        <f>((2*C23*'String Lengths'!E22)^2)*F23/1000000000000</f>
        <v>156.36258655546604</v>
      </c>
      <c r="H23" s="4">
        <f t="shared" si="1"/>
        <v>122.80688830473757</v>
      </c>
      <c r="I23" s="4">
        <f>PI()*(E23^2)*F23*'String Lengths'!E22*C23/2000000000</f>
        <v>0.35681513697679257</v>
      </c>
      <c r="J23" s="4">
        <f>4*H23/'String Lengths'!E22</f>
        <v>1.6765445502353251</v>
      </c>
      <c r="K23" s="4">
        <f>IF($B$1='Misc ref'!$B$5,_xlfn.XLOOKUP(E23,'Gut E est'!$A$5:$A$74,'Gut E est'!$B$5:$B$74,,-1,1),IF($B$1='Misc ref'!$B$4,IF(D23="No",$K$44+($K$45*G23),$K$46+($K$47*G23)),IF($B$1='Misc ref'!$B$3,$K$50+($K$51*G23),"n/a")))</f>
        <v>5.9273589894770797</v>
      </c>
      <c r="L23" s="4">
        <f>K23*(PI()^3)*(E23^4)/(0.128*H23*('String Lengths'!E22^2)*$L$48)</f>
        <v>1.0519077855509344</v>
      </c>
      <c r="M23" s="4">
        <f>0.008*('String Lengths'!E22^2)*C23*SQRT('Misc ref'!$B$9*F23/(K23*1000000000))/(PI()*E23)</f>
        <v>13.900702411036368</v>
      </c>
      <c r="N23" s="4">
        <f t="shared" si="0"/>
        <v>8.1642930948518853</v>
      </c>
      <c r="O23" s="4">
        <f t="shared" si="2"/>
        <v>4.6553368641326536</v>
      </c>
      <c r="Y23" s="26">
        <f>IF(Graphs!$B$4="Yes",E23,$Y$48)</f>
        <v>-100</v>
      </c>
      <c r="Z23" s="4">
        <f>IF(Graphs!$B$4="Yes",F23,$Y$48)</f>
        <v>-100</v>
      </c>
      <c r="AA23" s="4">
        <f>IF(Graphs!$B$4="Yes",H23,$Y$48)</f>
        <v>-100</v>
      </c>
      <c r="AB23" s="4">
        <f>IF(Graphs!$B$4="Yes",I23,$Y$48)</f>
        <v>-100</v>
      </c>
      <c r="AC23" s="4">
        <f>IF(Graphs!$B$4="Yes",J23,$Y$48)</f>
        <v>-100</v>
      </c>
      <c r="AD23" s="4">
        <f>IF(Graphs!$B$4="Yes",K23,$Y$48)</f>
        <v>-100</v>
      </c>
      <c r="AE23" s="4">
        <f>IF(Graphs!$B$4="Yes",L23,$Y$48)</f>
        <v>-100</v>
      </c>
      <c r="AF23" s="4">
        <f>IF(Graphs!$B$4="Yes",M23,$Y$48)</f>
        <v>-100</v>
      </c>
      <c r="AG23" s="4">
        <f>IF(Graphs!$B$4="Yes",N23,$Y$48)</f>
        <v>-100</v>
      </c>
      <c r="AH23" s="27">
        <f>IF(Graphs!$B$4="Yes",O23,$Y$48)</f>
        <v>-100</v>
      </c>
    </row>
    <row r="24" spans="1:34" x14ac:dyDescent="0.25">
      <c r="A24" s="3">
        <v>17</v>
      </c>
      <c r="B24" s="3" t="s">
        <v>44</v>
      </c>
      <c r="C24" s="3">
        <v>523.25113060119736</v>
      </c>
      <c r="D24" s="3" t="str">
        <f>IF(AND($B$1='Misc ref'!$B$4,E24&gt;=Fluorocarbon!$E$127),"Yes","No")</f>
        <v>No</v>
      </c>
      <c r="E24" s="40">
        <v>1.05</v>
      </c>
      <c r="F24" s="3">
        <f>IF($B$1='Misc ref'!$B$5,$E$44,IF($B$1='Misc ref'!$B$4,$E$47,IF($B$1='Misc ref'!$B$3,IF(E24&lt;=$D$51,$E$51,IF(E24&gt;=$D$52,$E$52,$E$53)),"n/a")))</f>
        <v>1320</v>
      </c>
      <c r="G24" s="4">
        <f>((2*C24*'String Lengths'!E23)^2)*F24/1000000000000</f>
        <v>143.44168589332384</v>
      </c>
      <c r="H24" s="4">
        <f t="shared" si="1"/>
        <v>124.20636741241336</v>
      </c>
      <c r="I24" s="4">
        <f>PI()*(E24^2)*F24*'String Lengths'!E23*C24/2000000000</f>
        <v>0.37678459274453169</v>
      </c>
      <c r="J24" s="4">
        <f>4*H24/'String Lengths'!E23</f>
        <v>1.577223713173503</v>
      </c>
      <c r="K24" s="4">
        <f>IF($B$1='Misc ref'!$B$5,_xlfn.XLOOKUP(E24,'Gut E est'!$A$5:$A$74,'Gut E est'!$B$5:$B$74,,-1,1),IF($B$1='Misc ref'!$B$4,IF(D24="No",$K$44+($K$45*G24),$K$46+($K$47*G24)),IF($B$1='Misc ref'!$B$3,$K$50+($K$51*G24),"n/a")))</f>
        <v>5.8428503709650883</v>
      </c>
      <c r="L24" s="4">
        <f>K24*(PI()^3)*(E24^4)/(0.128*H24*('String Lengths'!E23^2)*$L$48)</f>
        <v>1.0781803175636229</v>
      </c>
      <c r="M24" s="4">
        <f>0.008*('String Lengths'!E23^2)*C24*SQRT('Misc ref'!$B$9*F24/(K24*1000000000))/(PI()*E24)</f>
        <v>13.730295401954411</v>
      </c>
      <c r="N24" s="4">
        <f t="shared" si="0"/>
        <v>7.1843925925610677</v>
      </c>
      <c r="O24" s="4">
        <f t="shared" si="2"/>
        <v>5.0593327552741929</v>
      </c>
      <c r="Y24" s="26">
        <f>IF(Graphs!$B$4="Yes",E24,$Y$48)</f>
        <v>-100</v>
      </c>
      <c r="Z24" s="4">
        <f>IF(Graphs!$B$4="Yes",F24,$Y$48)</f>
        <v>-100</v>
      </c>
      <c r="AA24" s="4">
        <f>IF(Graphs!$B$4="Yes",H24,$Y$48)</f>
        <v>-100</v>
      </c>
      <c r="AB24" s="4">
        <f>IF(Graphs!$B$4="Yes",I24,$Y$48)</f>
        <v>-100</v>
      </c>
      <c r="AC24" s="4">
        <f>IF(Graphs!$B$4="Yes",J24,$Y$48)</f>
        <v>-100</v>
      </c>
      <c r="AD24" s="4">
        <f>IF(Graphs!$B$4="Yes",K24,$Y$48)</f>
        <v>-100</v>
      </c>
      <c r="AE24" s="4">
        <f>IF(Graphs!$B$4="Yes",L24,$Y$48)</f>
        <v>-100</v>
      </c>
      <c r="AF24" s="4">
        <f>IF(Graphs!$B$4="Yes",M24,$Y$48)</f>
        <v>-100</v>
      </c>
      <c r="AG24" s="4">
        <f>IF(Graphs!$B$4="Yes",N24,$Y$48)</f>
        <v>-100</v>
      </c>
      <c r="AH24" s="27">
        <f>IF(Graphs!$B$4="Yes",O24,$Y$48)</f>
        <v>-100</v>
      </c>
    </row>
    <row r="25" spans="1:34" x14ac:dyDescent="0.25">
      <c r="A25" s="3">
        <v>18</v>
      </c>
      <c r="B25" s="3" t="s">
        <v>45</v>
      </c>
      <c r="C25" s="3">
        <v>493.88330125612413</v>
      </c>
      <c r="D25" s="3" t="str">
        <f>IF(AND($B$1='Misc ref'!$B$4,E25&gt;=Fluorocarbon!$E$127),"Yes","No")</f>
        <v>No</v>
      </c>
      <c r="E25" s="40">
        <v>1.1000000000000001</v>
      </c>
      <c r="F25" s="3">
        <f>IF($B$1='Misc ref'!$B$5,$E$44,IF($B$1='Misc ref'!$B$4,$E$47,IF($B$1='Misc ref'!$B$3,IF(E25&lt;=$D$51,$E$51,IF(E25&gt;=$D$52,$E$52,$E$53)),"n/a")))</f>
        <v>1320</v>
      </c>
      <c r="G25" s="4">
        <f>((2*C25*'String Lengths'!E24)^2)*F25/1000000000000</f>
        <v>149.7584599690453</v>
      </c>
      <c r="H25" s="4">
        <f t="shared" si="1"/>
        <v>142.32022348963136</v>
      </c>
      <c r="I25" s="4">
        <f>PI()*(E25^2)*F25*'String Lengths'!E24*C25/2000000000</f>
        <v>0.42253034081697943</v>
      </c>
      <c r="J25" s="4">
        <f>4*H25/'String Lengths'!E24</f>
        <v>1.6694454368285203</v>
      </c>
      <c r="K25" s="4">
        <f>IF($B$1='Misc ref'!$B$5,_xlfn.XLOOKUP(E25,'Gut E est'!$A$5:$A$74,'Gut E est'!$B$5:$B$74,,-1,1),IF($B$1='Misc ref'!$B$4,IF(D25="No",$K$44+($K$45*G25),$K$46+($K$47*G25)),IF($B$1='Misc ref'!$B$3,$K$50+($K$51*G25),"n/a")))</f>
        <v>5.9606258830169283</v>
      </c>
      <c r="L25" s="4">
        <f>K25*(PI()^3)*(E25^4)/(0.128*H25*('String Lengths'!E24^2)*$L$48)</f>
        <v>0.98664662898537792</v>
      </c>
      <c r="M25" s="4">
        <f>0.008*('String Lengths'!E24^2)*C25*SQRT('Misc ref'!$B$9*F25/(K25*1000000000))/(PI()*E25)</f>
        <v>14.353068665129094</v>
      </c>
      <c r="N25" s="4">
        <f t="shared" si="0"/>
        <v>7.0887409354897875</v>
      </c>
      <c r="O25" s="4">
        <f t="shared" si="2"/>
        <v>5.6645721916771548</v>
      </c>
      <c r="Y25" s="26">
        <f>IF(Graphs!$B$4="Yes",E25,$Y$48)</f>
        <v>-100</v>
      </c>
      <c r="Z25" s="4">
        <f>IF(Graphs!$B$4="Yes",F25,$Y$48)</f>
        <v>-100</v>
      </c>
      <c r="AA25" s="4">
        <f>IF(Graphs!$B$4="Yes",H25,$Y$48)</f>
        <v>-100</v>
      </c>
      <c r="AB25" s="4">
        <f>IF(Graphs!$B$4="Yes",I25,$Y$48)</f>
        <v>-100</v>
      </c>
      <c r="AC25" s="4">
        <f>IF(Graphs!$B$4="Yes",J25,$Y$48)</f>
        <v>-100</v>
      </c>
      <c r="AD25" s="4">
        <f>IF(Graphs!$B$4="Yes",K25,$Y$48)</f>
        <v>-100</v>
      </c>
      <c r="AE25" s="4">
        <f>IF(Graphs!$B$4="Yes",L25,$Y$48)</f>
        <v>-100</v>
      </c>
      <c r="AF25" s="4">
        <f>IF(Graphs!$B$4="Yes",M25,$Y$48)</f>
        <v>-100</v>
      </c>
      <c r="AG25" s="4">
        <f>IF(Graphs!$B$4="Yes",N25,$Y$48)</f>
        <v>-100</v>
      </c>
      <c r="AH25" s="27">
        <f>IF(Graphs!$B$4="Yes",O25,$Y$48)</f>
        <v>-100</v>
      </c>
    </row>
    <row r="26" spans="1:34" x14ac:dyDescent="0.25">
      <c r="A26" s="3">
        <v>19</v>
      </c>
      <c r="B26" s="3" t="s">
        <v>46</v>
      </c>
      <c r="C26" s="3">
        <v>440</v>
      </c>
      <c r="D26" s="3" t="str">
        <f>IF(AND($B$1='Misc ref'!$B$4,E26&gt;=Fluorocarbon!$E$127),"Yes","No")</f>
        <v>No</v>
      </c>
      <c r="E26" s="40">
        <v>1.1499999999999999</v>
      </c>
      <c r="F26" s="3">
        <f>IF($B$1='Misc ref'!$B$5,$E$44,IF($B$1='Misc ref'!$B$4,$E$47,IF($B$1='Misc ref'!$B$3,IF(E26&lt;=$D$51,$E$51,IF(E26&gt;=$D$52,$E$52,$E$53)),"n/a")))</f>
        <v>1320</v>
      </c>
      <c r="G26" s="4">
        <f>((2*C26*'String Lengths'!E25)^2)*F26/1000000000000</f>
        <v>137.68017331199999</v>
      </c>
      <c r="H26" s="4">
        <f t="shared" si="1"/>
        <v>143.00689132538176</v>
      </c>
      <c r="I26" s="4">
        <f>PI()*(E26^2)*F26*'String Lengths'!E25*C26/2000000000</f>
        <v>0.44280062956831112</v>
      </c>
      <c r="J26" s="4">
        <f>4*H26/'String Lengths'!E25</f>
        <v>1.5586582160804552</v>
      </c>
      <c r="K26" s="4">
        <f>IF($B$1='Misc ref'!$B$5,_xlfn.XLOOKUP(E26,'Gut E est'!$A$5:$A$74,'Gut E est'!$B$5:$B$74,,-1,1),IF($B$1='Misc ref'!$B$4,IF(D26="No",$K$44+($K$45*G26),$K$46+($K$47*G26)),IF($B$1='Misc ref'!$B$3,$K$50+($K$51*G26),"n/a")))</f>
        <v>5.8860415931918402</v>
      </c>
      <c r="L26" s="4">
        <f>K26*(PI()^3)*(E26^4)/(0.128*H26*('String Lengths'!E25^2)*$L$48)</f>
        <v>1</v>
      </c>
      <c r="M26" s="4">
        <f>0.008*('String Lengths'!E25^2)*C26*SQRT('Misc ref'!$B$9*F26/(K26*1000000000))/(PI()*E26)</f>
        <v>14.256915669134713</v>
      </c>
      <c r="N26" s="4">
        <f t="shared" si="0"/>
        <v>6.273042894419274</v>
      </c>
      <c r="O26" s="4">
        <f t="shared" si="2"/>
        <v>6.1137670748479316</v>
      </c>
      <c r="Y26" s="26">
        <f>IF(Graphs!$B$4="Yes",E26,$Y$48)</f>
        <v>-100</v>
      </c>
      <c r="Z26" s="4">
        <f>IF(Graphs!$B$4="Yes",F26,$Y$48)</f>
        <v>-100</v>
      </c>
      <c r="AA26" s="4">
        <f>IF(Graphs!$B$4="Yes",H26,$Y$48)</f>
        <v>-100</v>
      </c>
      <c r="AB26" s="4">
        <f>IF(Graphs!$B$4="Yes",I26,$Y$48)</f>
        <v>-100</v>
      </c>
      <c r="AC26" s="4">
        <f>IF(Graphs!$B$4="Yes",J26,$Y$48)</f>
        <v>-100</v>
      </c>
      <c r="AD26" s="4">
        <f>IF(Graphs!$B$4="Yes",K26,$Y$48)</f>
        <v>-100</v>
      </c>
      <c r="AE26" s="4">
        <f>IF(Graphs!$B$4="Yes",L26,$Y$48)</f>
        <v>-100</v>
      </c>
      <c r="AF26" s="4">
        <f>IF(Graphs!$B$4="Yes",M26,$Y$48)</f>
        <v>-100</v>
      </c>
      <c r="AG26" s="4">
        <f>IF(Graphs!$B$4="Yes",N26,$Y$48)</f>
        <v>-100</v>
      </c>
      <c r="AH26" s="27">
        <f>IF(Graphs!$B$4="Yes",O26,$Y$48)</f>
        <v>-100</v>
      </c>
    </row>
    <row r="27" spans="1:34" x14ac:dyDescent="0.25">
      <c r="A27" s="3">
        <v>20</v>
      </c>
      <c r="B27" s="3" t="s">
        <v>47</v>
      </c>
      <c r="C27" s="3">
        <v>391.99543598174927</v>
      </c>
      <c r="D27" s="3" t="str">
        <f>IF(AND($B$1='Misc ref'!$B$4,E27&gt;=Fluorocarbon!$E$127),"Yes","No")</f>
        <v>No</v>
      </c>
      <c r="E27" s="40">
        <v>1.2</v>
      </c>
      <c r="F27" s="3">
        <f>IF($B$1='Misc ref'!$B$5,$E$44,IF($B$1='Misc ref'!$B$4,$E$47,IF($B$1='Misc ref'!$B$3,IF(E27&lt;=$D$51,$E$51,IF(E27&gt;=$D$52,$E$52,$E$53)),"n/a")))</f>
        <v>1320</v>
      </c>
      <c r="G27" s="4">
        <f>((2*C27*'String Lengths'!E26)^2)*F27/1000000000000</f>
        <v>127.87244144023371</v>
      </c>
      <c r="H27" s="4">
        <f t="shared" si="1"/>
        <v>144.62032414508255</v>
      </c>
      <c r="I27" s="4">
        <f>PI()*(E27^2)*F27*'String Lengths'!E26*C27/2000000000</f>
        <v>0.464652007290631</v>
      </c>
      <c r="J27" s="4">
        <f>4*H27/'String Lengths'!E26</f>
        <v>1.4571317294214867</v>
      </c>
      <c r="K27" s="4">
        <f>IF($B$1='Misc ref'!$B$5,_xlfn.XLOOKUP(E27,'Gut E est'!$A$5:$A$74,'Gut E est'!$B$5:$B$74,,-1,1),IF($B$1='Misc ref'!$B$4,IF(D27="No",$K$44+($K$45*G27),$K$46+($K$47*G27)),IF($B$1='Misc ref'!$B$3,$K$50+($K$51*G27),"n/a")))</f>
        <v>5.8101095372821252</v>
      </c>
      <c r="L27" s="4">
        <f>K27*(PI()^3)*(E27^4)/(0.128*H27*('String Lengths'!E26^2)*$L$48)</f>
        <v>0.98894779555337753</v>
      </c>
      <c r="M27" s="4">
        <f>0.008*('String Lengths'!E26^2)*C27*SQRT('Misc ref'!$B$9*F27/(K27*1000000000))/(PI()*E27)</f>
        <v>14.336359978461795</v>
      </c>
      <c r="N27" s="4">
        <f t="shared" si="0"/>
        <v>5.6197876801484323</v>
      </c>
      <c r="O27" s="4">
        <f t="shared" si="2"/>
        <v>6.5710790779959058</v>
      </c>
      <c r="Y27" s="26">
        <f>IF(Graphs!$B$4="Yes",E27,$Y$48)</f>
        <v>-100</v>
      </c>
      <c r="Z27" s="4">
        <f>IF(Graphs!$B$4="Yes",F27,$Y$48)</f>
        <v>-100</v>
      </c>
      <c r="AA27" s="4">
        <f>IF(Graphs!$B$4="Yes",H27,$Y$48)</f>
        <v>-100</v>
      </c>
      <c r="AB27" s="4">
        <f>IF(Graphs!$B$4="Yes",I27,$Y$48)</f>
        <v>-100</v>
      </c>
      <c r="AC27" s="4">
        <f>IF(Graphs!$B$4="Yes",J27,$Y$48)</f>
        <v>-100</v>
      </c>
      <c r="AD27" s="4">
        <f>IF(Graphs!$B$4="Yes",K27,$Y$48)</f>
        <v>-100</v>
      </c>
      <c r="AE27" s="4">
        <f>IF(Graphs!$B$4="Yes",L27,$Y$48)</f>
        <v>-100</v>
      </c>
      <c r="AF27" s="4">
        <f>IF(Graphs!$B$4="Yes",M27,$Y$48)</f>
        <v>-100</v>
      </c>
      <c r="AG27" s="4">
        <f>IF(Graphs!$B$4="Yes",N27,$Y$48)</f>
        <v>-100</v>
      </c>
      <c r="AH27" s="27">
        <f>IF(Graphs!$B$4="Yes",O27,$Y$48)</f>
        <v>-100</v>
      </c>
    </row>
    <row r="28" spans="1:34" x14ac:dyDescent="0.25">
      <c r="A28" s="2">
        <v>21</v>
      </c>
      <c r="B28" s="2" t="s">
        <v>48</v>
      </c>
      <c r="C28" s="2">
        <v>349.22823143300388</v>
      </c>
      <c r="D28" s="18" t="str">
        <f>IF(AND($B$1='Misc ref'!$B$4,E28&gt;=Fluorocarbon!$E$127),"Yes","No")</f>
        <v>No</v>
      </c>
      <c r="E28" s="41">
        <v>1.25</v>
      </c>
      <c r="F28" s="13">
        <f>IF($B$1='Misc ref'!$B$5,$E$44,IF($B$1='Misc ref'!$B$4,$E$47,IF($B$1='Misc ref'!$B$3,IF(E28&lt;=$D$51,$E$51,IF(E28&gt;=$D$52,$E$52,$E$53)),"n/a")))</f>
        <v>1320</v>
      </c>
      <c r="G28" s="15">
        <f>((2*C28*'String Lengths'!E27)^2)*F28/1000000000000</f>
        <v>120.73367059595435</v>
      </c>
      <c r="H28" s="15">
        <f t="shared" si="1"/>
        <v>148.16250491608602</v>
      </c>
      <c r="I28" s="15">
        <f>PI()*(E28^2)*F28*'String Lengths'!E27*C28/2000000000</f>
        <v>0.48990410127264694</v>
      </c>
      <c r="J28" s="15">
        <f>4*H28/'String Lengths'!E27</f>
        <v>1.3687067428737738</v>
      </c>
      <c r="K28" s="15">
        <f>IF($B$1='Misc ref'!$B$5,_xlfn.XLOOKUP(E28,'Gut E est'!$A$5:$A$74,'Gut E est'!$B$5:$B$74,,-1,1),IF($B$1='Misc ref'!$B$4,IF(D28="No",$K$44+($K$45*G28),$K$46+($K$47*G28)),IF($B$1='Misc ref'!$B$3,$K$50+($K$51*G28),"n/a")))</f>
        <v>5.7967197240282875</v>
      </c>
      <c r="L28" s="15">
        <f>K28*(PI()^3)*(E28^4)/(0.128*H28*('String Lengths'!E27^2)*$L$48)</f>
        <v>0.95319697712840445</v>
      </c>
      <c r="M28" s="15">
        <f>0.008*('String Lengths'!E27^2)*C28*SQRT('Misc ref'!$B$9*F28/(K28*1000000000))/(PI()*E28)</f>
        <v>14.602736631011123</v>
      </c>
      <c r="N28" s="15">
        <f t="shared" si="0"/>
        <v>5.0996878877299556</v>
      </c>
      <c r="O28" s="15">
        <f t="shared" si="2"/>
        <v>7.1136453515337195</v>
      </c>
      <c r="Y28" s="26">
        <f>IF(Graphs!$B$4="Yes",E28,$Y$48)</f>
        <v>-100</v>
      </c>
      <c r="Z28" s="4">
        <f>IF(Graphs!$B$4="Yes",F28,$Y$48)</f>
        <v>-100</v>
      </c>
      <c r="AA28" s="4">
        <f>IF(Graphs!$B$4="Yes",H28,$Y$48)</f>
        <v>-100</v>
      </c>
      <c r="AB28" s="4">
        <f>IF(Graphs!$B$4="Yes",I28,$Y$48)</f>
        <v>-100</v>
      </c>
      <c r="AC28" s="4">
        <f>IF(Graphs!$B$4="Yes",J28,$Y$48)</f>
        <v>-100</v>
      </c>
      <c r="AD28" s="4">
        <f>IF(Graphs!$B$4="Yes",K28,$Y$48)</f>
        <v>-100</v>
      </c>
      <c r="AE28" s="4">
        <f>IF(Graphs!$B$4="Yes",L28,$Y$48)</f>
        <v>-100</v>
      </c>
      <c r="AF28" s="4">
        <f>IF(Graphs!$B$4="Yes",M28,$Y$48)</f>
        <v>-100</v>
      </c>
      <c r="AG28" s="4">
        <f>IF(Graphs!$B$4="Yes",N28,$Y$48)</f>
        <v>-100</v>
      </c>
      <c r="AH28" s="27">
        <f>IF(Graphs!$B$4="Yes",O28,$Y$48)</f>
        <v>-100</v>
      </c>
    </row>
    <row r="29" spans="1:34" x14ac:dyDescent="0.25">
      <c r="A29" s="3">
        <v>22</v>
      </c>
      <c r="B29" s="3" t="s">
        <v>49</v>
      </c>
      <c r="C29" s="3">
        <v>329.62755691286992</v>
      </c>
      <c r="D29" s="3" t="str">
        <f>IF(AND($B$1='Misc ref'!$B$4,E29&gt;=Fluorocarbon!$E$127),"Yes","No")</f>
        <v>No</v>
      </c>
      <c r="E29" s="40">
        <v>1.3</v>
      </c>
      <c r="F29" s="3">
        <f>IF($B$1='Misc ref'!$B$5,$E$44,IF($B$1='Misc ref'!$B$4,$E$47,IF($B$1='Misc ref'!$B$3,IF(E29&lt;=$D$51,$E$51,IF(E29&gt;=$D$52,$E$52,$E$53)),"n/a")))</f>
        <v>1320</v>
      </c>
      <c r="G29" s="4">
        <f>((2*C29*'String Lengths'!E28)^2)*F29/1000000000000</f>
        <v>125.65293923609163</v>
      </c>
      <c r="H29" s="4">
        <f t="shared" si="1"/>
        <v>166.78202321556464</v>
      </c>
      <c r="I29" s="4">
        <f>PI()*(E29^2)*F29*'String Lengths'!E28*C29/2000000000</f>
        <v>0.54056743285559339</v>
      </c>
      <c r="J29" s="4">
        <f>4*H29/'String Lengths'!E28</f>
        <v>1.4254873779108088</v>
      </c>
      <c r="K29" s="4">
        <f>IF($B$1='Misc ref'!$B$5,_xlfn.XLOOKUP(E29,'Gut E est'!$A$5:$A$74,'Gut E est'!$B$5:$B$74,,-1,1),IF($B$1='Misc ref'!$B$4,IF(D29="No",$K$44+($K$45*G29),$K$46+($K$47*G29)),IF($B$1='Misc ref'!$B$3,$K$50+($K$51*G29),"n/a")))</f>
        <v>5.7219954899818388</v>
      </c>
      <c r="L29" s="4">
        <f>K29*(PI()^3)*(E29^4)/(0.128*H29*('String Lengths'!E28^2)*$L$48)</f>
        <v>0.8370557476320023</v>
      </c>
      <c r="M29" s="4">
        <f>0.008*('String Lengths'!E28^2)*C29*SQRT('Misc ref'!$B$9*F29/(K29*1000000000))/(PI()*E29)</f>
        <v>15.582903790016013</v>
      </c>
      <c r="N29" s="4">
        <f t="shared" si="0"/>
        <v>5.1365545059112803</v>
      </c>
      <c r="O29" s="4">
        <f t="shared" si="2"/>
        <v>7.5949356254723694</v>
      </c>
      <c r="Y29" s="26">
        <f>IF(Graphs!$B$4="Yes",E29,$Y$48)</f>
        <v>-100</v>
      </c>
      <c r="Z29" s="4">
        <f>IF(Graphs!$B$4="Yes",F29,$Y$48)</f>
        <v>-100</v>
      </c>
      <c r="AA29" s="4">
        <f>IF(Graphs!$B$4="Yes",H29,$Y$48)</f>
        <v>-100</v>
      </c>
      <c r="AB29" s="4">
        <f>IF(Graphs!$B$4="Yes",I29,$Y$48)</f>
        <v>-100</v>
      </c>
      <c r="AC29" s="4">
        <f>IF(Graphs!$B$4="Yes",J29,$Y$48)</f>
        <v>-100</v>
      </c>
      <c r="AD29" s="4">
        <f>IF(Graphs!$B$4="Yes",K29,$Y$48)</f>
        <v>-100</v>
      </c>
      <c r="AE29" s="4">
        <f>IF(Graphs!$B$4="Yes",L29,$Y$48)</f>
        <v>-100</v>
      </c>
      <c r="AF29" s="4">
        <f>IF(Graphs!$B$4="Yes",M29,$Y$48)</f>
        <v>-100</v>
      </c>
      <c r="AG29" s="4">
        <f>IF(Graphs!$B$4="Yes",N29,$Y$48)</f>
        <v>-100</v>
      </c>
      <c r="AH29" s="27">
        <f>IF(Graphs!$B$4="Yes",O29,$Y$48)</f>
        <v>-100</v>
      </c>
    </row>
    <row r="30" spans="1:34" x14ac:dyDescent="0.25">
      <c r="A30" s="3">
        <v>23</v>
      </c>
      <c r="B30" s="3" t="s">
        <v>50</v>
      </c>
      <c r="C30" s="3">
        <v>293.66476791740757</v>
      </c>
      <c r="D30" s="3" t="str">
        <f>IF(AND($B$1='Misc ref'!$B$4,E30&gt;=Fluorocarbon!$E$127),"Yes","No")</f>
        <v>No</v>
      </c>
      <c r="E30" s="40">
        <v>1.35</v>
      </c>
      <c r="F30" s="3">
        <f>IF($B$1='Misc ref'!$B$5,$E$44,IF($B$1='Misc ref'!$B$4,$E$47,IF($B$1='Misc ref'!$B$3,IF(E30&lt;=$D$51,$E$51,IF(E30&gt;=$D$52,$E$52,$E$53)),"n/a")))</f>
        <v>1320</v>
      </c>
      <c r="G30" s="4">
        <f>((2*C30*'String Lengths'!E29)^2)*F30/1000000000000</f>
        <v>117.04517965117819</v>
      </c>
      <c r="H30" s="4">
        <f t="shared" si="1"/>
        <v>167.53708349409015</v>
      </c>
      <c r="I30" s="4">
        <f>PI()*(E30^2)*F30*'String Lengths'!E29*C30/2000000000</f>
        <v>0.56262775201379489</v>
      </c>
      <c r="J30" s="4">
        <f>4*H30/'String Lengths'!E29</f>
        <v>1.3217915857521905</v>
      </c>
      <c r="K30" s="4">
        <f>IF($B$1='Misc ref'!$B$5,_xlfn.XLOOKUP(E30,'Gut E est'!$A$5:$A$74,'Gut E est'!$B$5:$B$74,,-1,1),IF($B$1='Misc ref'!$B$4,IF(D30="No",$K$44+($K$45*G30),$K$46+($K$47*G30)),IF($B$1='Misc ref'!$B$3,$K$50+($K$51*G30),"n/a")))</f>
        <v>5.64635522179017</v>
      </c>
      <c r="L30" s="4">
        <f>K30*(PI()^3)*(E30^4)/(0.128*H30*('String Lengths'!E29^2)*$L$48)</f>
        <v>0.81479960119338157</v>
      </c>
      <c r="M30" s="4">
        <f>0.008*('String Lengths'!E29^2)*C30*SQRT('Misc ref'!$B$9*F30/(K30*1000000000))/(PI()*E30)</f>
        <v>15.794292508703945</v>
      </c>
      <c r="N30" s="4">
        <f t="shared" si="0"/>
        <v>4.6382272439881937</v>
      </c>
      <c r="O30" s="4">
        <f t="shared" si="2"/>
        <v>8.0821259709248459</v>
      </c>
      <c r="Y30" s="26">
        <f>IF(Graphs!$B$4="Yes",E30,$Y$48)</f>
        <v>-100</v>
      </c>
      <c r="Z30" s="4">
        <f>IF(Graphs!$B$4="Yes",F30,$Y$48)</f>
        <v>-100</v>
      </c>
      <c r="AA30" s="4">
        <f>IF(Graphs!$B$4="Yes",H30,$Y$48)</f>
        <v>-100</v>
      </c>
      <c r="AB30" s="4">
        <f>IF(Graphs!$B$4="Yes",I30,$Y$48)</f>
        <v>-100</v>
      </c>
      <c r="AC30" s="4">
        <f>IF(Graphs!$B$4="Yes",J30,$Y$48)</f>
        <v>-100</v>
      </c>
      <c r="AD30" s="4">
        <f>IF(Graphs!$B$4="Yes",K30,$Y$48)</f>
        <v>-100</v>
      </c>
      <c r="AE30" s="4">
        <f>IF(Graphs!$B$4="Yes",L30,$Y$48)</f>
        <v>-100</v>
      </c>
      <c r="AF30" s="4">
        <f>IF(Graphs!$B$4="Yes",M30,$Y$48)</f>
        <v>-100</v>
      </c>
      <c r="AG30" s="4">
        <f>IF(Graphs!$B$4="Yes",N30,$Y$48)</f>
        <v>-100</v>
      </c>
      <c r="AH30" s="27">
        <f>IF(Graphs!$B$4="Yes",O30,$Y$48)</f>
        <v>-100</v>
      </c>
    </row>
    <row r="31" spans="1:34" x14ac:dyDescent="0.25">
      <c r="A31" s="3">
        <v>24</v>
      </c>
      <c r="B31" s="3" t="s">
        <v>51</v>
      </c>
      <c r="C31" s="3">
        <v>261.62556530059868</v>
      </c>
      <c r="D31" s="3" t="str">
        <f>IF(AND($B$1='Misc ref'!$B$4,E31&gt;=Fluorocarbon!$E$127),"Yes","No")</f>
        <v>No</v>
      </c>
      <c r="E31" s="40">
        <v>1.45</v>
      </c>
      <c r="F31" s="3">
        <f>IF($B$1='Misc ref'!$B$5,$E$44,IF($B$1='Misc ref'!$B$4,$E$47,IF($B$1='Misc ref'!$B$3,IF(E31&lt;=$D$51,$E$51,IF(E31&gt;=$D$52,$E$52,$E$53)),"n/a")))</f>
        <v>1320</v>
      </c>
      <c r="G31" s="4">
        <f>((2*C31*'String Lengths'!E30)^2)*F31/1000000000000</f>
        <v>109.32504404819969</v>
      </c>
      <c r="H31" s="4">
        <f t="shared" si="1"/>
        <v>180.52840572050448</v>
      </c>
      <c r="I31" s="4">
        <f>PI()*(E31^2)*F31*'String Lengths'!E30*C31/2000000000</f>
        <v>0.62729623645388599</v>
      </c>
      <c r="J31" s="4">
        <f>4*H31/'String Lengths'!E30</f>
        <v>1.3129338597854872</v>
      </c>
      <c r="K31" s="4">
        <f>IF($B$1='Misc ref'!$B$5,_xlfn.XLOOKUP(E31,'Gut E est'!$A$5:$A$74,'Gut E est'!$B$5:$B$74,,-1,1),IF($B$1='Misc ref'!$B$4,IF(D31="No",$K$44+($K$45*G31),$K$46+($K$47*G31)),IF($B$1='Misc ref'!$B$3,$K$50+($K$51*G31),"n/a")))</f>
        <v>5.4929110944188251</v>
      </c>
      <c r="L31" s="4">
        <f>K31*(PI()^3)*(E31^4)/(0.128*H31*('String Lengths'!E30^2)*$L$48)</f>
        <v>0.83191328445954793</v>
      </c>
      <c r="M31" s="4">
        <f>0.008*('String Lengths'!E30^2)*C31*SQRT('Misc ref'!$B$9*F31/(K31*1000000000))/(PI()*E31)</f>
        <v>15.630992367262033</v>
      </c>
      <c r="N31" s="4">
        <f t="shared" si="0"/>
        <v>4.089467214294273</v>
      </c>
      <c r="O31" s="4">
        <f t="shared" si="2"/>
        <v>9.0704421047633819</v>
      </c>
      <c r="Y31" s="26">
        <f>IF(Graphs!$B$4="Yes",E31,$Y$48)</f>
        <v>-100</v>
      </c>
      <c r="Z31" s="4">
        <f>IF(Graphs!$B$4="Yes",F31,$Y$48)</f>
        <v>-100</v>
      </c>
      <c r="AA31" s="4">
        <f>IF(Graphs!$B$4="Yes",H31,$Y$48)</f>
        <v>-100</v>
      </c>
      <c r="AB31" s="4">
        <f>IF(Graphs!$B$4="Yes",I31,$Y$48)</f>
        <v>-100</v>
      </c>
      <c r="AC31" s="4">
        <f>IF(Graphs!$B$4="Yes",J31,$Y$48)</f>
        <v>-100</v>
      </c>
      <c r="AD31" s="4">
        <f>IF(Graphs!$B$4="Yes",K31,$Y$48)</f>
        <v>-100</v>
      </c>
      <c r="AE31" s="4">
        <f>IF(Graphs!$B$4="Yes",L31,$Y$48)</f>
        <v>-100</v>
      </c>
      <c r="AF31" s="4">
        <f>IF(Graphs!$B$4="Yes",M31,$Y$48)</f>
        <v>-100</v>
      </c>
      <c r="AG31" s="4">
        <f>IF(Graphs!$B$4="Yes",N31,$Y$48)</f>
        <v>-100</v>
      </c>
      <c r="AH31" s="27">
        <f>IF(Graphs!$B$4="Yes",O31,$Y$48)</f>
        <v>-100</v>
      </c>
    </row>
    <row r="32" spans="1:34" x14ac:dyDescent="0.25">
      <c r="A32" s="3">
        <v>25</v>
      </c>
      <c r="B32" s="3" t="s">
        <v>52</v>
      </c>
      <c r="C32" s="3">
        <v>246.94165062806206</v>
      </c>
      <c r="D32" s="3" t="str">
        <f>IF(AND($B$1='Misc ref'!$B$4,E32&gt;=Fluorocarbon!$E$127),"Yes","No")</f>
        <v>No</v>
      </c>
      <c r="E32" s="40">
        <v>1.55</v>
      </c>
      <c r="F32" s="3">
        <f>IF($B$1='Misc ref'!$B$5,$E$44,IF($B$1='Misc ref'!$B$4,$E$47,IF($B$1='Misc ref'!$B$3,IF(E32&lt;=$D$51,$E$51,IF(E32&gt;=$D$52,$E$52,$E$53)),"n/a")))</f>
        <v>1320</v>
      </c>
      <c r="G32" s="4">
        <f>((2*C32*'String Lengths'!E31)^2)*F32/1000000000000</f>
        <v>115.52507545375734</v>
      </c>
      <c r="H32" s="4">
        <f t="shared" si="1"/>
        <v>217.9864699657777</v>
      </c>
      <c r="I32" s="4">
        <f>PI()*(E32^2)*F32*'String Lengths'!E31*C32/2000000000</f>
        <v>0.73684878837626699</v>
      </c>
      <c r="J32" s="4">
        <f>4*H32/'String Lengths'!E31</f>
        <v>1.4556692485193836</v>
      </c>
      <c r="K32" s="4">
        <f>IF($B$1='Misc ref'!$B$5,_xlfn.XLOOKUP(E32,'Gut E est'!$A$5:$A$74,'Gut E est'!$B$5:$B$74,,-1,1),IF($B$1='Misc ref'!$B$4,IF(D32="No",$K$44+($K$45*G32),$K$46+($K$47*G32)),IF($B$1='Misc ref'!$B$3,$K$50+($K$51*G32),"n/a")))</f>
        <v>5.3374995940446404</v>
      </c>
      <c r="L32" s="4">
        <f>K32*(PI()^3)*(E32^4)/(0.128*H32*('String Lengths'!E31^2)*$L$48)</f>
        <v>0.73698028613593625</v>
      </c>
      <c r="M32" s="4">
        <f>0.008*('String Lengths'!E31^2)*C32*SQRT('Misc ref'!$B$9*F32/(K32*1000000000))/(PI()*E32)</f>
        <v>16.607247011932532</v>
      </c>
      <c r="N32" s="4">
        <f t="shared" si="0"/>
        <v>4.1010209895145708</v>
      </c>
      <c r="O32" s="4">
        <f t="shared" si="2"/>
        <v>10.071429863859231</v>
      </c>
      <c r="Y32" s="26">
        <f>IF(Graphs!$B$4="Yes",E32,$Y$48)</f>
        <v>-100</v>
      </c>
      <c r="Z32" s="4">
        <f>IF(Graphs!$B$4="Yes",F32,$Y$48)</f>
        <v>-100</v>
      </c>
      <c r="AA32" s="4">
        <f>IF(Graphs!$B$4="Yes",H32,$Y$48)</f>
        <v>-100</v>
      </c>
      <c r="AB32" s="4">
        <f>IF(Graphs!$B$4="Yes",I32,$Y$48)</f>
        <v>-100</v>
      </c>
      <c r="AC32" s="4">
        <f>IF(Graphs!$B$4="Yes",J32,$Y$48)</f>
        <v>-100</v>
      </c>
      <c r="AD32" s="4">
        <f>IF(Graphs!$B$4="Yes",K32,$Y$48)</f>
        <v>-100</v>
      </c>
      <c r="AE32" s="4">
        <f>IF(Graphs!$B$4="Yes",L32,$Y$48)</f>
        <v>-100</v>
      </c>
      <c r="AF32" s="4">
        <f>IF(Graphs!$B$4="Yes",M32,$Y$48)</f>
        <v>-100</v>
      </c>
      <c r="AG32" s="4">
        <f>IF(Graphs!$B$4="Yes",N32,$Y$48)</f>
        <v>-100</v>
      </c>
      <c r="AH32" s="27">
        <f>IF(Graphs!$B$4="Yes",O32,$Y$48)</f>
        <v>-100</v>
      </c>
    </row>
    <row r="33" spans="1:34" x14ac:dyDescent="0.25">
      <c r="A33" s="3">
        <v>26</v>
      </c>
      <c r="B33" s="3" t="s">
        <v>53</v>
      </c>
      <c r="C33" s="3">
        <v>220</v>
      </c>
      <c r="D33" s="3" t="str">
        <f>IF(AND($B$1='Misc ref'!$B$4,E33&gt;=Fluorocarbon!$E$127),"Yes","No")</f>
        <v>No</v>
      </c>
      <c r="E33" s="40">
        <v>1.6</v>
      </c>
      <c r="F33" s="3">
        <f>IF($B$1='Misc ref'!$B$5,$E$44,IF($B$1='Misc ref'!$B$4,$E$47,IF($B$1='Misc ref'!$B$3,IF(E33&lt;=$D$51,$E$51,IF(E33&gt;=$D$52,$E$52,$E$53)),"n/a")))</f>
        <v>1320</v>
      </c>
      <c r="G33" s="4">
        <f>((2*C33*'String Lengths'!E32)^2)*F33/1000000000000</f>
        <v>108.969672768</v>
      </c>
      <c r="H33" s="4">
        <f t="shared" si="1"/>
        <v>219.09652699650084</v>
      </c>
      <c r="I33" s="4">
        <f>PI()*(E33^2)*F33*'String Lengths'!E32*C33/2000000000</f>
        <v>0.76255230055861367</v>
      </c>
      <c r="J33" s="4">
        <f>4*H33/'String Lengths'!E32</f>
        <v>1.3420920489831598</v>
      </c>
      <c r="K33" s="4">
        <f>IF($B$1='Misc ref'!$B$5,_xlfn.XLOOKUP(E33,'Gut E est'!$A$5:$A$74,'Gut E est'!$B$5:$B$74,,-1,1),IF($B$1='Misc ref'!$B$4,IF(D33="No",$K$44+($K$45*G33),$K$46+($K$47*G33)),IF($B$1='Misc ref'!$B$3,$K$50+($K$51*G33),"n/a")))</f>
        <v>5.8143194353318872</v>
      </c>
      <c r="L33" s="4">
        <f>K33*(PI()^3)*(E33^4)/(0.128*H33*('String Lengths'!E32^2)*$L$48)</f>
        <v>0.76311742289928286</v>
      </c>
      <c r="M33" s="4">
        <f>0.008*('String Lengths'!E32^2)*C33*SQRT('Misc ref'!$B$9*F33/(K33*1000000000))/(PI()*E33)</f>
        <v>16.32036608085134</v>
      </c>
      <c r="N33" s="4">
        <f t="shared" si="0"/>
        <v>3.590480537787295</v>
      </c>
      <c r="O33" s="4">
        <f t="shared" si="2"/>
        <v>11.690382863144329</v>
      </c>
      <c r="Y33" s="26">
        <f>IF(Graphs!$B$4="Yes",E33,$Y$48)</f>
        <v>-100</v>
      </c>
      <c r="Z33" s="4">
        <f>IF(Graphs!$B$4="Yes",F33,$Y$48)</f>
        <v>-100</v>
      </c>
      <c r="AA33" s="4">
        <f>IF(Graphs!$B$4="Yes",H33,$Y$48)</f>
        <v>-100</v>
      </c>
      <c r="AB33" s="4">
        <f>IF(Graphs!$B$4="Yes",I33,$Y$48)</f>
        <v>-100</v>
      </c>
      <c r="AC33" s="4">
        <f>IF(Graphs!$B$4="Yes",J33,$Y$48)</f>
        <v>-100</v>
      </c>
      <c r="AD33" s="4">
        <f>IF(Graphs!$B$4="Yes",K33,$Y$48)</f>
        <v>-100</v>
      </c>
      <c r="AE33" s="4">
        <f>IF(Graphs!$B$4="Yes",L33,$Y$48)</f>
        <v>-100</v>
      </c>
      <c r="AF33" s="4">
        <f>IF(Graphs!$B$4="Yes",M33,$Y$48)</f>
        <v>-100</v>
      </c>
      <c r="AG33" s="4">
        <f>IF(Graphs!$B$4="Yes",N33,$Y$48)</f>
        <v>-100</v>
      </c>
      <c r="AH33" s="27">
        <f>IF(Graphs!$B$4="Yes",O33,$Y$48)</f>
        <v>-100</v>
      </c>
    </row>
    <row r="34" spans="1:34" x14ac:dyDescent="0.25">
      <c r="A34" s="3">
        <v>27</v>
      </c>
      <c r="B34" s="3" t="s">
        <v>54</v>
      </c>
      <c r="C34" s="3">
        <v>195.99771799087463</v>
      </c>
      <c r="D34" s="3" t="str">
        <f>IF(AND($B$1='Misc ref'!$B$4,E34&gt;=Fluorocarbon!$E$127),"Yes","No")</f>
        <v>No</v>
      </c>
      <c r="E34" s="40">
        <v>1.7</v>
      </c>
      <c r="F34" s="3">
        <f>IF($B$1='Misc ref'!$B$5,$E$44,IF($B$1='Misc ref'!$B$4,$E$47,IF($B$1='Misc ref'!$B$3,IF(E34&lt;=$D$51,$E$51,IF(E34&gt;=$D$52,$E$52,$E$53)),"n/a")))</f>
        <v>1320</v>
      </c>
      <c r="G34" s="4">
        <f>((2*C34*'String Lengths'!E33)^2)*F34/1000000000000</f>
        <v>103.40281829791665</v>
      </c>
      <c r="H34" s="4">
        <f t="shared" si="1"/>
        <v>234.70378854996795</v>
      </c>
      <c r="I34" s="4">
        <f>PI()*(E34^2)*F34*'String Lengths'!E33*C34/2000000000</f>
        <v>0.83857300497124732</v>
      </c>
      <c r="J34" s="4">
        <f>4*H34/'String Lengths'!E33</f>
        <v>1.3148671627449184</v>
      </c>
      <c r="K34" s="4">
        <f>IF($B$1='Misc ref'!$B$5,_xlfn.XLOOKUP(E34,'Gut E est'!$A$5:$A$74,'Gut E est'!$B$5:$B$74,,-1,1),IF($B$1='Misc ref'!$B$4,IF(D34="No",$K$44+($K$45*G34),$K$46+($K$47*G34)),IF($B$1='Misc ref'!$B$3,$K$50+($K$51*G34),"n/a")))</f>
        <v>5.698630467430263</v>
      </c>
      <c r="L34" s="4">
        <f>K34*(PI()^3)*(E34^4)/(0.128*H34*('String Lengths'!E33^2)*$L$48)</f>
        <v>0.74425894703912832</v>
      </c>
      <c r="M34" s="4">
        <f>0.008*('String Lengths'!E33^2)*C34*SQRT('Misc ref'!$B$9*F34/(K34*1000000000))/(PI()*E34)</f>
        <v>16.525840188228329</v>
      </c>
      <c r="N34" s="4">
        <f t="shared" si="0"/>
        <v>3.2390269647746388</v>
      </c>
      <c r="O34" s="4">
        <f t="shared" si="2"/>
        <v>12.934755379671358</v>
      </c>
      <c r="Y34" s="26">
        <f>IF(Graphs!$B$4="Yes",E34,$Y$48)</f>
        <v>-100</v>
      </c>
      <c r="Z34" s="4">
        <f>IF(Graphs!$B$4="Yes",F34,$Y$48)</f>
        <v>-100</v>
      </c>
      <c r="AA34" s="4">
        <f>IF(Graphs!$B$4="Yes",H34,$Y$48)</f>
        <v>-100</v>
      </c>
      <c r="AB34" s="4">
        <f>IF(Graphs!$B$4="Yes",I34,$Y$48)</f>
        <v>-100</v>
      </c>
      <c r="AC34" s="4">
        <f>IF(Graphs!$B$4="Yes",J34,$Y$48)</f>
        <v>-100</v>
      </c>
      <c r="AD34" s="4">
        <f>IF(Graphs!$B$4="Yes",K34,$Y$48)</f>
        <v>-100</v>
      </c>
      <c r="AE34" s="4">
        <f>IF(Graphs!$B$4="Yes",L34,$Y$48)</f>
        <v>-100</v>
      </c>
      <c r="AF34" s="4">
        <f>IF(Graphs!$B$4="Yes",M34,$Y$48)</f>
        <v>-100</v>
      </c>
      <c r="AG34" s="4">
        <f>IF(Graphs!$B$4="Yes",N34,$Y$48)</f>
        <v>-100</v>
      </c>
      <c r="AH34" s="27">
        <f>IF(Graphs!$B$4="Yes",O34,$Y$48)</f>
        <v>-100</v>
      </c>
    </row>
    <row r="35" spans="1:34" x14ac:dyDescent="0.25">
      <c r="A35" s="2">
        <v>28</v>
      </c>
      <c r="B35" s="2" t="s">
        <v>55</v>
      </c>
      <c r="C35" s="2">
        <v>174.61411571650194</v>
      </c>
      <c r="D35" s="18" t="str">
        <f>IF(AND($B$1='Misc ref'!$B$4,E35&gt;=Fluorocarbon!$E$127),"Yes","No")</f>
        <v>No</v>
      </c>
      <c r="E35" s="41">
        <v>1.8</v>
      </c>
      <c r="F35" s="13">
        <f>IF($B$1='Misc ref'!$B$5,$E$44,IF($B$1='Misc ref'!$B$4,$E$47,IF($B$1='Misc ref'!$B$3,IF(E35&lt;=$D$51,$E$51,IF(E35&gt;=$D$52,$E$52,$E$53)),"n/a")))</f>
        <v>1320</v>
      </c>
      <c r="G35" s="15">
        <f>((2*C35*'String Lengths'!E34)^2)*F35/1000000000000</f>
        <v>96.693220537865017</v>
      </c>
      <c r="H35" s="15">
        <f t="shared" si="1"/>
        <v>246.05427614789249</v>
      </c>
      <c r="I35" s="15">
        <f>PI()*(E35^2)*F35*'String Lengths'!E34*C35/2000000000</f>
        <v>0.90911719042632189</v>
      </c>
      <c r="J35" s="15">
        <f>4*H35/'String Lengths'!E34</f>
        <v>1.2699575543117032</v>
      </c>
      <c r="K35" s="15">
        <f>IF($B$1='Misc ref'!$B$5,_xlfn.XLOOKUP(E35,'Gut E est'!$A$5:$A$74,'Gut E est'!$B$5:$B$74,,-1,1),IF($B$1='Misc ref'!$B$4,IF(D35="No",$K$44+($K$45*G35),$K$46+($K$47*G35)),IF($B$1='Misc ref'!$B$3,$K$50+($K$51*G35),"n/a")))</f>
        <v>5.5808568416690871</v>
      </c>
      <c r="L35" s="15">
        <f>K35*(PI()^3)*(E35^4)/(0.128*H35*('String Lengths'!E34^2)*$L$48)</f>
        <v>0.74170462510973334</v>
      </c>
      <c r="M35" s="15">
        <f>0.008*('String Lengths'!E34^2)*C35*SQRT('Misc ref'!$B$9*F35/(K35*1000000000))/(PI()*E35)</f>
        <v>16.554272015236428</v>
      </c>
      <c r="N35" s="15">
        <f t="shared" si="0"/>
        <v>2.8906095692709437</v>
      </c>
      <c r="O35" s="15">
        <f t="shared" si="2"/>
        <v>14.201550872164391</v>
      </c>
      <c r="Y35" s="26">
        <f>IF(Graphs!$B$4="Yes",E35,$Y$48)</f>
        <v>-100</v>
      </c>
      <c r="Z35" s="4">
        <f>IF(Graphs!$B$4="Yes",F35,$Y$48)</f>
        <v>-100</v>
      </c>
      <c r="AA35" s="4">
        <f>IF(Graphs!$B$4="Yes",H35,$Y$48)</f>
        <v>-100</v>
      </c>
      <c r="AB35" s="4">
        <f>IF(Graphs!$B$4="Yes",I35,$Y$48)</f>
        <v>-100</v>
      </c>
      <c r="AC35" s="4">
        <f>IF(Graphs!$B$4="Yes",J35,$Y$48)</f>
        <v>-100</v>
      </c>
      <c r="AD35" s="4">
        <f>IF(Graphs!$B$4="Yes",K35,$Y$48)</f>
        <v>-100</v>
      </c>
      <c r="AE35" s="4">
        <f>IF(Graphs!$B$4="Yes",L35,$Y$48)</f>
        <v>-100</v>
      </c>
      <c r="AF35" s="4">
        <f>IF(Graphs!$B$4="Yes",M35,$Y$48)</f>
        <v>-100</v>
      </c>
      <c r="AG35" s="4">
        <f>IF(Graphs!$B$4="Yes",N35,$Y$48)</f>
        <v>-100</v>
      </c>
      <c r="AH35" s="27">
        <f>IF(Graphs!$B$4="Yes",O35,$Y$48)</f>
        <v>-100</v>
      </c>
    </row>
    <row r="36" spans="1:34" x14ac:dyDescent="0.25">
      <c r="A36" s="3">
        <v>29</v>
      </c>
      <c r="B36" s="3" t="s">
        <v>56</v>
      </c>
      <c r="C36" s="3">
        <v>164.81377845643496</v>
      </c>
      <c r="D36" s="3" t="str">
        <f>IF(AND($B$1='Misc ref'!$B$4,E36&gt;=Fluorocarbon!$E$127),"Yes","No")</f>
        <v>No</v>
      </c>
      <c r="E36" s="40">
        <v>1.85</v>
      </c>
      <c r="F36" s="3">
        <f>IF($B$1='Misc ref'!$B$5,$E$44,IF($B$1='Misc ref'!$B$4,$E$47,IF($B$1='Misc ref'!$B$3,IF(E36&lt;=$D$51,$E$51,IF(E36&gt;=$D$52,$E$52,$E$53)),"n/a")))</f>
        <v>1320</v>
      </c>
      <c r="G36" s="4">
        <f>((2*C36*'String Lengths'!E35)^2)*F36/1000000000000</f>
        <v>101.92391657442712</v>
      </c>
      <c r="H36" s="4">
        <f t="shared" si="1"/>
        <v>273.97405768490751</v>
      </c>
      <c r="I36" s="4">
        <f>PI()*(E36^2)*F36*'String Lengths'!E35*C36/2000000000</f>
        <v>0.98595786478619252</v>
      </c>
      <c r="J36" s="4">
        <f>4*H36/'String Lengths'!E35</f>
        <v>1.2999955287540095</v>
      </c>
      <c r="K36" s="4">
        <f>IF($B$1='Misc ref'!$B$5,_xlfn.XLOOKUP(E36,'Gut E est'!$A$5:$A$74,'Gut E est'!$B$5:$B$74,,-1,1),IF($B$1='Misc ref'!$B$4,IF(D36="No",$K$44+($K$45*G36),$K$46+($K$47*G36)),IF($B$1='Misc ref'!$B$3,$K$50+($K$51*G36),"n/a")))</f>
        <v>5.7160552325567373</v>
      </c>
      <c r="L36" s="4">
        <f>K36*(PI()^3)*(E36^4)/(0.128*H36*('String Lengths'!E35^2)*$L$48)</f>
        <v>0.64341790991657288</v>
      </c>
      <c r="M36" s="4">
        <f>0.008*('String Lengths'!E35^2)*C36*SQRT('Misc ref'!$B$9*F36/(K36*1000000000))/(PI()*E36)</f>
        <v>17.773747573463822</v>
      </c>
      <c r="N36" s="4">
        <f t="shared" si="0"/>
        <v>2.9293584949134646</v>
      </c>
      <c r="O36" s="4">
        <f t="shared" si="2"/>
        <v>15.364900591031073</v>
      </c>
      <c r="Y36" s="26">
        <f>IF(Graphs!$B$4="Yes",E36,$Y$48)</f>
        <v>-100</v>
      </c>
      <c r="Z36" s="4">
        <f>IF(Graphs!$B$4="Yes",F36,$Y$48)</f>
        <v>-100</v>
      </c>
      <c r="AA36" s="4">
        <f>IF(Graphs!$B$4="Yes",H36,$Y$48)</f>
        <v>-100</v>
      </c>
      <c r="AB36" s="4">
        <f>IF(Graphs!$B$4="Yes",I36,$Y$48)</f>
        <v>-100</v>
      </c>
      <c r="AC36" s="4">
        <f>IF(Graphs!$B$4="Yes",J36,$Y$48)</f>
        <v>-100</v>
      </c>
      <c r="AD36" s="4">
        <f>IF(Graphs!$B$4="Yes",K36,$Y$48)</f>
        <v>-100</v>
      </c>
      <c r="AE36" s="4">
        <f>IF(Graphs!$B$4="Yes",L36,$Y$48)</f>
        <v>-100</v>
      </c>
      <c r="AF36" s="4">
        <f>IF(Graphs!$B$4="Yes",M36,$Y$48)</f>
        <v>-100</v>
      </c>
      <c r="AG36" s="4">
        <f>IF(Graphs!$B$4="Yes",N36,$Y$48)</f>
        <v>-100</v>
      </c>
      <c r="AH36" s="27">
        <f>IF(Graphs!$B$4="Yes",O36,$Y$48)</f>
        <v>-100</v>
      </c>
    </row>
    <row r="37" spans="1:34" x14ac:dyDescent="0.25">
      <c r="A37" s="3">
        <v>30</v>
      </c>
      <c r="B37" s="3" t="s">
        <v>57</v>
      </c>
      <c r="C37" s="3">
        <v>146.83238395870379</v>
      </c>
      <c r="D37" s="3" t="str">
        <f>IF(AND($B$1='Misc ref'!$B$4,E37&gt;=Fluorocarbon!$E$127),"Yes","No")</f>
        <v>No</v>
      </c>
      <c r="E37" s="40">
        <v>1.96</v>
      </c>
      <c r="F37" s="3">
        <f>IF($B$1='Misc ref'!$B$5,$E$44,IF($B$1='Misc ref'!$B$4,$E$47,IF($B$1='Misc ref'!$B$3,IF(E37&lt;=$D$51,$E$51,IF(E37&gt;=$D$52,$E$52,$E$53)),"n/a")))</f>
        <v>1320</v>
      </c>
      <c r="G37" s="4">
        <f>((2*C37*'String Lengths'!E36)^2)*F37/1000000000000</f>
        <v>93.646639351701481</v>
      </c>
      <c r="H37" s="4">
        <f t="shared" si="1"/>
        <v>282.54929028953933</v>
      </c>
      <c r="I37" s="4">
        <f>PI()*(E37^2)*F37*'String Lengths'!E36*C37/2000000000</f>
        <v>1.06080385187757</v>
      </c>
      <c r="J37" s="4">
        <f>4*H37/'String Lengths'!E36</f>
        <v>1.2460828678700742</v>
      </c>
      <c r="K37" s="4">
        <f>IF($B$1='Misc ref'!$B$5,_xlfn.XLOOKUP(E37,'Gut E est'!$A$5:$A$74,'Gut E est'!$B$5:$B$74,,-1,1),IF($B$1='Misc ref'!$B$4,IF(D37="No",$K$44+($K$45*G37),$K$46+($K$47*G37)),IF($B$1='Misc ref'!$B$3,$K$50+($K$51*G37),"n/a")))</f>
        <v>5.5983296929375452</v>
      </c>
      <c r="L37" s="4">
        <f>K37*(PI()^3)*(E37^4)/(0.128*H37*('String Lengths'!E36^2)*$L$48)</f>
        <v>0.66504091969026491</v>
      </c>
      <c r="M37" s="4">
        <f>0.008*('String Lengths'!E36^2)*C37*SQRT('Misc ref'!$B$9*F37/(K37*1000000000))/(PI()*E37)</f>
        <v>17.482413845296811</v>
      </c>
      <c r="N37" s="4">
        <f t="shared" si="0"/>
        <v>2.5669845022575806</v>
      </c>
      <c r="O37" s="4">
        <f t="shared" si="2"/>
        <v>16.891199646852229</v>
      </c>
      <c r="Y37" s="26">
        <f>IF(Graphs!$B$4="Yes",E37,$Y$48)</f>
        <v>-100</v>
      </c>
      <c r="Z37" s="4">
        <f>IF(Graphs!$B$4="Yes",F37,$Y$48)</f>
        <v>-100</v>
      </c>
      <c r="AA37" s="4">
        <f>IF(Graphs!$B$4="Yes",H37,$Y$48)</f>
        <v>-100</v>
      </c>
      <c r="AB37" s="4">
        <f>IF(Graphs!$B$4="Yes",I37,$Y$48)</f>
        <v>-100</v>
      </c>
      <c r="AC37" s="4">
        <f>IF(Graphs!$B$4="Yes",J37,$Y$48)</f>
        <v>-100</v>
      </c>
      <c r="AD37" s="4">
        <f>IF(Graphs!$B$4="Yes",K37,$Y$48)</f>
        <v>-100</v>
      </c>
      <c r="AE37" s="4">
        <f>IF(Graphs!$B$4="Yes",L37,$Y$48)</f>
        <v>-100</v>
      </c>
      <c r="AF37" s="4">
        <f>IF(Graphs!$B$4="Yes",M37,$Y$48)</f>
        <v>-100</v>
      </c>
      <c r="AG37" s="4">
        <f>IF(Graphs!$B$4="Yes",N37,$Y$48)</f>
        <v>-100</v>
      </c>
      <c r="AH37" s="27">
        <f>IF(Graphs!$B$4="Yes",O37,$Y$48)</f>
        <v>-100</v>
      </c>
    </row>
    <row r="38" spans="1:34" x14ac:dyDescent="0.25">
      <c r="A38" s="3">
        <v>31</v>
      </c>
      <c r="B38" s="3" t="s">
        <v>58</v>
      </c>
      <c r="C38" s="3">
        <v>130.81278265029934</v>
      </c>
      <c r="D38" s="3" t="str">
        <f>IF(AND($B$1='Misc ref'!$B$4,E38&gt;=Fluorocarbon!$E$127),"Yes","No")</f>
        <v>No</v>
      </c>
      <c r="E38" s="40">
        <v>2.08</v>
      </c>
      <c r="F38" s="3">
        <f>IF($B$1='Misc ref'!$B$5,$E$44,IF($B$1='Misc ref'!$B$4,$E$47,IF($B$1='Misc ref'!$B$3,IF(E38&lt;=$D$51,$E$51,IF(E38&gt;=$D$52,$E$52,$E$53)),"n/a")))</f>
        <v>1320</v>
      </c>
      <c r="G38" s="4">
        <f>((2*C38*'String Lengths'!E37)^2)*F38/1000000000000</f>
        <v>84.137367060979159</v>
      </c>
      <c r="H38" s="4">
        <f t="shared" si="1"/>
        <v>285.89428152605467</v>
      </c>
      <c r="I38" s="4">
        <f>PI()*(E38^2)*F38*'String Lengths'!E37*C38/2000000000</f>
        <v>1.1323950846763804</v>
      </c>
      <c r="J38" s="4">
        <f>4*H38/'String Lengths'!E37</f>
        <v>1.1850540166883095</v>
      </c>
      <c r="K38" s="4">
        <f>IF($B$1='Misc ref'!$B$5,_xlfn.XLOOKUP(E38,'Gut E est'!$A$5:$A$74,'Gut E est'!$B$5:$B$74,,-1,1),IF($B$1='Misc ref'!$B$4,IF(D38="No",$K$44+($K$45*G38),$K$46+($K$47*G38)),IF($B$1='Misc ref'!$B$3,$K$50+($K$51*G38),"n/a")))</f>
        <v>5.46805733229289</v>
      </c>
      <c r="L38" s="4">
        <f>K38*(PI()^3)*(E38^4)/(0.128*H38*('String Lengths'!E37^2)*$L$48)</f>
        <v>0.71928451451764452</v>
      </c>
      <c r="M38" s="4">
        <f>0.008*('String Lengths'!E37^2)*C38*SQRT('Misc ref'!$B$9*F38/(K38*1000000000))/(PI()*E38)</f>
        <v>16.81029076721498</v>
      </c>
      <c r="N38" s="4">
        <f t="shared" si="0"/>
        <v>2.1990009124200269</v>
      </c>
      <c r="O38" s="4">
        <f t="shared" si="2"/>
        <v>18.580166898093541</v>
      </c>
      <c r="Y38" s="26">
        <f>IF(Graphs!$B$4="Yes",E38,$Y$48)</f>
        <v>-100</v>
      </c>
      <c r="Z38" s="4">
        <f>IF(Graphs!$B$4="Yes",F38,$Y$48)</f>
        <v>-100</v>
      </c>
      <c r="AA38" s="4">
        <f>IF(Graphs!$B$4="Yes",H38,$Y$48)</f>
        <v>-100</v>
      </c>
      <c r="AB38" s="4">
        <f>IF(Graphs!$B$4="Yes",I38,$Y$48)</f>
        <v>-100</v>
      </c>
      <c r="AC38" s="4">
        <f>IF(Graphs!$B$4="Yes",J38,$Y$48)</f>
        <v>-100</v>
      </c>
      <c r="AD38" s="4">
        <f>IF(Graphs!$B$4="Yes",K38,$Y$48)</f>
        <v>-100</v>
      </c>
      <c r="AE38" s="4">
        <f>IF(Graphs!$B$4="Yes",L38,$Y$48)</f>
        <v>-100</v>
      </c>
      <c r="AF38" s="4">
        <f>IF(Graphs!$B$4="Yes",M38,$Y$48)</f>
        <v>-100</v>
      </c>
      <c r="AG38" s="4">
        <f>IF(Graphs!$B$4="Yes",N38,$Y$48)</f>
        <v>-100</v>
      </c>
      <c r="AH38" s="27">
        <f>IF(Graphs!$B$4="Yes",O38,$Y$48)</f>
        <v>-100</v>
      </c>
    </row>
    <row r="39" spans="1:34" x14ac:dyDescent="0.25">
      <c r="A39" s="3">
        <v>32</v>
      </c>
      <c r="B39" s="3" t="s">
        <v>59</v>
      </c>
      <c r="C39" s="3">
        <v>123.47082531403103</v>
      </c>
      <c r="D39" s="3" t="str">
        <f>IF(AND($B$1='Misc ref'!$B$4,E39&gt;=Fluorocarbon!$E$127),"Yes","No")</f>
        <v>No</v>
      </c>
      <c r="E39" s="40">
        <v>2.1800000000000002</v>
      </c>
      <c r="F39" s="3">
        <f>IF($B$1='Misc ref'!$B$5,$E$44,IF($B$1='Misc ref'!$B$4,$E$47,IF($B$1='Misc ref'!$B$3,IF(E39&lt;=$D$51,$E$51,IF(E39&gt;=$D$52,$E$52,$E$53)),"n/a")))</f>
        <v>1320</v>
      </c>
      <c r="G39" s="4">
        <f>((2*C39*'String Lengths'!E38)^2)*F39/1000000000000</f>
        <v>83.417694135843831</v>
      </c>
      <c r="H39" s="4">
        <f t="shared" si="1"/>
        <v>311.35873155246969</v>
      </c>
      <c r="I39" s="4">
        <f>PI()*(E39^2)*F39*'String Lengths'!E38*C39/2000000000</f>
        <v>1.2385653456952015</v>
      </c>
      <c r="J39" s="4">
        <f>4*H39/'String Lengths'!E38</f>
        <v>1.2234134835067572</v>
      </c>
      <c r="K39" s="4">
        <f>IF($B$1='Misc ref'!$B$5,_xlfn.XLOOKUP(E39,'Gut E est'!$A$5:$A$74,'Gut E est'!$B$5:$B$74,,-1,1),IF($B$1='Misc ref'!$B$4,IF(D39="No",$K$44+($K$45*G39),$K$46+($K$47*G39)),IF($B$1='Misc ref'!$B$3,$K$50+($K$51*G39),"n/a")))</f>
        <v>5.4116037077554733</v>
      </c>
      <c r="L39" s="4">
        <f>K39*(PI()^3)*(E39^4)/(0.128*H39*('String Lengths'!E38^2)*$L$48)</f>
        <v>0.70871195905610351</v>
      </c>
      <c r="M39" s="4">
        <f>0.008*('String Lengths'!E38^2)*C39*SQRT('Misc ref'!$B$9*F39/(K39*1000000000))/(PI()*E39)</f>
        <v>16.935214435203466</v>
      </c>
      <c r="N39" s="4">
        <f t="shared" si="0"/>
        <v>2.0910049031846638</v>
      </c>
      <c r="O39" s="4">
        <f t="shared" si="2"/>
        <v>20.198952794924814</v>
      </c>
      <c r="Y39" s="26">
        <f>IF(Graphs!$B$4="Yes",E39,$Y$48)</f>
        <v>-100</v>
      </c>
      <c r="Z39" s="4">
        <f>IF(Graphs!$B$4="Yes",F39,$Y$48)</f>
        <v>-100</v>
      </c>
      <c r="AA39" s="4">
        <f>IF(Graphs!$B$4="Yes",H39,$Y$48)</f>
        <v>-100</v>
      </c>
      <c r="AB39" s="4">
        <f>IF(Graphs!$B$4="Yes",I39,$Y$48)</f>
        <v>-100</v>
      </c>
      <c r="AC39" s="4">
        <f>IF(Graphs!$B$4="Yes",J39,$Y$48)</f>
        <v>-100</v>
      </c>
      <c r="AD39" s="4">
        <f>IF(Graphs!$B$4="Yes",K39,$Y$48)</f>
        <v>-100</v>
      </c>
      <c r="AE39" s="4">
        <f>IF(Graphs!$B$4="Yes",L39,$Y$48)</f>
        <v>-100</v>
      </c>
      <c r="AF39" s="4">
        <f>IF(Graphs!$B$4="Yes",M39,$Y$48)</f>
        <v>-100</v>
      </c>
      <c r="AG39" s="4">
        <f>IF(Graphs!$B$4="Yes",N39,$Y$48)</f>
        <v>-100</v>
      </c>
      <c r="AH39" s="27">
        <f>IF(Graphs!$B$4="Yes",O39,$Y$48)</f>
        <v>-100</v>
      </c>
    </row>
    <row r="40" spans="1:34" x14ac:dyDescent="0.25">
      <c r="A40" s="3">
        <v>33</v>
      </c>
      <c r="B40" s="3" t="s">
        <v>60</v>
      </c>
      <c r="C40" s="3">
        <v>110</v>
      </c>
      <c r="D40" s="3" t="str">
        <f>IF(AND($B$1='Misc ref'!$B$4,E40&gt;=Fluorocarbon!$E$127),"Yes","No")</f>
        <v>No</v>
      </c>
      <c r="E40" s="41">
        <v>2.29</v>
      </c>
      <c r="F40" s="3">
        <f>IF($B$1='Misc ref'!$B$5,$E$44,IF($B$1='Misc ref'!$B$4,$E$47,IF($B$1='Misc ref'!$B$3,IF(E40&lt;=$D$51,$E$51,IF(E40&gt;=$D$52,$E$52,$E$53)),"n/a")))</f>
        <v>1320</v>
      </c>
      <c r="G40" s="4">
        <f>((2*C40*'String Lengths'!E39)^2)*F40/1000000000000</f>
        <v>72.735785231999998</v>
      </c>
      <c r="H40" s="4">
        <f t="shared" si="1"/>
        <v>299.57735204844778</v>
      </c>
      <c r="I40" s="4">
        <f>PI()*(E40^2)*F40*'String Lengths'!E39*C40/2000000000</f>
        <v>1.2762092189164516</v>
      </c>
      <c r="J40" s="4">
        <f>4*H40/'String Lengths'!E39</f>
        <v>1.1230641126464771</v>
      </c>
      <c r="K40" s="4">
        <f>IF($B$1='Misc ref'!$B$5,_xlfn.XLOOKUP(E40,'Gut E est'!$A$5:$A$74,'Gut E est'!$B$5:$B$74,,-1,1),IF($B$1='Misc ref'!$B$4,IF(D40="No",$K$44+($K$45*G40),$K$46+($K$47*G40)),IF($B$1='Misc ref'!$B$3,$K$50+($K$51*G40),"n/a")))</f>
        <v>5.293392493718307</v>
      </c>
      <c r="L40" s="4">
        <f>K40*(PI()^3)*(E40^4)/(0.128*H40*('String Lengths'!E39^2)*$L$48)</f>
        <v>0.79856931136747211</v>
      </c>
      <c r="M40" s="4">
        <f>0.008*('String Lengths'!E39^2)*C40*SQRT('Misc ref'!$B$9*F40/(K40*1000000000))/(PI()*E40)</f>
        <v>15.953988420289997</v>
      </c>
      <c r="N40" s="4">
        <f t="shared" si="0"/>
        <v>1.7549387262318996</v>
      </c>
      <c r="O40" s="4">
        <f t="shared" si="2"/>
        <v>21.801930116836058</v>
      </c>
      <c r="Y40" s="28">
        <f>IF(Graphs!$B$4="Yes",E40,$Y$48)</f>
        <v>-100</v>
      </c>
      <c r="Z40" s="15">
        <f>IF(Graphs!$B$4="Yes",F40,$Y$48)</f>
        <v>-100</v>
      </c>
      <c r="AA40" s="15">
        <f>IF(Graphs!$B$4="Yes",H40,$Y$48)</f>
        <v>-100</v>
      </c>
      <c r="AB40" s="15">
        <f>IF(Graphs!$B$4="Yes",I40,$Y$48)</f>
        <v>-100</v>
      </c>
      <c r="AC40" s="15">
        <f>IF(Graphs!$B$4="Yes",J40,$Y$48)</f>
        <v>-100</v>
      </c>
      <c r="AD40" s="15">
        <f>IF(Graphs!$B$4="Yes",K40,$Y$48)</f>
        <v>-100</v>
      </c>
      <c r="AE40" s="15">
        <f>IF(Graphs!$B$4="Yes",L40,$Y$48)</f>
        <v>-100</v>
      </c>
      <c r="AF40" s="15">
        <f>IF(Graphs!$B$4="Yes",M40,$Y$48)</f>
        <v>-100</v>
      </c>
      <c r="AG40" s="15">
        <f>IF(Graphs!$B$4="Yes",N40,$Y$48)</f>
        <v>-100</v>
      </c>
      <c r="AH40" s="29">
        <f>IF(Graphs!$B$4="Yes",O40,$Y$48)</f>
        <v>-100</v>
      </c>
    </row>
    <row r="43" spans="1:34" x14ac:dyDescent="0.25">
      <c r="D43" s="22" t="s">
        <v>172</v>
      </c>
      <c r="E43" s="10"/>
      <c r="K43" t="s">
        <v>174</v>
      </c>
    </row>
    <row r="44" spans="1:34" x14ac:dyDescent="0.25">
      <c r="D44" s="23"/>
      <c r="E44" s="18">
        <f>Gut!E127</f>
        <v>1320</v>
      </c>
      <c r="K44" s="19">
        <f>Fluorocarbon!K127</f>
        <v>3.24746902</v>
      </c>
    </row>
    <row r="45" spans="1:34" x14ac:dyDescent="0.25">
      <c r="K45" s="20">
        <f>Fluorocarbon!K128</f>
        <v>4.1009549999999999E-2</v>
      </c>
    </row>
    <row r="46" spans="1:34" x14ac:dyDescent="0.25">
      <c r="D46" s="22" t="s">
        <v>173</v>
      </c>
      <c r="E46" s="24"/>
      <c r="F46" s="10"/>
      <c r="K46" s="19">
        <f>Fluorocarbon!K129</f>
        <v>3.18497582</v>
      </c>
    </row>
    <row r="47" spans="1:34" x14ac:dyDescent="0.25">
      <c r="D47" s="23"/>
      <c r="E47" s="2">
        <f>Fluorocarbon!F127</f>
        <v>1770</v>
      </c>
      <c r="F47" s="18"/>
      <c r="K47" s="20">
        <f>Fluorocarbon!K130</f>
        <v>3.2591830000000002E-2</v>
      </c>
    </row>
    <row r="48" spans="1:34" x14ac:dyDescent="0.25">
      <c r="L48" s="47">
        <f>Gut!K127</f>
        <v>1.2946883554665936E-4</v>
      </c>
      <c r="Y48" s="21">
        <v>-100</v>
      </c>
    </row>
    <row r="49" spans="4:11" x14ac:dyDescent="0.25">
      <c r="D49" s="22" t="s">
        <v>170</v>
      </c>
      <c r="E49" s="10"/>
      <c r="K49" s="33" t="s">
        <v>175</v>
      </c>
    </row>
    <row r="50" spans="4:11" x14ac:dyDescent="0.25">
      <c r="D50" s="11" t="s">
        <v>64</v>
      </c>
      <c r="E50" s="12" t="s">
        <v>62</v>
      </c>
      <c r="K50" s="19">
        <f>Nylon!J47</f>
        <v>4.5290549599999999</v>
      </c>
    </row>
    <row r="51" spans="4:11" x14ac:dyDescent="0.25">
      <c r="D51" s="25">
        <f>Nylon!D47</f>
        <v>1.18</v>
      </c>
      <c r="E51" s="17">
        <f>Nylon!E47</f>
        <v>1080</v>
      </c>
      <c r="K51" s="20">
        <f>Nylon!J48</f>
        <v>3.8879919999999998E-2</v>
      </c>
    </row>
    <row r="52" spans="4:11" x14ac:dyDescent="0.25">
      <c r="D52" s="25">
        <f>Nylon!D48</f>
        <v>1.67</v>
      </c>
      <c r="E52" s="17">
        <f>Nylon!E48</f>
        <v>1150</v>
      </c>
    </row>
    <row r="53" spans="4:11" x14ac:dyDescent="0.25">
      <c r="D53" s="13" t="s">
        <v>65</v>
      </c>
      <c r="E53" s="59">
        <f>Nylon!E49</f>
        <v>1115</v>
      </c>
    </row>
  </sheetData>
  <mergeCells count="1">
    <mergeCell ref="B1:C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C92DA6-F789-408B-8DB8-363B913717A2}">
          <x14:formula1>
            <xm:f>'Misc ref'!B3:B5</xm:f>
          </x14:formula1>
          <xm:sqref>B1:C1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B4E3-8299-404A-9EF5-3EB0ED1901FA}">
  <dimension ref="A1:AH128"/>
  <sheetViews>
    <sheetView zoomScale="75" zoomScaleNormal="75" workbookViewId="0">
      <selection activeCell="D5" sqref="D5"/>
    </sheetView>
  </sheetViews>
  <sheetFormatPr defaultRowHeight="15" x14ac:dyDescent="0.25"/>
  <cols>
    <col min="1" max="5" width="9.140625" style="3"/>
    <col min="7" max="7" width="13.85546875" bestFit="1" customWidth="1"/>
    <col min="8" max="8" width="11.42578125" bestFit="1" customWidth="1"/>
    <col min="10" max="10" width="14.28515625" bestFit="1" customWidth="1"/>
    <col min="11" max="11" width="13.85546875" bestFit="1" customWidth="1"/>
    <col min="12" max="12" width="10.5703125" bestFit="1" customWidth="1"/>
    <col min="13" max="13" width="11" bestFit="1" customWidth="1"/>
  </cols>
  <sheetData>
    <row r="1" spans="1:34" x14ac:dyDescent="0.25">
      <c r="D1" s="30" t="s">
        <v>23</v>
      </c>
      <c r="R1" s="3"/>
      <c r="S1" s="3"/>
      <c r="T1" s="3"/>
      <c r="U1" s="3"/>
      <c r="W1" s="45"/>
      <c r="X1" s="3"/>
      <c r="Y1" s="22"/>
      <c r="Z1" s="35"/>
      <c r="AA1" s="35"/>
      <c r="AB1" s="35"/>
      <c r="AC1" s="35"/>
      <c r="AD1" s="35"/>
      <c r="AE1" s="35"/>
      <c r="AF1" s="35"/>
      <c r="AG1" s="35"/>
      <c r="AH1" s="16"/>
    </row>
    <row r="2" spans="1:34" x14ac:dyDescent="0.25">
      <c r="A2" s="3" t="s">
        <v>20</v>
      </c>
      <c r="B2" s="3" t="s">
        <v>21</v>
      </c>
      <c r="C2" s="3" t="s">
        <v>22</v>
      </c>
      <c r="D2" s="30" t="s">
        <v>70</v>
      </c>
      <c r="E2" s="3" t="s">
        <v>62</v>
      </c>
      <c r="F2" s="3" t="s">
        <v>66</v>
      </c>
      <c r="G2" s="3" t="s">
        <v>68</v>
      </c>
      <c r="H2" s="3" t="s">
        <v>71</v>
      </c>
      <c r="I2" s="3" t="s">
        <v>73</v>
      </c>
      <c r="J2" s="3" t="s">
        <v>75</v>
      </c>
      <c r="K2" s="3" t="s">
        <v>77</v>
      </c>
      <c r="L2" s="3" t="s">
        <v>79</v>
      </c>
      <c r="M2" s="3" t="s">
        <v>80</v>
      </c>
      <c r="N2" s="3" t="s">
        <v>82</v>
      </c>
      <c r="R2" s="3"/>
      <c r="S2" s="3"/>
      <c r="T2" s="3"/>
      <c r="U2" s="3"/>
      <c r="W2" s="8" t="s">
        <v>66</v>
      </c>
      <c r="X2" s="3"/>
      <c r="Y2" s="11" t="s">
        <v>70</v>
      </c>
      <c r="Z2" s="3" t="s">
        <v>62</v>
      </c>
      <c r="AA2" s="3" t="s">
        <v>68</v>
      </c>
      <c r="AB2" s="3" t="s">
        <v>71</v>
      </c>
      <c r="AC2" s="3" t="s">
        <v>73</v>
      </c>
      <c r="AD2" s="3" t="s">
        <v>75</v>
      </c>
      <c r="AE2" s="3" t="s">
        <v>77</v>
      </c>
      <c r="AF2" s="3" t="s">
        <v>79</v>
      </c>
      <c r="AG2" s="3" t="s">
        <v>80</v>
      </c>
      <c r="AH2" s="12" t="s">
        <v>82</v>
      </c>
    </row>
    <row r="3" spans="1:34" x14ac:dyDescent="0.25">
      <c r="A3" s="3" t="s">
        <v>61</v>
      </c>
      <c r="C3" s="3" t="s">
        <v>25</v>
      </c>
      <c r="D3" s="30" t="s">
        <v>8</v>
      </c>
      <c r="E3" s="3" t="s">
        <v>63</v>
      </c>
      <c r="F3" s="3" t="s">
        <v>67</v>
      </c>
      <c r="G3" s="3" t="s">
        <v>69</v>
      </c>
      <c r="H3" s="3" t="s">
        <v>72</v>
      </c>
      <c r="I3" s="3" t="s">
        <v>74</v>
      </c>
      <c r="J3" s="3" t="s">
        <v>76</v>
      </c>
      <c r="K3" s="3" t="s">
        <v>78</v>
      </c>
      <c r="M3" s="3" t="s">
        <v>81</v>
      </c>
      <c r="N3" s="3" t="s">
        <v>83</v>
      </c>
      <c r="R3" s="3"/>
      <c r="S3" s="3"/>
      <c r="T3" s="3"/>
      <c r="U3" s="3"/>
      <c r="W3" s="8" t="s">
        <v>67</v>
      </c>
      <c r="X3" s="3"/>
      <c r="Y3" s="11" t="s">
        <v>8</v>
      </c>
      <c r="Z3" s="3" t="s">
        <v>63</v>
      </c>
      <c r="AA3" s="3" t="s">
        <v>69</v>
      </c>
      <c r="AB3" s="3" t="s">
        <v>72</v>
      </c>
      <c r="AC3" s="3" t="s">
        <v>74</v>
      </c>
      <c r="AD3" s="3" t="s">
        <v>76</v>
      </c>
      <c r="AE3" s="3" t="s">
        <v>78</v>
      </c>
      <c r="AG3" s="3" t="s">
        <v>81</v>
      </c>
      <c r="AH3" s="12" t="s">
        <v>83</v>
      </c>
    </row>
    <row r="4" spans="1:34" x14ac:dyDescent="0.25">
      <c r="W4" s="46"/>
      <c r="Y4" s="25"/>
      <c r="AH4" s="17"/>
    </row>
    <row r="5" spans="1:34" x14ac:dyDescent="0.25">
      <c r="A5" s="1">
        <v>-1</v>
      </c>
      <c r="B5" s="3" t="s">
        <v>26</v>
      </c>
      <c r="C5" s="3">
        <v>3135.9634878539941</v>
      </c>
      <c r="D5" s="4">
        <v>0.52</v>
      </c>
      <c r="E5" s="3">
        <f t="shared" ref="E5:E39" si="0">$E$127</f>
        <v>1320</v>
      </c>
      <c r="F5" s="4">
        <f>((2*C5*'String Lengths'!E5)^2)*E5/1000000000000</f>
        <v>276.70795061094452</v>
      </c>
      <c r="G5" s="4">
        <f t="shared" ref="G5:G39" si="1">F5*PI()*(D5^2)/4</f>
        <v>58.764927742455995</v>
      </c>
      <c r="H5" s="4">
        <f>PI()*(D5^2)*E5*'String Lengths'!E5*C5/2000000000</f>
        <v>0.12834955082999197</v>
      </c>
      <c r="I5" s="4">
        <f>4*G5/'String Lengths'!E5</f>
        <v>3.2199960406825201</v>
      </c>
      <c r="J5" s="4">
        <f>_xlfn.XLOOKUP(D5,'Gut E est'!$A$5:$A$74,'Gut E est'!$B$5:$B$74,,-1,1)</f>
        <v>6.5292526411974832</v>
      </c>
      <c r="K5" s="4">
        <f>J5*(PI()^3)*(D5^4)/(0.128*G5*('String Lengths'!E5^2)*$K$127)</f>
        <v>2.8522482853364641</v>
      </c>
      <c r="L5" s="4">
        <f>0.008*('String Lengths'!E5^2)*C5*SQRT('Misc ref'!$B$9*E5/(J5*1000000000))/(PI()*D5)</f>
        <v>8.4417389274033336</v>
      </c>
      <c r="M5" s="4">
        <f t="shared" ref="M5:M39" si="2">L5*C5/1000</f>
        <v>26.472985050332593</v>
      </c>
      <c r="N5" s="4">
        <f t="shared" ref="N5:N39" si="3">J5*PI()*(D5^2)/4</f>
        <v>1.3866282440568012</v>
      </c>
      <c r="W5" s="36">
        <f>IF(OR(Graphs!$B$6="Yes",Graphs!$B$7="Yes",Graphs!$B$8="Yes"),F5,$Y$127)</f>
        <v>276.70795061094452</v>
      </c>
      <c r="Y5" s="26">
        <f>IF(Graphs!$B$6="Yes",D5,$Y$127)</f>
        <v>0.52</v>
      </c>
      <c r="Z5" s="4">
        <f>IF(Graphs!$B$6="Yes",E5,$Y$127)</f>
        <v>1320</v>
      </c>
      <c r="AA5" s="4">
        <f>IF(Graphs!$B$6="Yes",G5,$Y$127)</f>
        <v>58.764927742455995</v>
      </c>
      <c r="AB5" s="4">
        <f>IF(Graphs!$B$6="Yes",H5,$Y$127)</f>
        <v>0.12834955082999197</v>
      </c>
      <c r="AC5" s="4">
        <f>IF(Graphs!$B$6="Yes",I5,$Y$127)</f>
        <v>3.2199960406825201</v>
      </c>
      <c r="AD5" s="4">
        <f>IF(Graphs!$B$6="Yes",J5,$Y$127)</f>
        <v>6.5292526411974832</v>
      </c>
      <c r="AE5" s="4">
        <f>IF(Graphs!$B$6="Yes",K5,$Y$127)</f>
        <v>2.8522482853364641</v>
      </c>
      <c r="AF5" s="4">
        <f>IF(Graphs!$B$6="Yes",L5,$Y$127)</f>
        <v>8.4417389274033336</v>
      </c>
      <c r="AG5" s="4">
        <f>IF(Graphs!$B$6="Yes",M5,$Y$127)</f>
        <v>26.472985050332593</v>
      </c>
      <c r="AH5" s="27">
        <f>IF(Graphs!$B$6="Yes",N5,$Y$127)</f>
        <v>1.3866282440568012</v>
      </c>
    </row>
    <row r="6" spans="1:34" x14ac:dyDescent="0.25">
      <c r="A6" s="2">
        <v>0</v>
      </c>
      <c r="B6" s="2" t="s">
        <v>27</v>
      </c>
      <c r="C6" s="2">
        <v>2793.8258514640311</v>
      </c>
      <c r="D6" s="15">
        <v>0.54</v>
      </c>
      <c r="E6" s="2">
        <f t="shared" si="0"/>
        <v>1320</v>
      </c>
      <c r="F6" s="15">
        <f>((2*C6*'String Lengths'!E6)^2)*E6/1000000000000</f>
        <v>270.39746981382171</v>
      </c>
      <c r="G6" s="15">
        <f t="shared" si="1"/>
        <v>61.926997573823385</v>
      </c>
      <c r="H6" s="15">
        <f>PI()*(D6^2)*E6*'String Lengths'!E6*C6/2000000000</f>
        <v>0.13682506979525957</v>
      </c>
      <c r="I6" s="15">
        <f>4*G6/'String Lengths'!E6</f>
        <v>3.0581233369789325</v>
      </c>
      <c r="J6" s="15">
        <f>_xlfn.XLOOKUP(D6,'Gut E est'!$A$5:$A$74,'Gut E est'!$B$5:$B$74,,-1,1)</f>
        <v>6.5017808846108354</v>
      </c>
      <c r="K6" s="15">
        <f>J6*(PI()^3)*(D6^4)/(0.128*G6*('String Lengths'!E6^2)*$K$127)</f>
        <v>2.5458435586680079</v>
      </c>
      <c r="L6" s="15">
        <f>0.008*('String Lengths'!E6^2)*C6*SQRT('Misc ref'!$B$9*E6/(J6*1000000000))/(PI()*D6)</f>
        <v>8.9353120543672677</v>
      </c>
      <c r="M6" s="15">
        <f t="shared" si="2"/>
        <v>24.963705808389452</v>
      </c>
      <c r="N6" s="15">
        <f t="shared" si="3"/>
        <v>1.4890515408448739</v>
      </c>
      <c r="W6" s="36">
        <f>IF(OR(Graphs!$B$6="Yes",Graphs!$B$7="Yes",Graphs!$B$8="Yes"),F6,$Y$127)</f>
        <v>270.39746981382171</v>
      </c>
      <c r="Y6" s="26">
        <f>IF(Graphs!$B$6="Yes",D6,$Y$127)</f>
        <v>0.54</v>
      </c>
      <c r="Z6" s="4">
        <f>IF(Graphs!$B$6="Yes",E6,$Y$127)</f>
        <v>1320</v>
      </c>
      <c r="AA6" s="4">
        <f>IF(Graphs!$B$6="Yes",G6,$Y$127)</f>
        <v>61.926997573823385</v>
      </c>
      <c r="AB6" s="4">
        <f>IF(Graphs!$B$6="Yes",H6,$Y$127)</f>
        <v>0.13682506979525957</v>
      </c>
      <c r="AC6" s="4">
        <f>IF(Graphs!$B$6="Yes",I6,$Y$127)</f>
        <v>3.0581233369789325</v>
      </c>
      <c r="AD6" s="4">
        <f>IF(Graphs!$B$6="Yes",J6,$Y$127)</f>
        <v>6.5017808846108354</v>
      </c>
      <c r="AE6" s="4">
        <f>IF(Graphs!$B$6="Yes",K6,$Y$127)</f>
        <v>2.5458435586680079</v>
      </c>
      <c r="AF6" s="4">
        <f>IF(Graphs!$B$6="Yes",L6,$Y$127)</f>
        <v>8.9353120543672677</v>
      </c>
      <c r="AG6" s="4">
        <f>IF(Graphs!$B$6="Yes",M6,$Y$127)</f>
        <v>24.963705808389452</v>
      </c>
      <c r="AH6" s="27">
        <f>IF(Graphs!$B$6="Yes",N6,$Y$127)</f>
        <v>1.4890515408448739</v>
      </c>
    </row>
    <row r="7" spans="1:34" x14ac:dyDescent="0.25">
      <c r="A7" s="3">
        <v>1</v>
      </c>
      <c r="B7" s="3" t="s">
        <v>28</v>
      </c>
      <c r="C7" s="3">
        <v>2637.0204553029594</v>
      </c>
      <c r="D7" s="4">
        <v>0.56000000000000005</v>
      </c>
      <c r="E7" s="3">
        <f t="shared" si="0"/>
        <v>1320</v>
      </c>
      <c r="F7" s="4">
        <f>((2*C7*'String Lengths'!E7)^2)*E7/1000000000000</f>
        <v>277.90696094031051</v>
      </c>
      <c r="G7" s="4">
        <f t="shared" si="1"/>
        <v>68.448724602729143</v>
      </c>
      <c r="H7" s="4">
        <f>PI()*(D7^2)*E7*'String Lengths'!E7*C7/2000000000</f>
        <v>0.14917725569297252</v>
      </c>
      <c r="I7" s="4">
        <f>4*G7/'String Lengths'!E7</f>
        <v>3.1470677978266273</v>
      </c>
      <c r="J7" s="4">
        <f>_xlfn.XLOOKUP(D7,'Gut E est'!$A$5:$A$74,'Gut E est'!$B$5:$B$74,,-1,1)</f>
        <v>6.4735158195218414</v>
      </c>
      <c r="K7" s="4">
        <f>J7*(PI()^3)*(D7^4)/(0.128*G7*('String Lengths'!E7^2)*$K$127)</f>
        <v>2.2991264753104539</v>
      </c>
      <c r="L7" s="4">
        <f>0.008*('String Lengths'!E7^2)*C7*SQRT('Misc ref'!$B$9*E7/(J7*1000000000))/(PI()*D7)</f>
        <v>9.402517479415339</v>
      </c>
      <c r="M7" s="4">
        <f t="shared" si="2"/>
        <v>24.794630924561872</v>
      </c>
      <c r="N7" s="4">
        <f t="shared" si="3"/>
        <v>1.594432539734159</v>
      </c>
      <c r="W7" s="36">
        <f>IF(OR(Graphs!$B$6="Yes",Graphs!$B$7="Yes",Graphs!$B$8="Yes"),F7,$Y$127)</f>
        <v>277.90696094031051</v>
      </c>
      <c r="Y7" s="26">
        <f>IF(Graphs!$B$6="Yes",D7,$Y$127)</f>
        <v>0.56000000000000005</v>
      </c>
      <c r="Z7" s="4">
        <f>IF(Graphs!$B$6="Yes",E7,$Y$127)</f>
        <v>1320</v>
      </c>
      <c r="AA7" s="4">
        <f>IF(Graphs!$B$6="Yes",G7,$Y$127)</f>
        <v>68.448724602729143</v>
      </c>
      <c r="AB7" s="4">
        <f>IF(Graphs!$B$6="Yes",H7,$Y$127)</f>
        <v>0.14917725569297252</v>
      </c>
      <c r="AC7" s="4">
        <f>IF(Graphs!$B$6="Yes",I7,$Y$127)</f>
        <v>3.1470677978266273</v>
      </c>
      <c r="AD7" s="4">
        <f>IF(Graphs!$B$6="Yes",J7,$Y$127)</f>
        <v>6.4735158195218414</v>
      </c>
      <c r="AE7" s="4">
        <f>IF(Graphs!$B$6="Yes",K7,$Y$127)</f>
        <v>2.2991264753104539</v>
      </c>
      <c r="AF7" s="4">
        <f>IF(Graphs!$B$6="Yes",L7,$Y$127)</f>
        <v>9.402517479415339</v>
      </c>
      <c r="AG7" s="4">
        <f>IF(Graphs!$B$6="Yes",M7,$Y$127)</f>
        <v>24.794630924561872</v>
      </c>
      <c r="AH7" s="27">
        <f>IF(Graphs!$B$6="Yes",N7,$Y$127)</f>
        <v>1.594432539734159</v>
      </c>
    </row>
    <row r="8" spans="1:34" x14ac:dyDescent="0.25">
      <c r="A8" s="3">
        <v>2</v>
      </c>
      <c r="B8" s="3" t="s">
        <v>29</v>
      </c>
      <c r="C8" s="3">
        <v>2349.3181433392606</v>
      </c>
      <c r="D8" s="4">
        <v>0.57999999999999996</v>
      </c>
      <c r="E8" s="3">
        <f t="shared" si="0"/>
        <v>1320</v>
      </c>
      <c r="F8" s="4">
        <f>((2*C8*'String Lengths'!E8)^2)*E8/1000000000000</f>
        <v>263.00548053686464</v>
      </c>
      <c r="G8" s="4">
        <f t="shared" si="1"/>
        <v>69.488136791262093</v>
      </c>
      <c r="H8" s="4">
        <f>PI()*(D8^2)*E8*'String Lengths'!E8*C8/2000000000</f>
        <v>0.15567369484647564</v>
      </c>
      <c r="I8" s="4">
        <f>4*G8/'String Lengths'!E8</f>
        <v>2.9258162859478776</v>
      </c>
      <c r="J8" s="4">
        <f>_xlfn.XLOOKUP(D8,'Gut E est'!$A$5:$A$74,'Gut E est'!$B$5:$B$74,,-1,1)</f>
        <v>6.4444810902804077</v>
      </c>
      <c r="K8" s="4">
        <f>J8*(PI()^3)*(D8^4)/(0.128*G8*('String Lengths'!E8^2)*$K$127)</f>
        <v>2.1757873974555149</v>
      </c>
      <c r="L8" s="4">
        <f>0.008*('String Lengths'!E8^2)*C8*SQRT('Misc ref'!$B$9*E8/(J8*1000000000))/(PI()*D8)</f>
        <v>9.6653448148997487</v>
      </c>
      <c r="M8" s="4">
        <f t="shared" si="2"/>
        <v>22.706969935274028</v>
      </c>
      <c r="N8" s="4">
        <f t="shared" si="3"/>
        <v>1.7026830871964969</v>
      </c>
      <c r="W8" s="36">
        <f>IF(OR(Graphs!$B$6="Yes",Graphs!$B$7="Yes",Graphs!$B$8="Yes"),F8,$Y$127)</f>
        <v>263.00548053686464</v>
      </c>
      <c r="Y8" s="26">
        <f>IF(Graphs!$B$6="Yes",D8,$Y$127)</f>
        <v>0.57999999999999996</v>
      </c>
      <c r="Z8" s="4">
        <f>IF(Graphs!$B$6="Yes",E8,$Y$127)</f>
        <v>1320</v>
      </c>
      <c r="AA8" s="4">
        <f>IF(Graphs!$B$6="Yes",G8,$Y$127)</f>
        <v>69.488136791262093</v>
      </c>
      <c r="AB8" s="4">
        <f>IF(Graphs!$B$6="Yes",H8,$Y$127)</f>
        <v>0.15567369484647564</v>
      </c>
      <c r="AC8" s="4">
        <f>IF(Graphs!$B$6="Yes",I8,$Y$127)</f>
        <v>2.9258162859478776</v>
      </c>
      <c r="AD8" s="4">
        <f>IF(Graphs!$B$6="Yes",J8,$Y$127)</f>
        <v>6.4444810902804077</v>
      </c>
      <c r="AE8" s="4">
        <f>IF(Graphs!$B$6="Yes",K8,$Y$127)</f>
        <v>2.1757873974555149</v>
      </c>
      <c r="AF8" s="4">
        <f>IF(Graphs!$B$6="Yes",L8,$Y$127)</f>
        <v>9.6653448148997487</v>
      </c>
      <c r="AG8" s="4">
        <f>IF(Graphs!$B$6="Yes",M8,$Y$127)</f>
        <v>22.706969935274028</v>
      </c>
      <c r="AH8" s="27">
        <f>IF(Graphs!$B$6="Yes",N8,$Y$127)</f>
        <v>1.7026830871964969</v>
      </c>
    </row>
    <row r="9" spans="1:34" x14ac:dyDescent="0.25">
      <c r="A9" s="3">
        <v>3</v>
      </c>
      <c r="B9" s="3" t="s">
        <v>30</v>
      </c>
      <c r="C9" s="3">
        <v>2093.0045224047894</v>
      </c>
      <c r="D9" s="4">
        <v>0.6</v>
      </c>
      <c r="E9" s="3">
        <f t="shared" si="0"/>
        <v>1320</v>
      </c>
      <c r="F9" s="4">
        <f>((2*C9*'String Lengths'!E9)^2)*E9/1000000000000</f>
        <v>245.38539209147257</v>
      </c>
      <c r="G9" s="4">
        <f t="shared" si="1"/>
        <v>69.381085058353904</v>
      </c>
      <c r="H9" s="4">
        <f>PI()*(D9^2)*E9*'String Lengths'!E9*C9/2000000000</f>
        <v>0.16091765697259167</v>
      </c>
      <c r="I9" s="4">
        <f>4*G9/'String Lengths'!E9</f>
        <v>2.6944110702273361</v>
      </c>
      <c r="J9" s="4">
        <f>_xlfn.XLOOKUP(D9,'Gut E est'!$A$5:$A$74,'Gut E est'!$B$5:$B$74,,-1,1)</f>
        <v>6.4147006498018122</v>
      </c>
      <c r="K9" s="4">
        <f>J9*(PI()^3)*(D9^4)/(0.128*G9*('String Lengths'!E9^2)*$K$127)</f>
        <v>2.1131983618929087</v>
      </c>
      <c r="L9" s="4">
        <f>0.008*('String Lengths'!E9^2)*C9*SQRT('Misc ref'!$B$9*E9/(J9*1000000000))/(PI()*D9)</f>
        <v>9.8074352161675957</v>
      </c>
      <c r="M9" s="4">
        <f t="shared" si="2"/>
        <v>20.527006260630774</v>
      </c>
      <c r="N9" s="4">
        <f t="shared" si="3"/>
        <v>1.8137138792755541</v>
      </c>
      <c r="W9" s="36">
        <f>IF(OR(Graphs!$B$6="Yes",Graphs!$B$7="Yes",Graphs!$B$8="Yes"),F9,$Y$127)</f>
        <v>245.38539209147257</v>
      </c>
      <c r="Y9" s="26">
        <f>IF(Graphs!$B$6="Yes",D9,$Y$127)</f>
        <v>0.6</v>
      </c>
      <c r="Z9" s="4">
        <f>IF(Graphs!$B$6="Yes",E9,$Y$127)</f>
        <v>1320</v>
      </c>
      <c r="AA9" s="4">
        <f>IF(Graphs!$B$6="Yes",G9,$Y$127)</f>
        <v>69.381085058353904</v>
      </c>
      <c r="AB9" s="4">
        <f>IF(Graphs!$B$6="Yes",H9,$Y$127)</f>
        <v>0.16091765697259167</v>
      </c>
      <c r="AC9" s="4">
        <f>IF(Graphs!$B$6="Yes",I9,$Y$127)</f>
        <v>2.6944110702273361</v>
      </c>
      <c r="AD9" s="4">
        <f>IF(Graphs!$B$6="Yes",J9,$Y$127)</f>
        <v>6.4147006498018122</v>
      </c>
      <c r="AE9" s="4">
        <f>IF(Graphs!$B$6="Yes",K9,$Y$127)</f>
        <v>2.1131983618929087</v>
      </c>
      <c r="AF9" s="4">
        <f>IF(Graphs!$B$6="Yes",L9,$Y$127)</f>
        <v>9.8074352161675957</v>
      </c>
      <c r="AG9" s="4">
        <f>IF(Graphs!$B$6="Yes",M9,$Y$127)</f>
        <v>20.527006260630774</v>
      </c>
      <c r="AH9" s="27">
        <f>IF(Graphs!$B$6="Yes",N9,$Y$127)</f>
        <v>1.8137138792755541</v>
      </c>
    </row>
    <row r="10" spans="1:34" x14ac:dyDescent="0.25">
      <c r="A10" s="3">
        <v>4</v>
      </c>
      <c r="B10" s="3" t="s">
        <v>31</v>
      </c>
      <c r="C10" s="3">
        <v>1975.5332050244965</v>
      </c>
      <c r="D10" s="4">
        <v>0.62</v>
      </c>
      <c r="E10" s="3">
        <f t="shared" si="0"/>
        <v>1320</v>
      </c>
      <c r="F10" s="4">
        <f>((2*C10*'String Lengths'!E10)^2)*E10/1000000000000</f>
        <v>263.123402838949</v>
      </c>
      <c r="G10" s="4">
        <f t="shared" si="1"/>
        <v>79.438811392188072</v>
      </c>
      <c r="H10" s="4">
        <f>PI()*(D10^2)*E10*'String Lengths'!E10*C10/2000000000</f>
        <v>0.17792622495950458</v>
      </c>
      <c r="I10" s="4">
        <f>4*G10/'String Lengths'!E10</f>
        <v>2.8119933236172767</v>
      </c>
      <c r="J10" s="4">
        <f>_xlfn.XLOOKUP(D10,'Gut E est'!$A$5:$A$74,'Gut E est'!$B$5:$B$74,,-1,1)</f>
        <v>6.3841987153685906</v>
      </c>
      <c r="K10" s="4">
        <f>J10*(PI()^3)*(D10^4)/(0.128*G10*('String Lengths'!E10^2)*$K$127)</f>
        <v>1.7400348100733378</v>
      </c>
      <c r="L10" s="4">
        <f>0.008*('String Lengths'!E10^2)*C10*SQRT('Misc ref'!$B$9*E10/(J10*1000000000))/(PI()*D10)</f>
        <v>10.808031765178164</v>
      </c>
      <c r="M10" s="4">
        <f t="shared" si="2"/>
        <v>21.351625633068988</v>
      </c>
      <c r="N10" s="4">
        <f t="shared" si="3"/>
        <v>1.9274346263712245</v>
      </c>
      <c r="W10" s="36">
        <f>IF(OR(Graphs!$B$6="Yes",Graphs!$B$7="Yes",Graphs!$B$8="Yes"),F10,$Y$127)</f>
        <v>263.123402838949</v>
      </c>
      <c r="Y10" s="26">
        <f>IF(Graphs!$B$6="Yes",D10,$Y$127)</f>
        <v>0.62</v>
      </c>
      <c r="Z10" s="4">
        <f>IF(Graphs!$B$6="Yes",E10,$Y$127)</f>
        <v>1320</v>
      </c>
      <c r="AA10" s="4">
        <f>IF(Graphs!$B$6="Yes",G10,$Y$127)</f>
        <v>79.438811392188072</v>
      </c>
      <c r="AB10" s="4">
        <f>IF(Graphs!$B$6="Yes",H10,$Y$127)</f>
        <v>0.17792622495950458</v>
      </c>
      <c r="AC10" s="4">
        <f>IF(Graphs!$B$6="Yes",I10,$Y$127)</f>
        <v>2.8119933236172767</v>
      </c>
      <c r="AD10" s="4">
        <f>IF(Graphs!$B$6="Yes",J10,$Y$127)</f>
        <v>6.3841987153685906</v>
      </c>
      <c r="AE10" s="4">
        <f>IF(Graphs!$B$6="Yes",K10,$Y$127)</f>
        <v>1.7400348100733378</v>
      </c>
      <c r="AF10" s="4">
        <f>IF(Graphs!$B$6="Yes",L10,$Y$127)</f>
        <v>10.808031765178164</v>
      </c>
      <c r="AG10" s="4">
        <f>IF(Graphs!$B$6="Yes",M10,$Y$127)</f>
        <v>21.351625633068988</v>
      </c>
      <c r="AH10" s="27">
        <f>IF(Graphs!$B$6="Yes",N10,$Y$127)</f>
        <v>1.9274346263712245</v>
      </c>
    </row>
    <row r="11" spans="1:34" x14ac:dyDescent="0.25">
      <c r="A11" s="3">
        <v>5</v>
      </c>
      <c r="B11" s="3" t="s">
        <v>32</v>
      </c>
      <c r="C11" s="3">
        <v>1760</v>
      </c>
      <c r="D11" s="4">
        <v>0.64</v>
      </c>
      <c r="E11" s="3">
        <f t="shared" si="0"/>
        <v>1320</v>
      </c>
      <c r="F11" s="4">
        <f>((2*C11*'String Lengths'!E11)^2)*E11/1000000000000</f>
        <v>243.432701952</v>
      </c>
      <c r="G11" s="4">
        <f t="shared" si="1"/>
        <v>78.3120781410219</v>
      </c>
      <c r="H11" s="4">
        <f>PI()*(D11^2)*E11*'String Lengths'!E11*C11/2000000000</f>
        <v>0.18235860222853459</v>
      </c>
      <c r="I11" s="4">
        <f>4*G11/'String Lengths'!E11</f>
        <v>2.5676091193777673</v>
      </c>
      <c r="J11" s="4">
        <f>_xlfn.XLOOKUP(D11,'Gut E est'!$A$5:$A$74,'Gut E est'!$B$5:$B$74,,-1,1)</f>
        <v>6.4212086514912716</v>
      </c>
      <c r="K11" s="4">
        <f>J11*(PI()^3)*(D11^4)/(0.128*G11*('String Lengths'!E11^2)*$K$127)</f>
        <v>1.7292694710266463</v>
      </c>
      <c r="L11" s="4">
        <f>0.008*('String Lengths'!E11^2)*C11*SQRT('Misc ref'!$B$9*E11/(J11*1000000000))/(PI()*D11)</f>
        <v>10.841621557311196</v>
      </c>
      <c r="M11" s="4">
        <f t="shared" si="2"/>
        <v>19.081253940867704</v>
      </c>
      <c r="N11" s="4">
        <f t="shared" si="3"/>
        <v>2.0656969652932813</v>
      </c>
      <c r="W11" s="36">
        <f>IF(OR(Graphs!$B$6="Yes",Graphs!$B$7="Yes",Graphs!$B$8="Yes"),F11,$Y$127)</f>
        <v>243.432701952</v>
      </c>
      <c r="Y11" s="26">
        <f>IF(Graphs!$B$6="Yes",D11,$Y$127)</f>
        <v>0.64</v>
      </c>
      <c r="Z11" s="4">
        <f>IF(Graphs!$B$6="Yes",E11,$Y$127)</f>
        <v>1320</v>
      </c>
      <c r="AA11" s="4">
        <f>IF(Graphs!$B$6="Yes",G11,$Y$127)</f>
        <v>78.3120781410219</v>
      </c>
      <c r="AB11" s="4">
        <f>IF(Graphs!$B$6="Yes",H11,$Y$127)</f>
        <v>0.18235860222853459</v>
      </c>
      <c r="AC11" s="4">
        <f>IF(Graphs!$B$6="Yes",I11,$Y$127)</f>
        <v>2.5676091193777673</v>
      </c>
      <c r="AD11" s="4">
        <f>IF(Graphs!$B$6="Yes",J11,$Y$127)</f>
        <v>6.4212086514912716</v>
      </c>
      <c r="AE11" s="4">
        <f>IF(Graphs!$B$6="Yes",K11,$Y$127)</f>
        <v>1.7292694710266463</v>
      </c>
      <c r="AF11" s="4">
        <f>IF(Graphs!$B$6="Yes",L11,$Y$127)</f>
        <v>10.841621557311196</v>
      </c>
      <c r="AG11" s="4">
        <f>IF(Graphs!$B$6="Yes",M11,$Y$127)</f>
        <v>19.081253940867704</v>
      </c>
      <c r="AH11" s="27">
        <f>IF(Graphs!$B$6="Yes",N11,$Y$127)</f>
        <v>2.0656969652932813</v>
      </c>
    </row>
    <row r="12" spans="1:34" x14ac:dyDescent="0.25">
      <c r="A12" s="3">
        <v>6</v>
      </c>
      <c r="B12" s="3" t="s">
        <v>33</v>
      </c>
      <c r="C12" s="3">
        <v>1567.9817439269971</v>
      </c>
      <c r="D12" s="4">
        <v>0.66</v>
      </c>
      <c r="E12" s="3">
        <f t="shared" si="0"/>
        <v>1320</v>
      </c>
      <c r="F12" s="4">
        <f>((2*C12*'String Lengths'!E12)^2)*E12/1000000000000</f>
        <v>229.62502056469307</v>
      </c>
      <c r="G12" s="4">
        <f t="shared" si="1"/>
        <v>78.559183440053857</v>
      </c>
      <c r="H12" s="4">
        <f>PI()*(D12^2)*E12*'String Lengths'!E12*C12/2000000000</f>
        <v>0.18835377212413415</v>
      </c>
      <c r="I12" s="4">
        <f>4*G12/'String Lengths'!E12</f>
        <v>2.3626822087234243</v>
      </c>
      <c r="J12" s="4">
        <f>_xlfn.XLOOKUP(D12,'Gut E est'!$A$5:$A$74,'Gut E est'!$B$5:$B$74,,-1,1)</f>
        <v>6.3929857543498434</v>
      </c>
      <c r="K12" s="4">
        <f>J12*(PI()^3)*(D12^4)/(0.128*G12*('String Lengths'!E12^2)*$K$127)</f>
        <v>1.6332536700476747</v>
      </c>
      <c r="L12" s="4">
        <f>0.008*('String Lengths'!E12^2)*C12*SQRT('Misc ref'!$B$9*E12/(J12*1000000000))/(PI()*D12)</f>
        <v>11.155749644652742</v>
      </c>
      <c r="M12" s="4">
        <f t="shared" si="2"/>
        <v>17.492011782635586</v>
      </c>
      <c r="N12" s="4">
        <f t="shared" si="3"/>
        <v>2.1871647060522572</v>
      </c>
      <c r="W12" s="36">
        <f>IF(OR(Graphs!$B$6="Yes",Graphs!$B$7="Yes",Graphs!$B$8="Yes"),F12,$Y$127)</f>
        <v>229.62502056469307</v>
      </c>
      <c r="Y12" s="26">
        <f>IF(Graphs!$B$6="Yes",D12,$Y$127)</f>
        <v>0.66</v>
      </c>
      <c r="Z12" s="4">
        <f>IF(Graphs!$B$6="Yes",E12,$Y$127)</f>
        <v>1320</v>
      </c>
      <c r="AA12" s="4">
        <f>IF(Graphs!$B$6="Yes",G12,$Y$127)</f>
        <v>78.559183440053857</v>
      </c>
      <c r="AB12" s="4">
        <f>IF(Graphs!$B$6="Yes",H12,$Y$127)</f>
        <v>0.18835377212413415</v>
      </c>
      <c r="AC12" s="4">
        <f>IF(Graphs!$B$6="Yes",I12,$Y$127)</f>
        <v>2.3626822087234243</v>
      </c>
      <c r="AD12" s="4">
        <f>IF(Graphs!$B$6="Yes",J12,$Y$127)</f>
        <v>6.3929857543498434</v>
      </c>
      <c r="AE12" s="4">
        <f>IF(Graphs!$B$6="Yes",K12,$Y$127)</f>
        <v>1.6332536700476747</v>
      </c>
      <c r="AF12" s="4">
        <f>IF(Graphs!$B$6="Yes",L12,$Y$127)</f>
        <v>11.155749644652742</v>
      </c>
      <c r="AG12" s="4">
        <f>IF(Graphs!$B$6="Yes",M12,$Y$127)</f>
        <v>17.492011782635586</v>
      </c>
      <c r="AH12" s="27">
        <f>IF(Graphs!$B$6="Yes",N12,$Y$127)</f>
        <v>2.1871647060522572</v>
      </c>
    </row>
    <row r="13" spans="1:34" x14ac:dyDescent="0.25">
      <c r="A13" s="2">
        <v>7</v>
      </c>
      <c r="B13" s="2" t="s">
        <v>34</v>
      </c>
      <c r="C13" s="2">
        <v>1396.9129257320155</v>
      </c>
      <c r="D13" s="15">
        <v>0.68</v>
      </c>
      <c r="E13" s="2">
        <f t="shared" si="0"/>
        <v>1320</v>
      </c>
      <c r="F13" s="15">
        <f>((2*C13*'String Lengths'!E13)^2)*E13/1000000000000</f>
        <v>213.64738355659986</v>
      </c>
      <c r="G13" s="15">
        <f t="shared" si="1"/>
        <v>77.589916653994976</v>
      </c>
      <c r="H13" s="15">
        <f>PI()*(D13^2)*E13*'String Lengths'!E13*C13/2000000000</f>
        <v>0.19286057696487743</v>
      </c>
      <c r="I13" s="15">
        <f>4*G13/'String Lengths'!E13</f>
        <v>2.1552754626109714</v>
      </c>
      <c r="J13" s="15">
        <f>_xlfn.XLOOKUP(D13,'Gut E est'!$A$5:$A$74,'Gut E est'!$B$5:$B$74,,-1,1)</f>
        <v>6.3641529512957193</v>
      </c>
      <c r="K13" s="15">
        <f>J13*(PI()^3)*(D13^4)/(0.128*G13*('String Lengths'!E13^2)*$K$127)</f>
        <v>1.5824150195102227</v>
      </c>
      <c r="L13" s="15">
        <f>0.008*('String Lengths'!E13^2)*C13*SQRT('Misc ref'!$B$9*E13/(J13*1000000000))/(PI()*D13)</f>
        <v>11.333534801388176</v>
      </c>
      <c r="M13" s="15">
        <f t="shared" si="2"/>
        <v>15.831961258292775</v>
      </c>
      <c r="N13" s="15">
        <f t="shared" si="3"/>
        <v>2.3112574038777978</v>
      </c>
      <c r="W13" s="36">
        <f>IF(OR(Graphs!$B$6="Yes",Graphs!$B$7="Yes",Graphs!$B$8="Yes"),F13,$Y$127)</f>
        <v>213.64738355659986</v>
      </c>
      <c r="Y13" s="26">
        <f>IF(Graphs!$B$6="Yes",D13,$Y$127)</f>
        <v>0.68</v>
      </c>
      <c r="Z13" s="4">
        <f>IF(Graphs!$B$6="Yes",E13,$Y$127)</f>
        <v>1320</v>
      </c>
      <c r="AA13" s="4">
        <f>IF(Graphs!$B$6="Yes",G13,$Y$127)</f>
        <v>77.589916653994976</v>
      </c>
      <c r="AB13" s="4">
        <f>IF(Graphs!$B$6="Yes",H13,$Y$127)</f>
        <v>0.19286057696487743</v>
      </c>
      <c r="AC13" s="4">
        <f>IF(Graphs!$B$6="Yes",I13,$Y$127)</f>
        <v>2.1552754626109714</v>
      </c>
      <c r="AD13" s="4">
        <f>IF(Graphs!$B$6="Yes",J13,$Y$127)</f>
        <v>6.3641529512957193</v>
      </c>
      <c r="AE13" s="4">
        <f>IF(Graphs!$B$6="Yes",K13,$Y$127)</f>
        <v>1.5824150195102227</v>
      </c>
      <c r="AF13" s="4">
        <f>IF(Graphs!$B$6="Yes",L13,$Y$127)</f>
        <v>11.333534801388176</v>
      </c>
      <c r="AG13" s="4">
        <f>IF(Graphs!$B$6="Yes",M13,$Y$127)</f>
        <v>15.831961258292775</v>
      </c>
      <c r="AH13" s="27">
        <f>IF(Graphs!$B$6="Yes",N13,$Y$127)</f>
        <v>2.3112574038777978</v>
      </c>
    </row>
    <row r="14" spans="1:34" x14ac:dyDescent="0.25">
      <c r="A14" s="3">
        <v>8</v>
      </c>
      <c r="B14" s="3" t="s">
        <v>35</v>
      </c>
      <c r="C14" s="3">
        <v>1318.5102276514797</v>
      </c>
      <c r="D14" s="4">
        <v>0.7</v>
      </c>
      <c r="E14" s="3">
        <f t="shared" si="0"/>
        <v>1320</v>
      </c>
      <c r="F14" s="4">
        <f>((2*C14*'String Lengths'!E14)^2)*E14/1000000000000</f>
        <v>217.69195024641311</v>
      </c>
      <c r="G14" s="4">
        <f t="shared" si="1"/>
        <v>83.777680375871356</v>
      </c>
      <c r="H14" s="4">
        <f>PI()*(D14^2)*E14*'String Lengths'!E14*C14/2000000000</f>
        <v>0.20629756983403161</v>
      </c>
      <c r="I14" s="4">
        <f>4*G14/'String Lengths'!E14</f>
        <v>2.1760436461265287</v>
      </c>
      <c r="J14" s="4">
        <f>_xlfn.XLOOKUP(D14,'Gut E est'!$A$5:$A$74,'Gut E est'!$B$5:$B$74,,-1,1)</f>
        <v>6.3347300476775441</v>
      </c>
      <c r="K14" s="4">
        <f>J14*(PI()^3)*(D14^4)/(0.128*G14*('String Lengths'!E14^2)*$K$127)</f>
        <v>1.432270033932765</v>
      </c>
      <c r="L14" s="4">
        <f>0.008*('String Lengths'!E14^2)*C14*SQRT('Misc ref'!$B$9*E14/(J14*1000000000))/(PI()*D14)</f>
        <v>11.9127801751997</v>
      </c>
      <c r="M14" s="4">
        <f t="shared" si="2"/>
        <v>15.707122500764591</v>
      </c>
      <c r="N14" s="4">
        <f t="shared" si="3"/>
        <v>2.4378898190816405</v>
      </c>
      <c r="W14" s="36">
        <f>IF(OR(Graphs!$B$6="Yes",Graphs!$B$7="Yes",Graphs!$B$8="Yes"),F14,$Y$127)</f>
        <v>217.69195024641311</v>
      </c>
      <c r="Y14" s="26">
        <f>IF(Graphs!$B$6="Yes",D14,$Y$127)</f>
        <v>0.7</v>
      </c>
      <c r="Z14" s="4">
        <f>IF(Graphs!$B$6="Yes",E14,$Y$127)</f>
        <v>1320</v>
      </c>
      <c r="AA14" s="4">
        <f>IF(Graphs!$B$6="Yes",G14,$Y$127)</f>
        <v>83.777680375871356</v>
      </c>
      <c r="AB14" s="4">
        <f>IF(Graphs!$B$6="Yes",H14,$Y$127)</f>
        <v>0.20629756983403161</v>
      </c>
      <c r="AC14" s="4">
        <f>IF(Graphs!$B$6="Yes",I14,$Y$127)</f>
        <v>2.1760436461265287</v>
      </c>
      <c r="AD14" s="4">
        <f>IF(Graphs!$B$6="Yes",J14,$Y$127)</f>
        <v>6.3347300476775441</v>
      </c>
      <c r="AE14" s="4">
        <f>IF(Graphs!$B$6="Yes",K14,$Y$127)</f>
        <v>1.432270033932765</v>
      </c>
      <c r="AF14" s="4">
        <f>IF(Graphs!$B$6="Yes",L14,$Y$127)</f>
        <v>11.9127801751997</v>
      </c>
      <c r="AG14" s="4">
        <f>IF(Graphs!$B$6="Yes",M14,$Y$127)</f>
        <v>15.707122500764591</v>
      </c>
      <c r="AH14" s="27">
        <f>IF(Graphs!$B$6="Yes",N14,$Y$127)</f>
        <v>2.4378898190816405</v>
      </c>
    </row>
    <row r="15" spans="1:34" x14ac:dyDescent="0.25">
      <c r="A15" s="3">
        <v>9</v>
      </c>
      <c r="B15" s="3" t="s">
        <v>36</v>
      </c>
      <c r="C15" s="3">
        <v>1174.6590716696303</v>
      </c>
      <c r="D15" s="4">
        <v>0.73</v>
      </c>
      <c r="E15" s="3">
        <f t="shared" si="0"/>
        <v>1320</v>
      </c>
      <c r="F15" s="4">
        <f>((2*C15*'String Lengths'!E15)^2)*E15/1000000000000</f>
        <v>208.08031937987238</v>
      </c>
      <c r="G15" s="4">
        <f t="shared" si="1"/>
        <v>87.0896624724286</v>
      </c>
      <c r="H15" s="4">
        <f>PI()*(D15^2)*E15*'String Lengths'!E15*C15/2000000000</f>
        <v>0.21935021786787465</v>
      </c>
      <c r="I15" s="4">
        <f>4*G15/'String Lengths'!E15</f>
        <v>2.0612937863296712</v>
      </c>
      <c r="J15" s="4">
        <f>_xlfn.XLOOKUP(D15,'Gut E est'!$A$5:$A$74,'Gut E est'!$B$5:$B$74,,-1,1)</f>
        <v>6.2895328487649378</v>
      </c>
      <c r="K15" s="4">
        <f>J15*(PI()^3)*(D15^4)/(0.128*G15*('String Lengths'!E15^2)*$K$127)</f>
        <v>1.3435202604902836</v>
      </c>
      <c r="L15" s="4">
        <f>0.008*('String Lengths'!E15^2)*C15*SQRT('Misc ref'!$B$9*E15/(J15*1000000000))/(PI()*D15)</f>
        <v>12.299953531381236</v>
      </c>
      <c r="M15" s="4">
        <f t="shared" si="2"/>
        <v>14.448251996751875</v>
      </c>
      <c r="N15" s="4">
        <f t="shared" si="3"/>
        <v>2.6324127843547274</v>
      </c>
      <c r="W15" s="36">
        <f>IF(OR(Graphs!$B$6="Yes",Graphs!$B$7="Yes",Graphs!$B$8="Yes"),F15,$Y$127)</f>
        <v>208.08031937987238</v>
      </c>
      <c r="Y15" s="26">
        <f>IF(Graphs!$B$6="Yes",D15,$Y$127)</f>
        <v>0.73</v>
      </c>
      <c r="Z15" s="4">
        <f>IF(Graphs!$B$6="Yes",E15,$Y$127)</f>
        <v>1320</v>
      </c>
      <c r="AA15" s="4">
        <f>IF(Graphs!$B$6="Yes",G15,$Y$127)</f>
        <v>87.0896624724286</v>
      </c>
      <c r="AB15" s="4">
        <f>IF(Graphs!$B$6="Yes",H15,$Y$127)</f>
        <v>0.21935021786787465</v>
      </c>
      <c r="AC15" s="4">
        <f>IF(Graphs!$B$6="Yes",I15,$Y$127)</f>
        <v>2.0612937863296712</v>
      </c>
      <c r="AD15" s="4">
        <f>IF(Graphs!$B$6="Yes",J15,$Y$127)</f>
        <v>6.2895328487649378</v>
      </c>
      <c r="AE15" s="4">
        <f>IF(Graphs!$B$6="Yes",K15,$Y$127)</f>
        <v>1.3435202604902836</v>
      </c>
      <c r="AF15" s="4">
        <f>IF(Graphs!$B$6="Yes",L15,$Y$127)</f>
        <v>12.299953531381236</v>
      </c>
      <c r="AG15" s="4">
        <f>IF(Graphs!$B$6="Yes",M15,$Y$127)</f>
        <v>14.448251996751875</v>
      </c>
      <c r="AH15" s="27">
        <f>IF(Graphs!$B$6="Yes",N15,$Y$127)</f>
        <v>2.6324127843547274</v>
      </c>
    </row>
    <row r="16" spans="1:34" x14ac:dyDescent="0.25">
      <c r="A16" s="3">
        <v>10</v>
      </c>
      <c r="B16" s="3" t="s">
        <v>37</v>
      </c>
      <c r="C16" s="3">
        <v>1046.5022612023947</v>
      </c>
      <c r="D16" s="4">
        <v>0.76</v>
      </c>
      <c r="E16" s="3">
        <f t="shared" si="0"/>
        <v>1320</v>
      </c>
      <c r="F16" s="4">
        <f>((2*C16*'String Lengths'!E16)^2)*E16/1000000000000</f>
        <v>191.5389227928631</v>
      </c>
      <c r="G16" s="4">
        <f t="shared" si="1"/>
        <v>86.890862181137862</v>
      </c>
      <c r="H16" s="4">
        <f>PI()*(D16^2)*E16*'String Lengths'!E16*C16/2000000000</f>
        <v>0.22810381657849446</v>
      </c>
      <c r="I16" s="4">
        <f>4*G16/'String Lengths'!E16</f>
        <v>1.9096892787063267</v>
      </c>
      <c r="J16" s="4">
        <f>_xlfn.XLOOKUP(D16,'Gut E est'!$A$5:$A$74,'Gut E est'!$B$5:$B$74,,-1,1)</f>
        <v>6.2431203080667235</v>
      </c>
      <c r="K16" s="4">
        <f>J16*(PI()^3)*(D16^4)/(0.128*G16*('String Lengths'!E16^2)*$K$127)</f>
        <v>1.3539842021449382</v>
      </c>
      <c r="L16" s="4">
        <f>0.008*('String Lengths'!E16^2)*C16*SQRT('Misc ref'!$B$9*E16/(J16*1000000000))/(PI()*D16)</f>
        <v>12.252332728346879</v>
      </c>
      <c r="M16" s="4">
        <f t="shared" si="2"/>
        <v>12.822093905219115</v>
      </c>
      <c r="N16" s="4">
        <f t="shared" si="3"/>
        <v>2.8321664252812715</v>
      </c>
      <c r="W16" s="36">
        <f>IF(OR(Graphs!$B$6="Yes",Graphs!$B$7="Yes",Graphs!$B$8="Yes"),F16,$Y$127)</f>
        <v>191.5389227928631</v>
      </c>
      <c r="Y16" s="26">
        <f>IF(Graphs!$B$6="Yes",D16,$Y$127)</f>
        <v>0.76</v>
      </c>
      <c r="Z16" s="4">
        <f>IF(Graphs!$B$6="Yes",E16,$Y$127)</f>
        <v>1320</v>
      </c>
      <c r="AA16" s="4">
        <f>IF(Graphs!$B$6="Yes",G16,$Y$127)</f>
        <v>86.890862181137862</v>
      </c>
      <c r="AB16" s="4">
        <f>IF(Graphs!$B$6="Yes",H16,$Y$127)</f>
        <v>0.22810381657849446</v>
      </c>
      <c r="AC16" s="4">
        <f>IF(Graphs!$B$6="Yes",I16,$Y$127)</f>
        <v>1.9096892787063267</v>
      </c>
      <c r="AD16" s="4">
        <f>IF(Graphs!$B$6="Yes",J16,$Y$127)</f>
        <v>6.2431203080667235</v>
      </c>
      <c r="AE16" s="4">
        <f>IF(Graphs!$B$6="Yes",K16,$Y$127)</f>
        <v>1.3539842021449382</v>
      </c>
      <c r="AF16" s="4">
        <f>IF(Graphs!$B$6="Yes",L16,$Y$127)</f>
        <v>12.252332728346879</v>
      </c>
      <c r="AG16" s="4">
        <f>IF(Graphs!$B$6="Yes",M16,$Y$127)</f>
        <v>12.822093905219115</v>
      </c>
      <c r="AH16" s="27">
        <f>IF(Graphs!$B$6="Yes",N16,$Y$127)</f>
        <v>2.8321664252812715</v>
      </c>
    </row>
    <row r="17" spans="1:34" x14ac:dyDescent="0.25">
      <c r="A17" s="3">
        <v>11</v>
      </c>
      <c r="B17" s="3" t="s">
        <v>38</v>
      </c>
      <c r="C17" s="3">
        <v>987.76660251224826</v>
      </c>
      <c r="D17" s="4">
        <v>0.8</v>
      </c>
      <c r="E17" s="3">
        <f t="shared" si="0"/>
        <v>1320</v>
      </c>
      <c r="F17" s="4">
        <f>((2*C17*'String Lengths'!E17)^2)*E17/1000000000000</f>
        <v>199.92865809336621</v>
      </c>
      <c r="G17" s="4">
        <f t="shared" si="1"/>
        <v>100.49510456130959</v>
      </c>
      <c r="H17" s="4">
        <f>PI()*(D17^2)*E17*'String Lengths'!E17*C17/2000000000</f>
        <v>0.25822265757109503</v>
      </c>
      <c r="I17" s="4">
        <f>4*G17/'String Lengths'!E17</f>
        <v>2.0405097372854737</v>
      </c>
      <c r="J17" s="4">
        <f>_xlfn.XLOOKUP(D17,'Gut E est'!$A$5:$A$74,'Gut E est'!$B$5:$B$74,,-1,1)</f>
        <v>6.2445770469577218</v>
      </c>
      <c r="K17" s="4">
        <f>J17*(PI()^3)*(D17^4)/(0.128*G17*('String Lengths'!E17^2)*$K$127)</f>
        <v>1.2270436834750733</v>
      </c>
      <c r="L17" s="4">
        <f>0.008*('String Lengths'!E17^2)*C17*SQRT('Misc ref'!$B$9*E17/(J17*1000000000))/(PI()*D17)</f>
        <v>12.870504436946796</v>
      </c>
      <c r="M17" s="4">
        <f t="shared" si="2"/>
        <v>12.713054440301754</v>
      </c>
      <c r="N17" s="4">
        <f t="shared" si="3"/>
        <v>3.1388667800796521</v>
      </c>
      <c r="W17" s="36">
        <f>IF(OR(Graphs!$B$6="Yes",Graphs!$B$7="Yes",Graphs!$B$8="Yes"),F17,$Y$127)</f>
        <v>199.92865809336621</v>
      </c>
      <c r="Y17" s="26">
        <f>IF(Graphs!$B$6="Yes",D17,$Y$127)</f>
        <v>0.8</v>
      </c>
      <c r="Z17" s="4">
        <f>IF(Graphs!$B$6="Yes",E17,$Y$127)</f>
        <v>1320</v>
      </c>
      <c r="AA17" s="4">
        <f>IF(Graphs!$B$6="Yes",G17,$Y$127)</f>
        <v>100.49510456130959</v>
      </c>
      <c r="AB17" s="4">
        <f>IF(Graphs!$B$6="Yes",H17,$Y$127)</f>
        <v>0.25822265757109503</v>
      </c>
      <c r="AC17" s="4">
        <f>IF(Graphs!$B$6="Yes",I17,$Y$127)</f>
        <v>2.0405097372854737</v>
      </c>
      <c r="AD17" s="4">
        <f>IF(Graphs!$B$6="Yes",J17,$Y$127)</f>
        <v>6.2445770469577218</v>
      </c>
      <c r="AE17" s="4">
        <f>IF(Graphs!$B$6="Yes",K17,$Y$127)</f>
        <v>1.2270436834750733</v>
      </c>
      <c r="AF17" s="4">
        <f>IF(Graphs!$B$6="Yes",L17,$Y$127)</f>
        <v>12.870504436946796</v>
      </c>
      <c r="AG17" s="4">
        <f>IF(Graphs!$B$6="Yes",M17,$Y$127)</f>
        <v>12.713054440301754</v>
      </c>
      <c r="AH17" s="27">
        <f>IF(Graphs!$B$6="Yes",N17,$Y$127)</f>
        <v>3.1388667800796521</v>
      </c>
    </row>
    <row r="18" spans="1:34" x14ac:dyDescent="0.25">
      <c r="A18" s="3">
        <v>12</v>
      </c>
      <c r="B18" s="3" t="s">
        <v>39</v>
      </c>
      <c r="C18" s="3">
        <v>880</v>
      </c>
      <c r="D18" s="4">
        <v>0.85</v>
      </c>
      <c r="E18" s="3">
        <f t="shared" si="0"/>
        <v>1320</v>
      </c>
      <c r="F18" s="4">
        <f>((2*C18*'String Lengths'!E18)^2)*E18/1000000000000</f>
        <v>185.50621900799999</v>
      </c>
      <c r="G18" s="4">
        <f t="shared" si="1"/>
        <v>105.26553607880457</v>
      </c>
      <c r="H18" s="4">
        <f>PI()*(D18^2)*E18*'String Lengths'!E18*C18/2000000000</f>
        <v>0.28079795155464299</v>
      </c>
      <c r="I18" s="4">
        <f>4*G18/'String Lengths'!E18</f>
        <v>1.9768175789446869</v>
      </c>
      <c r="J18" s="4">
        <f>_xlfn.XLOOKUP(D18,'Gut E est'!$A$5:$A$74,'Gut E est'!$B$5:$B$74,,-1,1)</f>
        <v>6.1689186455145038</v>
      </c>
      <c r="K18" s="4">
        <f>J18*(PI()^3)*(D18^4)/(0.128*G18*('String Lengths'!E18^2)*$K$127)</f>
        <v>1.2615769307341151</v>
      </c>
      <c r="L18" s="4">
        <f>0.008*('String Lengths'!E18^2)*C18*SQRT('Misc ref'!$B$9*E18/(J18*1000000000))/(PI()*D18)</f>
        <v>12.693129511265974</v>
      </c>
      <c r="M18" s="4">
        <f t="shared" si="2"/>
        <v>11.169953969914056</v>
      </c>
      <c r="N18" s="4">
        <f t="shared" si="3"/>
        <v>3.5005539529573011</v>
      </c>
      <c r="W18" s="36">
        <f>IF(OR(Graphs!$B$6="Yes",Graphs!$B$7="Yes",Graphs!$B$8="Yes"),F18,$Y$127)</f>
        <v>185.50621900799999</v>
      </c>
      <c r="Y18" s="26">
        <f>IF(Graphs!$B$6="Yes",D18,$Y$127)</f>
        <v>0.85</v>
      </c>
      <c r="Z18" s="4">
        <f>IF(Graphs!$B$6="Yes",E18,$Y$127)</f>
        <v>1320</v>
      </c>
      <c r="AA18" s="4">
        <f>IF(Graphs!$B$6="Yes",G18,$Y$127)</f>
        <v>105.26553607880457</v>
      </c>
      <c r="AB18" s="4">
        <f>IF(Graphs!$B$6="Yes",H18,$Y$127)</f>
        <v>0.28079795155464299</v>
      </c>
      <c r="AC18" s="4">
        <f>IF(Graphs!$B$6="Yes",I18,$Y$127)</f>
        <v>1.9768175789446869</v>
      </c>
      <c r="AD18" s="4">
        <f>IF(Graphs!$B$6="Yes",J18,$Y$127)</f>
        <v>6.1689186455145038</v>
      </c>
      <c r="AE18" s="4">
        <f>IF(Graphs!$B$6="Yes",K18,$Y$127)</f>
        <v>1.2615769307341151</v>
      </c>
      <c r="AF18" s="4">
        <f>IF(Graphs!$B$6="Yes",L18,$Y$127)</f>
        <v>12.693129511265974</v>
      </c>
      <c r="AG18" s="4">
        <f>IF(Graphs!$B$6="Yes",M18,$Y$127)</f>
        <v>11.169953969914056</v>
      </c>
      <c r="AH18" s="27">
        <f>IF(Graphs!$B$6="Yes",N18,$Y$127)</f>
        <v>3.5005539529573011</v>
      </c>
    </row>
    <row r="19" spans="1:34" x14ac:dyDescent="0.25">
      <c r="A19" s="3">
        <v>13</v>
      </c>
      <c r="B19" s="3" t="s">
        <v>40</v>
      </c>
      <c r="C19" s="3">
        <v>783.99087196349853</v>
      </c>
      <c r="D19" s="4">
        <v>0.88</v>
      </c>
      <c r="E19" s="3">
        <f t="shared" si="0"/>
        <v>1320</v>
      </c>
      <c r="F19" s="4">
        <f>((2*C19*'String Lengths'!E19)^2)*E19/1000000000000</f>
        <v>173.17288600758363</v>
      </c>
      <c r="G19" s="4">
        <f t="shared" si="1"/>
        <v>105.32588583098632</v>
      </c>
      <c r="H19" s="4">
        <f>PI()*(D19^2)*E19*'String Lengths'!E19*C19/2000000000</f>
        <v>0.29079178854252286</v>
      </c>
      <c r="I19" s="4">
        <f>4*G19/'String Lengths'!E19</f>
        <v>1.823824862874222</v>
      </c>
      <c r="J19" s="4">
        <f>_xlfn.XLOOKUP(D19,'Gut E est'!$A$5:$A$74,'Gut E est'!$B$5:$B$74,,-1,1)</f>
        <v>6.1222549688387407</v>
      </c>
      <c r="K19" s="4">
        <f>J19*(PI()^3)*(D19^4)/(0.128*G19*('String Lengths'!E19^2)*$K$127)</f>
        <v>1.2222426302506295</v>
      </c>
      <c r="L19" s="4">
        <f>0.008*('String Lengths'!E19^2)*C19*SQRT('Misc ref'!$B$9*E19/(J19*1000000000))/(PI()*D19)</f>
        <v>12.895757775932697</v>
      </c>
      <c r="M19" s="4">
        <f t="shared" si="2"/>
        <v>10.110156383383542</v>
      </c>
      <c r="N19" s="4">
        <f t="shared" si="3"/>
        <v>3.7236310068070315</v>
      </c>
      <c r="W19" s="36">
        <f>IF(OR(Graphs!$B$6="Yes",Graphs!$B$7="Yes",Graphs!$B$8="Yes"),F19,$Y$127)</f>
        <v>173.17288600758363</v>
      </c>
      <c r="Y19" s="26">
        <f>IF(Graphs!$B$6="Yes",D19,$Y$127)</f>
        <v>0.88</v>
      </c>
      <c r="Z19" s="4">
        <f>IF(Graphs!$B$6="Yes",E19,$Y$127)</f>
        <v>1320</v>
      </c>
      <c r="AA19" s="4">
        <f>IF(Graphs!$B$6="Yes",G19,$Y$127)</f>
        <v>105.32588583098632</v>
      </c>
      <c r="AB19" s="4">
        <f>IF(Graphs!$B$6="Yes",H19,$Y$127)</f>
        <v>0.29079178854252286</v>
      </c>
      <c r="AC19" s="4">
        <f>IF(Graphs!$B$6="Yes",I19,$Y$127)</f>
        <v>1.823824862874222</v>
      </c>
      <c r="AD19" s="4">
        <f>IF(Graphs!$B$6="Yes",J19,$Y$127)</f>
        <v>6.1222549688387407</v>
      </c>
      <c r="AE19" s="4">
        <f>IF(Graphs!$B$6="Yes",K19,$Y$127)</f>
        <v>1.2222426302506295</v>
      </c>
      <c r="AF19" s="4">
        <f>IF(Graphs!$B$6="Yes",L19,$Y$127)</f>
        <v>12.895757775932697</v>
      </c>
      <c r="AG19" s="4">
        <f>IF(Graphs!$B$6="Yes",M19,$Y$127)</f>
        <v>10.110156383383542</v>
      </c>
      <c r="AH19" s="27">
        <f>IF(Graphs!$B$6="Yes",N19,$Y$127)</f>
        <v>3.7236310068070315</v>
      </c>
    </row>
    <row r="20" spans="1:34" x14ac:dyDescent="0.25">
      <c r="A20" s="2">
        <v>14</v>
      </c>
      <c r="B20" s="2" t="s">
        <v>41</v>
      </c>
      <c r="C20" s="2">
        <v>698.45646286600777</v>
      </c>
      <c r="D20" s="15">
        <v>0.92</v>
      </c>
      <c r="E20" s="2">
        <f t="shared" si="0"/>
        <v>1320</v>
      </c>
      <c r="F20" s="15">
        <f>((2*C20*'String Lengths'!E20)^2)*E20/1000000000000</f>
        <v>160.98767207136734</v>
      </c>
      <c r="G20" s="15">
        <f t="shared" si="1"/>
        <v>107.01832675920207</v>
      </c>
      <c r="H20" s="15">
        <f>PI()*(D20^2)*E20*'String Lengths'!E20*C20/2000000000</f>
        <v>0.30644236956465098</v>
      </c>
      <c r="I20" s="15">
        <f>4*G20/'String Lengths'!E20</f>
        <v>1.7122932281472332</v>
      </c>
      <c r="J20" s="15">
        <f>_xlfn.XLOOKUP(D20,'Gut E est'!$A$5:$A$74,'Gut E est'!$B$5:$B$74,,-1,1)</f>
        <v>6.0586761016560011</v>
      </c>
      <c r="K20" s="15">
        <f>J20*(PI()^3)*(D20^4)/(0.128*G20*('String Lengths'!E20^2)*$K$127)</f>
        <v>1.2141302444815587</v>
      </c>
      <c r="L20" s="15">
        <f>0.008*('String Lengths'!E20^2)*C20*SQRT('Misc ref'!$B$9*E20/(J20*1000000000))/(PI()*D20)</f>
        <v>12.938768479717067</v>
      </c>
      <c r="M20" s="15">
        <f t="shared" si="2"/>
        <v>9.0371664661853757</v>
      </c>
      <c r="N20" s="15">
        <f t="shared" si="3"/>
        <v>4.0275716173332414</v>
      </c>
      <c r="W20" s="36">
        <f>IF(OR(Graphs!$B$6="Yes",Graphs!$B$7="Yes",Graphs!$B$8="Yes"),F20,$Y$127)</f>
        <v>160.98767207136734</v>
      </c>
      <c r="Y20" s="26">
        <f>IF(Graphs!$B$6="Yes",D20,$Y$127)</f>
        <v>0.92</v>
      </c>
      <c r="Z20" s="4">
        <f>IF(Graphs!$B$6="Yes",E20,$Y$127)</f>
        <v>1320</v>
      </c>
      <c r="AA20" s="4">
        <f>IF(Graphs!$B$6="Yes",G20,$Y$127)</f>
        <v>107.01832675920207</v>
      </c>
      <c r="AB20" s="4">
        <f>IF(Graphs!$B$6="Yes",H20,$Y$127)</f>
        <v>0.30644236956465098</v>
      </c>
      <c r="AC20" s="4">
        <f>IF(Graphs!$B$6="Yes",I20,$Y$127)</f>
        <v>1.7122932281472332</v>
      </c>
      <c r="AD20" s="4">
        <f>IF(Graphs!$B$6="Yes",J20,$Y$127)</f>
        <v>6.0586761016560011</v>
      </c>
      <c r="AE20" s="4">
        <f>IF(Graphs!$B$6="Yes",K20,$Y$127)</f>
        <v>1.2141302444815587</v>
      </c>
      <c r="AF20" s="4">
        <f>IF(Graphs!$B$6="Yes",L20,$Y$127)</f>
        <v>12.938768479717067</v>
      </c>
      <c r="AG20" s="4">
        <f>IF(Graphs!$B$6="Yes",M20,$Y$127)</f>
        <v>9.0371664661853757</v>
      </c>
      <c r="AH20" s="27">
        <f>IF(Graphs!$B$6="Yes",N20,$Y$127)</f>
        <v>4.0275716173332414</v>
      </c>
    </row>
    <row r="21" spans="1:34" x14ac:dyDescent="0.25">
      <c r="A21" s="3">
        <v>15</v>
      </c>
      <c r="B21" s="3" t="s">
        <v>42</v>
      </c>
      <c r="C21" s="3">
        <v>659.25511382573984</v>
      </c>
      <c r="D21" s="4">
        <v>0.95</v>
      </c>
      <c r="E21" s="3">
        <f t="shared" si="0"/>
        <v>1320</v>
      </c>
      <c r="F21" s="4">
        <f>((2*C21*'String Lengths'!E21)^2)*E21/1000000000000</f>
        <v>169.77695698084239</v>
      </c>
      <c r="G21" s="4">
        <f t="shared" si="1"/>
        <v>120.34161545546498</v>
      </c>
      <c r="H21" s="4">
        <f>PI()*(D21^2)*E21*'String Lengths'!E21*C21/2000000000</f>
        <v>0.33555478029988139</v>
      </c>
      <c r="I21" s="4">
        <f>4*G21/'String Lengths'!E21</f>
        <v>1.7697296390509556</v>
      </c>
      <c r="J21" s="4">
        <f>_xlfn.XLOOKUP(D21,'Gut E est'!$A$5:$A$74,'Gut E est'!$B$5:$B$74,,-1,1)</f>
        <v>6.0100455160736628</v>
      </c>
      <c r="K21" s="4">
        <f>J21*(PI()^3)*(D21^4)/(0.128*G21*('String Lengths'!E21^2)*$K$127)</f>
        <v>1.0287099572072975</v>
      </c>
      <c r="L21" s="4">
        <f>0.008*('String Lengths'!E21^2)*C21*SQRT('Misc ref'!$B$9*E21/(J21*1000000000))/(PI()*D21)</f>
        <v>14.056561885234176</v>
      </c>
      <c r="M21" s="4">
        <f t="shared" si="2"/>
        <v>9.2668603056486134</v>
      </c>
      <c r="N21" s="4">
        <f t="shared" si="3"/>
        <v>4.2600515360090396</v>
      </c>
      <c r="W21" s="36">
        <f>IF(OR(Graphs!$B$6="Yes",Graphs!$B$7="Yes",Graphs!$B$8="Yes"),F21,$Y$127)</f>
        <v>169.77695698084239</v>
      </c>
      <c r="Y21" s="26">
        <f>IF(Graphs!$B$6="Yes",D21,$Y$127)</f>
        <v>0.95</v>
      </c>
      <c r="Z21" s="4">
        <f>IF(Graphs!$B$6="Yes",E21,$Y$127)</f>
        <v>1320</v>
      </c>
      <c r="AA21" s="4">
        <f>IF(Graphs!$B$6="Yes",G21,$Y$127)</f>
        <v>120.34161545546498</v>
      </c>
      <c r="AB21" s="4">
        <f>IF(Graphs!$B$6="Yes",H21,$Y$127)</f>
        <v>0.33555478029988139</v>
      </c>
      <c r="AC21" s="4">
        <f>IF(Graphs!$B$6="Yes",I21,$Y$127)</f>
        <v>1.7697296390509556</v>
      </c>
      <c r="AD21" s="4">
        <f>IF(Graphs!$B$6="Yes",J21,$Y$127)</f>
        <v>6.0100455160736628</v>
      </c>
      <c r="AE21" s="4">
        <f>IF(Graphs!$B$6="Yes",K21,$Y$127)</f>
        <v>1.0287099572072975</v>
      </c>
      <c r="AF21" s="4">
        <f>IF(Graphs!$B$6="Yes",L21,$Y$127)</f>
        <v>14.056561885234176</v>
      </c>
      <c r="AG21" s="4">
        <f>IF(Graphs!$B$6="Yes",M21,$Y$127)</f>
        <v>9.2668603056486134</v>
      </c>
      <c r="AH21" s="27">
        <f>IF(Graphs!$B$6="Yes",N21,$Y$127)</f>
        <v>4.2600515360090396</v>
      </c>
    </row>
    <row r="22" spans="1:34" x14ac:dyDescent="0.25">
      <c r="A22" s="3">
        <v>16</v>
      </c>
      <c r="B22" s="3" t="s">
        <v>43</v>
      </c>
      <c r="C22" s="3">
        <v>587.32953583481515</v>
      </c>
      <c r="D22" s="4">
        <v>1</v>
      </c>
      <c r="E22" s="3">
        <f t="shared" si="0"/>
        <v>1320</v>
      </c>
      <c r="F22" s="4">
        <f>((2*C22*'String Lengths'!E22)^2)*E22/1000000000000</f>
        <v>156.36258655546604</v>
      </c>
      <c r="G22" s="4">
        <f t="shared" si="1"/>
        <v>122.80688830473757</v>
      </c>
      <c r="H22" s="4">
        <f>PI()*(D22^2)*E22*'String Lengths'!E22*C22/2000000000</f>
        <v>0.35681513697679257</v>
      </c>
      <c r="I22" s="4">
        <f>4*G22/'String Lengths'!E22</f>
        <v>1.6765445502353251</v>
      </c>
      <c r="J22" s="4">
        <f>_xlfn.XLOOKUP(D22,'Gut E est'!$A$5:$A$74,'Gut E est'!$B$5:$B$74,,-1,1)</f>
        <v>5.9273589894770797</v>
      </c>
      <c r="K22" s="4">
        <f>J22*(PI()^3)*(D22^4)/(0.128*G22*('String Lengths'!E22^2)*$K$127)</f>
        <v>1.0519077855509344</v>
      </c>
      <c r="L22" s="4">
        <f>0.008*('String Lengths'!E22^2)*C22*SQRT('Misc ref'!$B$9*E22/(J22*1000000000))/(PI()*D22)</f>
        <v>13.900702411036368</v>
      </c>
      <c r="M22" s="4">
        <f t="shared" si="2"/>
        <v>8.1642930948518853</v>
      </c>
      <c r="N22" s="4">
        <f t="shared" si="3"/>
        <v>4.6553368641326536</v>
      </c>
      <c r="W22" s="36">
        <f>IF(OR(Graphs!$B$6="Yes",Graphs!$B$7="Yes",Graphs!$B$8="Yes"),F22,$Y$127)</f>
        <v>156.36258655546604</v>
      </c>
      <c r="Y22" s="26">
        <f>IF(Graphs!$B$6="Yes",D22,$Y$127)</f>
        <v>1</v>
      </c>
      <c r="Z22" s="4">
        <f>IF(Graphs!$B$6="Yes",E22,$Y$127)</f>
        <v>1320</v>
      </c>
      <c r="AA22" s="4">
        <f>IF(Graphs!$B$6="Yes",G22,$Y$127)</f>
        <v>122.80688830473757</v>
      </c>
      <c r="AB22" s="4">
        <f>IF(Graphs!$B$6="Yes",H22,$Y$127)</f>
        <v>0.35681513697679257</v>
      </c>
      <c r="AC22" s="4">
        <f>IF(Graphs!$B$6="Yes",I22,$Y$127)</f>
        <v>1.6765445502353251</v>
      </c>
      <c r="AD22" s="4">
        <f>IF(Graphs!$B$6="Yes",J22,$Y$127)</f>
        <v>5.9273589894770797</v>
      </c>
      <c r="AE22" s="4">
        <f>IF(Graphs!$B$6="Yes",K22,$Y$127)</f>
        <v>1.0519077855509344</v>
      </c>
      <c r="AF22" s="4">
        <f>IF(Graphs!$B$6="Yes",L22,$Y$127)</f>
        <v>13.900702411036368</v>
      </c>
      <c r="AG22" s="4">
        <f>IF(Graphs!$B$6="Yes",M22,$Y$127)</f>
        <v>8.1642930948518853</v>
      </c>
      <c r="AH22" s="27">
        <f>IF(Graphs!$B$6="Yes",N22,$Y$127)</f>
        <v>4.6553368641326536</v>
      </c>
    </row>
    <row r="23" spans="1:34" x14ac:dyDescent="0.25">
      <c r="A23" s="3">
        <v>17</v>
      </c>
      <c r="B23" s="3" t="s">
        <v>44</v>
      </c>
      <c r="C23" s="3">
        <v>523.25113060119736</v>
      </c>
      <c r="D23" s="4">
        <v>1.05</v>
      </c>
      <c r="E23" s="3">
        <f t="shared" si="0"/>
        <v>1320</v>
      </c>
      <c r="F23" s="4">
        <f>((2*C23*'String Lengths'!E23)^2)*E23/1000000000000</f>
        <v>143.44168589332384</v>
      </c>
      <c r="G23" s="4">
        <f t="shared" si="1"/>
        <v>124.20636741241336</v>
      </c>
      <c r="H23" s="4">
        <f>PI()*(D23^2)*E23*'String Lengths'!E23*C23/2000000000</f>
        <v>0.37678459274453169</v>
      </c>
      <c r="I23" s="4">
        <f>4*G23/'String Lengths'!E23</f>
        <v>1.577223713173503</v>
      </c>
      <c r="J23" s="4">
        <f>_xlfn.XLOOKUP(D23,'Gut E est'!$A$5:$A$74,'Gut E est'!$B$5:$B$74,,-1,1)</f>
        <v>5.8428503709650883</v>
      </c>
      <c r="K23" s="4">
        <f>J23*(PI()^3)*(D23^4)/(0.128*G23*('String Lengths'!E23^2)*$K$127)</f>
        <v>1.0781803175636229</v>
      </c>
      <c r="L23" s="4">
        <f>0.008*('String Lengths'!E23^2)*C23*SQRT('Misc ref'!$B$9*E23/(J23*1000000000))/(PI()*D23)</f>
        <v>13.730295401954411</v>
      </c>
      <c r="M23" s="4">
        <f t="shared" si="2"/>
        <v>7.1843925925610677</v>
      </c>
      <c r="N23" s="4">
        <f t="shared" si="3"/>
        <v>5.0593327552741929</v>
      </c>
      <c r="W23" s="36">
        <f>IF(OR(Graphs!$B$6="Yes",Graphs!$B$7="Yes",Graphs!$B$8="Yes"),F23,$Y$127)</f>
        <v>143.44168589332384</v>
      </c>
      <c r="Y23" s="26">
        <f>IF(Graphs!$B$6="Yes",D23,$Y$127)</f>
        <v>1.05</v>
      </c>
      <c r="Z23" s="4">
        <f>IF(Graphs!$B$6="Yes",E23,$Y$127)</f>
        <v>1320</v>
      </c>
      <c r="AA23" s="4">
        <f>IF(Graphs!$B$6="Yes",G23,$Y$127)</f>
        <v>124.20636741241336</v>
      </c>
      <c r="AB23" s="4">
        <f>IF(Graphs!$B$6="Yes",H23,$Y$127)</f>
        <v>0.37678459274453169</v>
      </c>
      <c r="AC23" s="4">
        <f>IF(Graphs!$B$6="Yes",I23,$Y$127)</f>
        <v>1.577223713173503</v>
      </c>
      <c r="AD23" s="4">
        <f>IF(Graphs!$B$6="Yes",J23,$Y$127)</f>
        <v>5.8428503709650883</v>
      </c>
      <c r="AE23" s="4">
        <f>IF(Graphs!$B$6="Yes",K23,$Y$127)</f>
        <v>1.0781803175636229</v>
      </c>
      <c r="AF23" s="4">
        <f>IF(Graphs!$B$6="Yes",L23,$Y$127)</f>
        <v>13.730295401954411</v>
      </c>
      <c r="AG23" s="4">
        <f>IF(Graphs!$B$6="Yes",M23,$Y$127)</f>
        <v>7.1843925925610677</v>
      </c>
      <c r="AH23" s="27">
        <f>IF(Graphs!$B$6="Yes",N23,$Y$127)</f>
        <v>5.0593327552741929</v>
      </c>
    </row>
    <row r="24" spans="1:34" x14ac:dyDescent="0.25">
      <c r="A24" s="3">
        <v>18</v>
      </c>
      <c r="B24" s="3" t="s">
        <v>45</v>
      </c>
      <c r="C24" s="3">
        <v>493.88330125612413</v>
      </c>
      <c r="D24" s="4">
        <v>1.1000000000000001</v>
      </c>
      <c r="E24" s="3">
        <f t="shared" si="0"/>
        <v>1320</v>
      </c>
      <c r="F24" s="4">
        <f>((2*C24*'String Lengths'!E24)^2)*E24/1000000000000</f>
        <v>149.7584599690453</v>
      </c>
      <c r="G24" s="4">
        <f t="shared" si="1"/>
        <v>142.32022348963136</v>
      </c>
      <c r="H24" s="4">
        <f>PI()*(D24^2)*E24*'String Lengths'!E24*C24/2000000000</f>
        <v>0.42253034081697943</v>
      </c>
      <c r="I24" s="4">
        <f>4*G24/'String Lengths'!E24</f>
        <v>1.6694454368285203</v>
      </c>
      <c r="J24" s="4">
        <f>_xlfn.XLOOKUP(D24,'Gut E est'!$A$5:$A$74,'Gut E est'!$B$5:$B$74,,-1,1)</f>
        <v>5.9606258830169283</v>
      </c>
      <c r="K24" s="4">
        <f>J24*(PI()^3)*(D24^4)/(0.128*G24*('String Lengths'!E24^2)*$K$127)</f>
        <v>0.98664662898537792</v>
      </c>
      <c r="L24" s="4">
        <f>0.008*('String Lengths'!E24^2)*C24*SQRT('Misc ref'!$B$9*E24/(J24*1000000000))/(PI()*D24)</f>
        <v>14.353068665129094</v>
      </c>
      <c r="M24" s="4">
        <f t="shared" si="2"/>
        <v>7.0887409354897875</v>
      </c>
      <c r="N24" s="4">
        <f t="shared" si="3"/>
        <v>5.6645721916771548</v>
      </c>
      <c r="W24" s="36">
        <f>IF(OR(Graphs!$B$6="Yes",Graphs!$B$7="Yes",Graphs!$B$8="Yes"),F24,$Y$127)</f>
        <v>149.7584599690453</v>
      </c>
      <c r="Y24" s="26">
        <f>IF(Graphs!$B$6="Yes",D24,$Y$127)</f>
        <v>1.1000000000000001</v>
      </c>
      <c r="Z24" s="4">
        <f>IF(Graphs!$B$6="Yes",E24,$Y$127)</f>
        <v>1320</v>
      </c>
      <c r="AA24" s="4">
        <f>IF(Graphs!$B$6="Yes",G24,$Y$127)</f>
        <v>142.32022348963136</v>
      </c>
      <c r="AB24" s="4">
        <f>IF(Graphs!$B$6="Yes",H24,$Y$127)</f>
        <v>0.42253034081697943</v>
      </c>
      <c r="AC24" s="4">
        <f>IF(Graphs!$B$6="Yes",I24,$Y$127)</f>
        <v>1.6694454368285203</v>
      </c>
      <c r="AD24" s="4">
        <f>IF(Graphs!$B$6="Yes",J24,$Y$127)</f>
        <v>5.9606258830169283</v>
      </c>
      <c r="AE24" s="4">
        <f>IF(Graphs!$B$6="Yes",K24,$Y$127)</f>
        <v>0.98664662898537792</v>
      </c>
      <c r="AF24" s="4">
        <f>IF(Graphs!$B$6="Yes",L24,$Y$127)</f>
        <v>14.353068665129094</v>
      </c>
      <c r="AG24" s="4">
        <f>IF(Graphs!$B$6="Yes",M24,$Y$127)</f>
        <v>7.0887409354897875</v>
      </c>
      <c r="AH24" s="27">
        <f>IF(Graphs!$B$6="Yes",N24,$Y$127)</f>
        <v>5.6645721916771548</v>
      </c>
    </row>
    <row r="25" spans="1:34" x14ac:dyDescent="0.25">
      <c r="A25" s="3">
        <v>19</v>
      </c>
      <c r="B25" s="3" t="s">
        <v>46</v>
      </c>
      <c r="C25" s="3">
        <v>440</v>
      </c>
      <c r="D25" s="4">
        <v>1.1499999999999999</v>
      </c>
      <c r="E25" s="3">
        <f t="shared" si="0"/>
        <v>1320</v>
      </c>
      <c r="F25" s="4">
        <f>((2*C25*'String Lengths'!E25)^2)*E25/1000000000000</f>
        <v>137.68017331199999</v>
      </c>
      <c r="G25" s="4">
        <f t="shared" si="1"/>
        <v>143.00689132538176</v>
      </c>
      <c r="H25" s="4">
        <f>PI()*(D25^2)*E25*'String Lengths'!E25*C25/2000000000</f>
        <v>0.44280062956831112</v>
      </c>
      <c r="I25" s="4">
        <f>4*G25/'String Lengths'!E25</f>
        <v>1.5586582160804552</v>
      </c>
      <c r="J25" s="4">
        <f>_xlfn.XLOOKUP(D25,'Gut E est'!$A$5:$A$74,'Gut E est'!$B$5:$B$74,,-1,1)</f>
        <v>5.8860415931918402</v>
      </c>
      <c r="K25" s="34">
        <f>J25*(PI()^3)*(D25^4)/(0.128*G25*('String Lengths'!E25^2)*$K$127)</f>
        <v>1</v>
      </c>
      <c r="L25" s="4">
        <f>0.008*('String Lengths'!E25^2)*C25*SQRT('Misc ref'!$B$9*E25/(J25*1000000000))/(PI()*D25)</f>
        <v>14.256915669134713</v>
      </c>
      <c r="M25" s="4">
        <f t="shared" si="2"/>
        <v>6.273042894419274</v>
      </c>
      <c r="N25" s="4">
        <f t="shared" si="3"/>
        <v>6.1137670748479316</v>
      </c>
      <c r="W25" s="36">
        <f>IF(OR(Graphs!$B$6="Yes",Graphs!$B$7="Yes",Graphs!$B$8="Yes"),F25,$Y$127)</f>
        <v>137.68017331199999</v>
      </c>
      <c r="Y25" s="26">
        <f>IF(Graphs!$B$6="Yes",D25,$Y$127)</f>
        <v>1.1499999999999999</v>
      </c>
      <c r="Z25" s="4">
        <f>IF(Graphs!$B$6="Yes",E25,$Y$127)</f>
        <v>1320</v>
      </c>
      <c r="AA25" s="4">
        <f>IF(Graphs!$B$6="Yes",G25,$Y$127)</f>
        <v>143.00689132538176</v>
      </c>
      <c r="AB25" s="4">
        <f>IF(Graphs!$B$6="Yes",H25,$Y$127)</f>
        <v>0.44280062956831112</v>
      </c>
      <c r="AC25" s="4">
        <f>IF(Graphs!$B$6="Yes",I25,$Y$127)</f>
        <v>1.5586582160804552</v>
      </c>
      <c r="AD25" s="4">
        <f>IF(Graphs!$B$6="Yes",J25,$Y$127)</f>
        <v>5.8860415931918402</v>
      </c>
      <c r="AE25" s="4">
        <f>IF(Graphs!$B$6="Yes",K25,$Y$127)</f>
        <v>1</v>
      </c>
      <c r="AF25" s="4">
        <f>IF(Graphs!$B$6="Yes",L25,$Y$127)</f>
        <v>14.256915669134713</v>
      </c>
      <c r="AG25" s="4">
        <f>IF(Graphs!$B$6="Yes",M25,$Y$127)</f>
        <v>6.273042894419274</v>
      </c>
      <c r="AH25" s="27">
        <f>IF(Graphs!$B$6="Yes",N25,$Y$127)</f>
        <v>6.1137670748479316</v>
      </c>
    </row>
    <row r="26" spans="1:34" x14ac:dyDescent="0.25">
      <c r="A26" s="3">
        <v>20</v>
      </c>
      <c r="B26" s="3" t="s">
        <v>47</v>
      </c>
      <c r="C26" s="3">
        <v>391.99543598174927</v>
      </c>
      <c r="D26" s="4">
        <v>1.2</v>
      </c>
      <c r="E26" s="3">
        <f t="shared" si="0"/>
        <v>1320</v>
      </c>
      <c r="F26" s="4">
        <f>((2*C26*'String Lengths'!E26)^2)*E26/1000000000000</f>
        <v>127.87244144023371</v>
      </c>
      <c r="G26" s="4">
        <f t="shared" si="1"/>
        <v>144.62032414508255</v>
      </c>
      <c r="H26" s="4">
        <f>PI()*(D26^2)*E26*'String Lengths'!E26*C26/2000000000</f>
        <v>0.464652007290631</v>
      </c>
      <c r="I26" s="4">
        <f>4*G26/'String Lengths'!E26</f>
        <v>1.4571317294214867</v>
      </c>
      <c r="J26" s="4">
        <f>_xlfn.XLOOKUP(D26,'Gut E est'!$A$5:$A$74,'Gut E est'!$B$5:$B$74,,-1,1)</f>
        <v>5.8101095372821252</v>
      </c>
      <c r="K26" s="4">
        <f>J26*(PI()^3)*(D26^4)/(0.128*G26*('String Lengths'!E26^2)*$K$127)</f>
        <v>0.98894779555337753</v>
      </c>
      <c r="L26" s="4">
        <f>0.008*('String Lengths'!E26^2)*C26*SQRT('Misc ref'!$B$9*E26/(J26*1000000000))/(PI()*D26)</f>
        <v>14.336359978461795</v>
      </c>
      <c r="M26" s="4">
        <f t="shared" si="2"/>
        <v>5.6197876801484323</v>
      </c>
      <c r="N26" s="4">
        <f t="shared" si="3"/>
        <v>6.5710790779959058</v>
      </c>
      <c r="W26" s="36">
        <f>IF(OR(Graphs!$B$6="Yes",Graphs!$B$7="Yes",Graphs!$B$8="Yes"),F26,$Y$127)</f>
        <v>127.87244144023371</v>
      </c>
      <c r="Y26" s="26">
        <f>IF(Graphs!$B$6="Yes",D26,$Y$127)</f>
        <v>1.2</v>
      </c>
      <c r="Z26" s="4">
        <f>IF(Graphs!$B$6="Yes",E26,$Y$127)</f>
        <v>1320</v>
      </c>
      <c r="AA26" s="4">
        <f>IF(Graphs!$B$6="Yes",G26,$Y$127)</f>
        <v>144.62032414508255</v>
      </c>
      <c r="AB26" s="4">
        <f>IF(Graphs!$B$6="Yes",H26,$Y$127)</f>
        <v>0.464652007290631</v>
      </c>
      <c r="AC26" s="4">
        <f>IF(Graphs!$B$6="Yes",I26,$Y$127)</f>
        <v>1.4571317294214867</v>
      </c>
      <c r="AD26" s="4">
        <f>IF(Graphs!$B$6="Yes",J26,$Y$127)</f>
        <v>5.8101095372821252</v>
      </c>
      <c r="AE26" s="4">
        <f>IF(Graphs!$B$6="Yes",K26,$Y$127)</f>
        <v>0.98894779555337753</v>
      </c>
      <c r="AF26" s="4">
        <f>IF(Graphs!$B$6="Yes",L26,$Y$127)</f>
        <v>14.336359978461795</v>
      </c>
      <c r="AG26" s="4">
        <f>IF(Graphs!$B$6="Yes",M26,$Y$127)</f>
        <v>5.6197876801484323</v>
      </c>
      <c r="AH26" s="27">
        <f>IF(Graphs!$B$6="Yes",N26,$Y$127)</f>
        <v>6.5710790779959058</v>
      </c>
    </row>
    <row r="27" spans="1:34" x14ac:dyDescent="0.25">
      <c r="A27" s="2">
        <v>21</v>
      </c>
      <c r="B27" s="2" t="s">
        <v>48</v>
      </c>
      <c r="C27" s="2">
        <v>349.22823143300388</v>
      </c>
      <c r="D27" s="15">
        <v>1.25</v>
      </c>
      <c r="E27" s="2">
        <f t="shared" si="0"/>
        <v>1320</v>
      </c>
      <c r="F27" s="15">
        <f>((2*C27*'String Lengths'!E27)^2)*E27/1000000000000</f>
        <v>120.73367059595435</v>
      </c>
      <c r="G27" s="15">
        <f t="shared" si="1"/>
        <v>148.16250491608602</v>
      </c>
      <c r="H27" s="15">
        <f>PI()*(D27^2)*E27*'String Lengths'!E27*C27/2000000000</f>
        <v>0.48990410127264694</v>
      </c>
      <c r="I27" s="15">
        <f>4*G27/'String Lengths'!E27</f>
        <v>1.3687067428737738</v>
      </c>
      <c r="J27" s="15">
        <f>_xlfn.XLOOKUP(D27,'Gut E est'!$A$5:$A$74,'Gut E est'!$B$5:$B$74,,-1,1)</f>
        <v>5.7967197240282875</v>
      </c>
      <c r="K27" s="15">
        <f>J27*(PI()^3)*(D27^4)/(0.128*G27*('String Lengths'!E27^2)*$K$127)</f>
        <v>0.95319697712840445</v>
      </c>
      <c r="L27" s="15">
        <f>0.008*('String Lengths'!E27^2)*C27*SQRT('Misc ref'!$B$9*E27/(J27*1000000000))/(PI()*D27)</f>
        <v>14.602736631011123</v>
      </c>
      <c r="M27" s="15">
        <f t="shared" si="2"/>
        <v>5.0996878877299556</v>
      </c>
      <c r="N27" s="15">
        <f t="shared" si="3"/>
        <v>7.1136453515337195</v>
      </c>
      <c r="W27" s="36">
        <f>IF(OR(Graphs!$B$6="Yes",Graphs!$B$7="Yes",Graphs!$B$8="Yes"),F27,$Y$127)</f>
        <v>120.73367059595435</v>
      </c>
      <c r="Y27" s="26">
        <f>IF(Graphs!$B$6="Yes",D27,$Y$127)</f>
        <v>1.25</v>
      </c>
      <c r="Z27" s="4">
        <f>IF(Graphs!$B$6="Yes",E27,$Y$127)</f>
        <v>1320</v>
      </c>
      <c r="AA27" s="4">
        <f>IF(Graphs!$B$6="Yes",G27,$Y$127)</f>
        <v>148.16250491608602</v>
      </c>
      <c r="AB27" s="4">
        <f>IF(Graphs!$B$6="Yes",H27,$Y$127)</f>
        <v>0.48990410127264694</v>
      </c>
      <c r="AC27" s="4">
        <f>IF(Graphs!$B$6="Yes",I27,$Y$127)</f>
        <v>1.3687067428737738</v>
      </c>
      <c r="AD27" s="4">
        <f>IF(Graphs!$B$6="Yes",J27,$Y$127)</f>
        <v>5.7967197240282875</v>
      </c>
      <c r="AE27" s="4">
        <f>IF(Graphs!$B$6="Yes",K27,$Y$127)</f>
        <v>0.95319697712840445</v>
      </c>
      <c r="AF27" s="4">
        <f>IF(Graphs!$B$6="Yes",L27,$Y$127)</f>
        <v>14.602736631011123</v>
      </c>
      <c r="AG27" s="4">
        <f>IF(Graphs!$B$6="Yes",M27,$Y$127)</f>
        <v>5.0996878877299556</v>
      </c>
      <c r="AH27" s="27">
        <f>IF(Graphs!$B$6="Yes",N27,$Y$127)</f>
        <v>7.1136453515337195</v>
      </c>
    </row>
    <row r="28" spans="1:34" x14ac:dyDescent="0.25">
      <c r="A28" s="3">
        <v>22</v>
      </c>
      <c r="B28" s="3" t="s">
        <v>49</v>
      </c>
      <c r="C28" s="3">
        <v>329.62755691286992</v>
      </c>
      <c r="D28" s="4">
        <v>1.3</v>
      </c>
      <c r="E28" s="3">
        <f t="shared" si="0"/>
        <v>1320</v>
      </c>
      <c r="F28" s="4">
        <f>((2*C28*'String Lengths'!E28)^2)*E28/1000000000000</f>
        <v>125.65293923609163</v>
      </c>
      <c r="G28" s="4">
        <f t="shared" si="1"/>
        <v>166.78202321556464</v>
      </c>
      <c r="H28" s="4">
        <f>PI()*(D28^2)*E28*'String Lengths'!E28*C28/2000000000</f>
        <v>0.54056743285559339</v>
      </c>
      <c r="I28" s="4">
        <f>4*G28/'String Lengths'!E28</f>
        <v>1.4254873779108088</v>
      </c>
      <c r="J28" s="4">
        <f>_xlfn.XLOOKUP(D28,'Gut E est'!$A$5:$A$74,'Gut E est'!$B$5:$B$74,,-1,1)</f>
        <v>5.7219954899818388</v>
      </c>
      <c r="K28" s="4">
        <f>J28*(PI()^3)*(D28^4)/(0.128*G28*('String Lengths'!E28^2)*$K$127)</f>
        <v>0.8370557476320023</v>
      </c>
      <c r="L28" s="4">
        <f>0.008*('String Lengths'!E28^2)*C28*SQRT('Misc ref'!$B$9*E28/(J28*1000000000))/(PI()*D28)</f>
        <v>15.582903790016013</v>
      </c>
      <c r="M28" s="4">
        <f t="shared" si="2"/>
        <v>5.1365545059112803</v>
      </c>
      <c r="N28" s="4">
        <f t="shared" si="3"/>
        <v>7.5949356254723694</v>
      </c>
      <c r="W28" s="36">
        <f>IF(OR(Graphs!$B$6="Yes",Graphs!$B$7="Yes",Graphs!$B$8="Yes"),F28,$Y$127)</f>
        <v>125.65293923609163</v>
      </c>
      <c r="Y28" s="26">
        <f>IF(Graphs!$B$6="Yes",D28,$Y$127)</f>
        <v>1.3</v>
      </c>
      <c r="Z28" s="4">
        <f>IF(Graphs!$B$6="Yes",E28,$Y$127)</f>
        <v>1320</v>
      </c>
      <c r="AA28" s="4">
        <f>IF(Graphs!$B$6="Yes",G28,$Y$127)</f>
        <v>166.78202321556464</v>
      </c>
      <c r="AB28" s="4">
        <f>IF(Graphs!$B$6="Yes",H28,$Y$127)</f>
        <v>0.54056743285559339</v>
      </c>
      <c r="AC28" s="4">
        <f>IF(Graphs!$B$6="Yes",I28,$Y$127)</f>
        <v>1.4254873779108088</v>
      </c>
      <c r="AD28" s="4">
        <f>IF(Graphs!$B$6="Yes",J28,$Y$127)</f>
        <v>5.7219954899818388</v>
      </c>
      <c r="AE28" s="4">
        <f>IF(Graphs!$B$6="Yes",K28,$Y$127)</f>
        <v>0.8370557476320023</v>
      </c>
      <c r="AF28" s="4">
        <f>IF(Graphs!$B$6="Yes",L28,$Y$127)</f>
        <v>15.582903790016013</v>
      </c>
      <c r="AG28" s="4">
        <f>IF(Graphs!$B$6="Yes",M28,$Y$127)</f>
        <v>5.1365545059112803</v>
      </c>
      <c r="AH28" s="27">
        <f>IF(Graphs!$B$6="Yes",N28,$Y$127)</f>
        <v>7.5949356254723694</v>
      </c>
    </row>
    <row r="29" spans="1:34" x14ac:dyDescent="0.25">
      <c r="A29" s="3">
        <v>23</v>
      </c>
      <c r="B29" s="3" t="s">
        <v>50</v>
      </c>
      <c r="C29" s="3">
        <v>293.66476791740757</v>
      </c>
      <c r="D29" s="4">
        <v>1.35</v>
      </c>
      <c r="E29" s="3">
        <f t="shared" si="0"/>
        <v>1320</v>
      </c>
      <c r="F29" s="4">
        <f>((2*C29*'String Lengths'!E29)^2)*E29/1000000000000</f>
        <v>117.04517965117819</v>
      </c>
      <c r="G29" s="4">
        <f t="shared" si="1"/>
        <v>167.53708349409015</v>
      </c>
      <c r="H29" s="4">
        <f>PI()*(D29^2)*E29*'String Lengths'!E29*C29/2000000000</f>
        <v>0.56262775201379489</v>
      </c>
      <c r="I29" s="4">
        <f>4*G29/'String Lengths'!E29</f>
        <v>1.3217915857521905</v>
      </c>
      <c r="J29" s="4">
        <f>_xlfn.XLOOKUP(D29,'Gut E est'!$A$5:$A$74,'Gut E est'!$B$5:$B$74,,-1,1)</f>
        <v>5.64635522179017</v>
      </c>
      <c r="K29" s="4">
        <f>J29*(PI()^3)*(D29^4)/(0.128*G29*('String Lengths'!E29^2)*$K$127)</f>
        <v>0.81479960119338157</v>
      </c>
      <c r="L29" s="4">
        <f>0.008*('String Lengths'!E29^2)*C29*SQRT('Misc ref'!$B$9*E29/(J29*1000000000))/(PI()*D29)</f>
        <v>15.794292508703945</v>
      </c>
      <c r="M29" s="4">
        <f t="shared" si="2"/>
        <v>4.6382272439881937</v>
      </c>
      <c r="N29" s="4">
        <f t="shared" si="3"/>
        <v>8.0821259709248459</v>
      </c>
      <c r="W29" s="36">
        <f>IF(OR(Graphs!$B$6="Yes",Graphs!$B$7="Yes",Graphs!$B$8="Yes"),F29,$Y$127)</f>
        <v>117.04517965117819</v>
      </c>
      <c r="Y29" s="26">
        <f>IF(Graphs!$B$6="Yes",D29,$Y$127)</f>
        <v>1.35</v>
      </c>
      <c r="Z29" s="4">
        <f>IF(Graphs!$B$6="Yes",E29,$Y$127)</f>
        <v>1320</v>
      </c>
      <c r="AA29" s="4">
        <f>IF(Graphs!$B$6="Yes",G29,$Y$127)</f>
        <v>167.53708349409015</v>
      </c>
      <c r="AB29" s="4">
        <f>IF(Graphs!$B$6="Yes",H29,$Y$127)</f>
        <v>0.56262775201379489</v>
      </c>
      <c r="AC29" s="4">
        <f>IF(Graphs!$B$6="Yes",I29,$Y$127)</f>
        <v>1.3217915857521905</v>
      </c>
      <c r="AD29" s="4">
        <f>IF(Graphs!$B$6="Yes",J29,$Y$127)</f>
        <v>5.64635522179017</v>
      </c>
      <c r="AE29" s="4">
        <f>IF(Graphs!$B$6="Yes",K29,$Y$127)</f>
        <v>0.81479960119338157</v>
      </c>
      <c r="AF29" s="4">
        <f>IF(Graphs!$B$6="Yes",L29,$Y$127)</f>
        <v>15.794292508703945</v>
      </c>
      <c r="AG29" s="4">
        <f>IF(Graphs!$B$6="Yes",M29,$Y$127)</f>
        <v>4.6382272439881937</v>
      </c>
      <c r="AH29" s="27">
        <f>IF(Graphs!$B$6="Yes",N29,$Y$127)</f>
        <v>8.0821259709248459</v>
      </c>
    </row>
    <row r="30" spans="1:34" x14ac:dyDescent="0.25">
      <c r="A30" s="3">
        <v>24</v>
      </c>
      <c r="B30" s="3" t="s">
        <v>51</v>
      </c>
      <c r="C30" s="3">
        <v>261.62556530059868</v>
      </c>
      <c r="D30" s="4">
        <v>1.45</v>
      </c>
      <c r="E30" s="3">
        <f t="shared" si="0"/>
        <v>1320</v>
      </c>
      <c r="F30" s="4">
        <f>((2*C30*'String Lengths'!E30)^2)*E30/1000000000000</f>
        <v>109.32504404819969</v>
      </c>
      <c r="G30" s="4">
        <f t="shared" si="1"/>
        <v>180.52840572050448</v>
      </c>
      <c r="H30" s="4">
        <f>PI()*(D30^2)*E30*'String Lengths'!E30*C30/2000000000</f>
        <v>0.62729623645388599</v>
      </c>
      <c r="I30" s="4">
        <f>4*G30/'String Lengths'!E30</f>
        <v>1.3129338597854872</v>
      </c>
      <c r="J30" s="4">
        <f>_xlfn.XLOOKUP(D30,'Gut E est'!$A$5:$A$74,'Gut E est'!$B$5:$B$74,,-1,1)</f>
        <v>5.4929110944188251</v>
      </c>
      <c r="K30" s="4">
        <f>J30*(PI()^3)*(D30^4)/(0.128*G30*('String Lengths'!E30^2)*$K$127)</f>
        <v>0.83191328445954793</v>
      </c>
      <c r="L30" s="4">
        <f>0.008*('String Lengths'!E30^2)*C30*SQRT('Misc ref'!$B$9*E30/(J30*1000000000))/(PI()*D30)</f>
        <v>15.630992367262033</v>
      </c>
      <c r="M30" s="4">
        <f t="shared" si="2"/>
        <v>4.089467214294273</v>
      </c>
      <c r="N30" s="4">
        <f t="shared" si="3"/>
        <v>9.0704421047633819</v>
      </c>
      <c r="W30" s="36">
        <f>IF(OR(Graphs!$B$6="Yes",Graphs!$B$7="Yes",Graphs!$B$8="Yes"),F30,$Y$127)</f>
        <v>109.32504404819969</v>
      </c>
      <c r="Y30" s="26">
        <f>IF(Graphs!$B$6="Yes",D30,$Y$127)</f>
        <v>1.45</v>
      </c>
      <c r="Z30" s="4">
        <f>IF(Graphs!$B$6="Yes",E30,$Y$127)</f>
        <v>1320</v>
      </c>
      <c r="AA30" s="4">
        <f>IF(Graphs!$B$6="Yes",G30,$Y$127)</f>
        <v>180.52840572050448</v>
      </c>
      <c r="AB30" s="4">
        <f>IF(Graphs!$B$6="Yes",H30,$Y$127)</f>
        <v>0.62729623645388599</v>
      </c>
      <c r="AC30" s="4">
        <f>IF(Graphs!$B$6="Yes",I30,$Y$127)</f>
        <v>1.3129338597854872</v>
      </c>
      <c r="AD30" s="4">
        <f>IF(Graphs!$B$6="Yes",J30,$Y$127)</f>
        <v>5.4929110944188251</v>
      </c>
      <c r="AE30" s="4">
        <f>IF(Graphs!$B$6="Yes",K30,$Y$127)</f>
        <v>0.83191328445954793</v>
      </c>
      <c r="AF30" s="4">
        <f>IF(Graphs!$B$6="Yes",L30,$Y$127)</f>
        <v>15.630992367262033</v>
      </c>
      <c r="AG30" s="4">
        <f>IF(Graphs!$B$6="Yes",M30,$Y$127)</f>
        <v>4.089467214294273</v>
      </c>
      <c r="AH30" s="27">
        <f>IF(Graphs!$B$6="Yes",N30,$Y$127)</f>
        <v>9.0704421047633819</v>
      </c>
    </row>
    <row r="31" spans="1:34" x14ac:dyDescent="0.25">
      <c r="A31" s="3">
        <v>25</v>
      </c>
      <c r="B31" s="3" t="s">
        <v>52</v>
      </c>
      <c r="C31" s="3">
        <v>246.94165062806206</v>
      </c>
      <c r="D31" s="4">
        <v>1.55</v>
      </c>
      <c r="E31" s="3">
        <f t="shared" si="0"/>
        <v>1320</v>
      </c>
      <c r="F31" s="4">
        <f>((2*C31*'String Lengths'!E31)^2)*E31/1000000000000</f>
        <v>115.52507545375734</v>
      </c>
      <c r="G31" s="4">
        <f t="shared" si="1"/>
        <v>217.9864699657777</v>
      </c>
      <c r="H31" s="4">
        <f>PI()*(D31^2)*E31*'String Lengths'!E31*C31/2000000000</f>
        <v>0.73684878837626699</v>
      </c>
      <c r="I31" s="4">
        <f>4*G31/'String Lengths'!E31</f>
        <v>1.4556692485193836</v>
      </c>
      <c r="J31" s="4">
        <f>_xlfn.XLOOKUP(D31,'Gut E est'!$A$5:$A$74,'Gut E est'!$B$5:$B$74,,-1,1)</f>
        <v>5.3374995940446404</v>
      </c>
      <c r="K31" s="4">
        <f>J31*(PI()^3)*(D31^4)/(0.128*G31*('String Lengths'!E31^2)*$K$127)</f>
        <v>0.73698028613593625</v>
      </c>
      <c r="L31" s="4">
        <f>0.008*('String Lengths'!E31^2)*C31*SQRT('Misc ref'!$B$9*E31/(J31*1000000000))/(PI()*D31)</f>
        <v>16.607247011932532</v>
      </c>
      <c r="M31" s="4">
        <f t="shared" si="2"/>
        <v>4.1010209895145708</v>
      </c>
      <c r="N31" s="4">
        <f t="shared" si="3"/>
        <v>10.071429863859231</v>
      </c>
      <c r="W31" s="36">
        <f>IF(OR(Graphs!$B$6="Yes",Graphs!$B$7="Yes",Graphs!$B$8="Yes"),F31,$Y$127)</f>
        <v>115.52507545375734</v>
      </c>
      <c r="Y31" s="26">
        <f>IF(Graphs!$B$6="Yes",D31,$Y$127)</f>
        <v>1.55</v>
      </c>
      <c r="Z31" s="4">
        <f>IF(Graphs!$B$6="Yes",E31,$Y$127)</f>
        <v>1320</v>
      </c>
      <c r="AA31" s="4">
        <f>IF(Graphs!$B$6="Yes",G31,$Y$127)</f>
        <v>217.9864699657777</v>
      </c>
      <c r="AB31" s="4">
        <f>IF(Graphs!$B$6="Yes",H31,$Y$127)</f>
        <v>0.73684878837626699</v>
      </c>
      <c r="AC31" s="4">
        <f>IF(Graphs!$B$6="Yes",I31,$Y$127)</f>
        <v>1.4556692485193836</v>
      </c>
      <c r="AD31" s="4">
        <f>IF(Graphs!$B$6="Yes",J31,$Y$127)</f>
        <v>5.3374995940446404</v>
      </c>
      <c r="AE31" s="4">
        <f>IF(Graphs!$B$6="Yes",K31,$Y$127)</f>
        <v>0.73698028613593625</v>
      </c>
      <c r="AF31" s="4">
        <f>IF(Graphs!$B$6="Yes",L31,$Y$127)</f>
        <v>16.607247011932532</v>
      </c>
      <c r="AG31" s="4">
        <f>IF(Graphs!$B$6="Yes",M31,$Y$127)</f>
        <v>4.1010209895145708</v>
      </c>
      <c r="AH31" s="27">
        <f>IF(Graphs!$B$6="Yes",N31,$Y$127)</f>
        <v>10.071429863859231</v>
      </c>
    </row>
    <row r="32" spans="1:34" x14ac:dyDescent="0.25">
      <c r="A32" s="3">
        <v>26</v>
      </c>
      <c r="B32" s="3" t="s">
        <v>53</v>
      </c>
      <c r="C32" s="3">
        <v>220</v>
      </c>
      <c r="D32" s="4">
        <v>1.6</v>
      </c>
      <c r="E32" s="3">
        <f t="shared" si="0"/>
        <v>1320</v>
      </c>
      <c r="F32" s="4">
        <f>((2*C32*'String Lengths'!E32)^2)*E32/1000000000000</f>
        <v>108.969672768</v>
      </c>
      <c r="G32" s="4">
        <f t="shared" si="1"/>
        <v>219.09652699650084</v>
      </c>
      <c r="H32" s="4">
        <f>PI()*(D32^2)*E32*'String Lengths'!E32*C32/2000000000</f>
        <v>0.76255230055861367</v>
      </c>
      <c r="I32" s="4">
        <f>4*G32/'String Lengths'!E32</f>
        <v>1.3420920489831598</v>
      </c>
      <c r="J32" s="4">
        <f>_xlfn.XLOOKUP(D32,'Gut E est'!$A$5:$A$74,'Gut E est'!$B$5:$B$74,,-1,1)</f>
        <v>5.8143194353318872</v>
      </c>
      <c r="K32" s="4">
        <f>J32*(PI()^3)*(D32^4)/(0.128*G32*('String Lengths'!E32^2)*$K$127)</f>
        <v>0.76311742289928286</v>
      </c>
      <c r="L32" s="4">
        <f>0.008*('String Lengths'!E32^2)*C32*SQRT('Misc ref'!$B$9*E32/(J32*1000000000))/(PI()*D32)</f>
        <v>16.32036608085134</v>
      </c>
      <c r="M32" s="4">
        <f t="shared" si="2"/>
        <v>3.590480537787295</v>
      </c>
      <c r="N32" s="4">
        <f t="shared" si="3"/>
        <v>11.690382863144329</v>
      </c>
      <c r="W32" s="36">
        <f>IF(OR(Graphs!$B$6="Yes",Graphs!$B$7="Yes",Graphs!$B$8="Yes"),F32,$Y$127)</f>
        <v>108.969672768</v>
      </c>
      <c r="Y32" s="26">
        <f>IF(Graphs!$B$6="Yes",D32,$Y$127)</f>
        <v>1.6</v>
      </c>
      <c r="Z32" s="4">
        <f>IF(Graphs!$B$6="Yes",E32,$Y$127)</f>
        <v>1320</v>
      </c>
      <c r="AA32" s="4">
        <f>IF(Graphs!$B$6="Yes",G32,$Y$127)</f>
        <v>219.09652699650084</v>
      </c>
      <c r="AB32" s="4">
        <f>IF(Graphs!$B$6="Yes",H32,$Y$127)</f>
        <v>0.76255230055861367</v>
      </c>
      <c r="AC32" s="4">
        <f>IF(Graphs!$B$6="Yes",I32,$Y$127)</f>
        <v>1.3420920489831598</v>
      </c>
      <c r="AD32" s="4">
        <f>IF(Graphs!$B$6="Yes",J32,$Y$127)</f>
        <v>5.8143194353318872</v>
      </c>
      <c r="AE32" s="4">
        <f>IF(Graphs!$B$6="Yes",K32,$Y$127)</f>
        <v>0.76311742289928286</v>
      </c>
      <c r="AF32" s="4">
        <f>IF(Graphs!$B$6="Yes",L32,$Y$127)</f>
        <v>16.32036608085134</v>
      </c>
      <c r="AG32" s="4">
        <f>IF(Graphs!$B$6="Yes",M32,$Y$127)</f>
        <v>3.590480537787295</v>
      </c>
      <c r="AH32" s="27">
        <f>IF(Graphs!$B$6="Yes",N32,$Y$127)</f>
        <v>11.690382863144329</v>
      </c>
    </row>
    <row r="33" spans="1:34" x14ac:dyDescent="0.25">
      <c r="A33" s="3">
        <v>27</v>
      </c>
      <c r="B33" s="3" t="s">
        <v>54</v>
      </c>
      <c r="C33" s="3">
        <v>195.99771799087463</v>
      </c>
      <c r="D33" s="4">
        <v>1.7</v>
      </c>
      <c r="E33" s="3">
        <f t="shared" si="0"/>
        <v>1320</v>
      </c>
      <c r="F33" s="4">
        <f>((2*C33*'String Lengths'!E33)^2)*E33/1000000000000</f>
        <v>103.40281829791665</v>
      </c>
      <c r="G33" s="4">
        <f t="shared" si="1"/>
        <v>234.70378854996795</v>
      </c>
      <c r="H33" s="4">
        <f>PI()*(D33^2)*E33*'String Lengths'!E33*C33/2000000000</f>
        <v>0.83857300497124732</v>
      </c>
      <c r="I33" s="4">
        <f>4*G33/'String Lengths'!E33</f>
        <v>1.3148671627449184</v>
      </c>
      <c r="J33" s="4">
        <f>_xlfn.XLOOKUP(D33,'Gut E est'!$A$5:$A$74,'Gut E est'!$B$5:$B$74,,-1,1)</f>
        <v>5.698630467430263</v>
      </c>
      <c r="K33" s="4">
        <f>J33*(PI()^3)*(D33^4)/(0.128*G33*('String Lengths'!E33^2)*$K$127)</f>
        <v>0.74425894703912832</v>
      </c>
      <c r="L33" s="4">
        <f>0.008*('String Lengths'!E33^2)*C33*SQRT('Misc ref'!$B$9*E33/(J33*1000000000))/(PI()*D33)</f>
        <v>16.525840188228329</v>
      </c>
      <c r="M33" s="4">
        <f t="shared" si="2"/>
        <v>3.2390269647746388</v>
      </c>
      <c r="N33" s="4">
        <f t="shared" si="3"/>
        <v>12.934755379671358</v>
      </c>
      <c r="W33" s="36">
        <f>IF(OR(Graphs!$B$6="Yes",Graphs!$B$7="Yes",Graphs!$B$8="Yes"),F33,$Y$127)</f>
        <v>103.40281829791665</v>
      </c>
      <c r="Y33" s="26">
        <f>IF(Graphs!$B$6="Yes",D33,$Y$127)</f>
        <v>1.7</v>
      </c>
      <c r="Z33" s="4">
        <f>IF(Graphs!$B$6="Yes",E33,$Y$127)</f>
        <v>1320</v>
      </c>
      <c r="AA33" s="4">
        <f>IF(Graphs!$B$6="Yes",G33,$Y$127)</f>
        <v>234.70378854996795</v>
      </c>
      <c r="AB33" s="4">
        <f>IF(Graphs!$B$6="Yes",H33,$Y$127)</f>
        <v>0.83857300497124732</v>
      </c>
      <c r="AC33" s="4">
        <f>IF(Graphs!$B$6="Yes",I33,$Y$127)</f>
        <v>1.3148671627449184</v>
      </c>
      <c r="AD33" s="4">
        <f>IF(Graphs!$B$6="Yes",J33,$Y$127)</f>
        <v>5.698630467430263</v>
      </c>
      <c r="AE33" s="4">
        <f>IF(Graphs!$B$6="Yes",K33,$Y$127)</f>
        <v>0.74425894703912832</v>
      </c>
      <c r="AF33" s="4">
        <f>IF(Graphs!$B$6="Yes",L33,$Y$127)</f>
        <v>16.525840188228329</v>
      </c>
      <c r="AG33" s="4">
        <f>IF(Graphs!$B$6="Yes",M33,$Y$127)</f>
        <v>3.2390269647746388</v>
      </c>
      <c r="AH33" s="27">
        <f>IF(Graphs!$B$6="Yes",N33,$Y$127)</f>
        <v>12.934755379671358</v>
      </c>
    </row>
    <row r="34" spans="1:34" x14ac:dyDescent="0.25">
      <c r="A34" s="2">
        <v>28</v>
      </c>
      <c r="B34" s="2" t="s">
        <v>55</v>
      </c>
      <c r="C34" s="2">
        <v>174.61411571650194</v>
      </c>
      <c r="D34" s="15">
        <v>1.8</v>
      </c>
      <c r="E34" s="2">
        <f t="shared" si="0"/>
        <v>1320</v>
      </c>
      <c r="F34" s="15">
        <f>((2*C34*'String Lengths'!E34)^2)*E34/1000000000000</f>
        <v>96.693220537865017</v>
      </c>
      <c r="G34" s="15">
        <f t="shared" si="1"/>
        <v>246.05427614789249</v>
      </c>
      <c r="H34" s="15">
        <f>PI()*(D34^2)*E34*'String Lengths'!E34*C34/2000000000</f>
        <v>0.90911719042632189</v>
      </c>
      <c r="I34" s="15">
        <f>4*G34/'String Lengths'!E34</f>
        <v>1.2699575543117032</v>
      </c>
      <c r="J34" s="15">
        <f>_xlfn.XLOOKUP(D34,'Gut E est'!$A$5:$A$74,'Gut E est'!$B$5:$B$74,,-1,1)</f>
        <v>5.5808568416690871</v>
      </c>
      <c r="K34" s="15">
        <f>J34*(PI()^3)*(D34^4)/(0.128*G34*('String Lengths'!E34^2)*$K$127)</f>
        <v>0.74170462510973334</v>
      </c>
      <c r="L34" s="15">
        <f>0.008*('String Lengths'!E34^2)*C34*SQRT('Misc ref'!$B$9*E34/(J34*1000000000))/(PI()*D34)</f>
        <v>16.554272015236428</v>
      </c>
      <c r="M34" s="15">
        <f t="shared" si="2"/>
        <v>2.8906095692709437</v>
      </c>
      <c r="N34" s="15">
        <f t="shared" si="3"/>
        <v>14.201550872164391</v>
      </c>
      <c r="W34" s="36">
        <f>IF(OR(Graphs!$B$6="Yes",Graphs!$B$7="Yes",Graphs!$B$8="Yes"),F34,$Y$127)</f>
        <v>96.693220537865017</v>
      </c>
      <c r="Y34" s="26">
        <f>IF(Graphs!$B$6="Yes",D34,$Y$127)</f>
        <v>1.8</v>
      </c>
      <c r="Z34" s="4">
        <f>IF(Graphs!$B$6="Yes",E34,$Y$127)</f>
        <v>1320</v>
      </c>
      <c r="AA34" s="4">
        <f>IF(Graphs!$B$6="Yes",G34,$Y$127)</f>
        <v>246.05427614789249</v>
      </c>
      <c r="AB34" s="4">
        <f>IF(Graphs!$B$6="Yes",H34,$Y$127)</f>
        <v>0.90911719042632189</v>
      </c>
      <c r="AC34" s="4">
        <f>IF(Graphs!$B$6="Yes",I34,$Y$127)</f>
        <v>1.2699575543117032</v>
      </c>
      <c r="AD34" s="4">
        <f>IF(Graphs!$B$6="Yes",J34,$Y$127)</f>
        <v>5.5808568416690871</v>
      </c>
      <c r="AE34" s="4">
        <f>IF(Graphs!$B$6="Yes",K34,$Y$127)</f>
        <v>0.74170462510973334</v>
      </c>
      <c r="AF34" s="4">
        <f>IF(Graphs!$B$6="Yes",L34,$Y$127)</f>
        <v>16.554272015236428</v>
      </c>
      <c r="AG34" s="4">
        <f>IF(Graphs!$B$6="Yes",M34,$Y$127)</f>
        <v>2.8906095692709437</v>
      </c>
      <c r="AH34" s="27">
        <f>IF(Graphs!$B$6="Yes",N34,$Y$127)</f>
        <v>14.201550872164391</v>
      </c>
    </row>
    <row r="35" spans="1:34" x14ac:dyDescent="0.25">
      <c r="A35" s="3">
        <v>29</v>
      </c>
      <c r="B35" s="3" t="s">
        <v>56</v>
      </c>
      <c r="C35" s="3">
        <v>164.81377845643496</v>
      </c>
      <c r="D35" s="4">
        <v>1.85</v>
      </c>
      <c r="E35" s="3">
        <f t="shared" si="0"/>
        <v>1320</v>
      </c>
      <c r="F35" s="4">
        <f>((2*C35*'String Lengths'!E35)^2)*E35/1000000000000</f>
        <v>101.92391657442712</v>
      </c>
      <c r="G35" s="4">
        <f t="shared" si="1"/>
        <v>273.97405768490751</v>
      </c>
      <c r="H35" s="4">
        <f>PI()*(D35^2)*E35*'String Lengths'!E35*C35/2000000000</f>
        <v>0.98595786478619252</v>
      </c>
      <c r="I35" s="4">
        <f>4*G35/'String Lengths'!E35</f>
        <v>1.2999955287540095</v>
      </c>
      <c r="J35" s="4">
        <f>_xlfn.XLOOKUP(D35,'Gut E est'!$A$5:$A$74,'Gut E est'!$B$5:$B$74,,-1,1)</f>
        <v>5.7160552325567373</v>
      </c>
      <c r="K35" s="4">
        <f>J35*(PI()^3)*(D35^4)/(0.128*G35*('String Lengths'!E35^2)*$K$127)</f>
        <v>0.64341790991657288</v>
      </c>
      <c r="L35" s="4">
        <f>0.008*('String Lengths'!E35^2)*C35*SQRT('Misc ref'!$B$9*E35/(J35*1000000000))/(PI()*D35)</f>
        <v>17.773747573463822</v>
      </c>
      <c r="M35" s="4">
        <f t="shared" si="2"/>
        <v>2.9293584949134646</v>
      </c>
      <c r="N35" s="4">
        <f t="shared" si="3"/>
        <v>15.364900591031073</v>
      </c>
      <c r="W35" s="36">
        <f>IF(OR(Graphs!$B$6="Yes",Graphs!$B$7="Yes",Graphs!$B$8="Yes"),F35,$Y$127)</f>
        <v>101.92391657442712</v>
      </c>
      <c r="Y35" s="26">
        <f>IF(Graphs!$B$6="Yes",D35,$Y$127)</f>
        <v>1.85</v>
      </c>
      <c r="Z35" s="4">
        <f>IF(Graphs!$B$6="Yes",E35,$Y$127)</f>
        <v>1320</v>
      </c>
      <c r="AA35" s="4">
        <f>IF(Graphs!$B$6="Yes",G35,$Y$127)</f>
        <v>273.97405768490751</v>
      </c>
      <c r="AB35" s="4">
        <f>IF(Graphs!$B$6="Yes",H35,$Y$127)</f>
        <v>0.98595786478619252</v>
      </c>
      <c r="AC35" s="4">
        <f>IF(Graphs!$B$6="Yes",I35,$Y$127)</f>
        <v>1.2999955287540095</v>
      </c>
      <c r="AD35" s="4">
        <f>IF(Graphs!$B$6="Yes",J35,$Y$127)</f>
        <v>5.7160552325567373</v>
      </c>
      <c r="AE35" s="4">
        <f>IF(Graphs!$B$6="Yes",K35,$Y$127)</f>
        <v>0.64341790991657288</v>
      </c>
      <c r="AF35" s="4">
        <f>IF(Graphs!$B$6="Yes",L35,$Y$127)</f>
        <v>17.773747573463822</v>
      </c>
      <c r="AG35" s="4">
        <f>IF(Graphs!$B$6="Yes",M35,$Y$127)</f>
        <v>2.9293584949134646</v>
      </c>
      <c r="AH35" s="27">
        <f>IF(Graphs!$B$6="Yes",N35,$Y$127)</f>
        <v>15.364900591031073</v>
      </c>
    </row>
    <row r="36" spans="1:34" x14ac:dyDescent="0.25">
      <c r="A36" s="3">
        <v>30</v>
      </c>
      <c r="B36" s="3" t="s">
        <v>57</v>
      </c>
      <c r="C36" s="3">
        <v>146.83238395870379</v>
      </c>
      <c r="D36" s="4">
        <v>1.96</v>
      </c>
      <c r="E36" s="3">
        <f t="shared" si="0"/>
        <v>1320</v>
      </c>
      <c r="F36" s="4">
        <f>((2*C36*'String Lengths'!E36)^2)*E36/1000000000000</f>
        <v>93.646639351701481</v>
      </c>
      <c r="G36" s="4">
        <f t="shared" si="1"/>
        <v>282.54929028953933</v>
      </c>
      <c r="H36" s="4">
        <f>PI()*(D36^2)*E36*'String Lengths'!E36*C36/2000000000</f>
        <v>1.06080385187757</v>
      </c>
      <c r="I36" s="4">
        <f>4*G36/'String Lengths'!E36</f>
        <v>1.2460828678700742</v>
      </c>
      <c r="J36" s="4">
        <f>_xlfn.XLOOKUP(D36,'Gut E est'!$A$5:$A$74,'Gut E est'!$B$5:$B$74,,-1,1)</f>
        <v>5.5983296929375452</v>
      </c>
      <c r="K36" s="4">
        <f>J36*(PI()^3)*(D36^4)/(0.128*G36*('String Lengths'!E36^2)*$K$127)</f>
        <v>0.66504091969026491</v>
      </c>
      <c r="L36" s="4">
        <f>0.008*('String Lengths'!E36^2)*C36*SQRT('Misc ref'!$B$9*E36/(J36*1000000000))/(PI()*D36)</f>
        <v>17.482413845296811</v>
      </c>
      <c r="M36" s="4">
        <f t="shared" si="2"/>
        <v>2.5669845022575806</v>
      </c>
      <c r="N36" s="4">
        <f t="shared" si="3"/>
        <v>16.891199646852229</v>
      </c>
      <c r="W36" s="36">
        <f>IF(OR(Graphs!$B$6="Yes",Graphs!$B$7="Yes",Graphs!$B$8="Yes"),F36,$Y$127)</f>
        <v>93.646639351701481</v>
      </c>
      <c r="Y36" s="26">
        <f>IF(Graphs!$B$6="Yes",D36,$Y$127)</f>
        <v>1.96</v>
      </c>
      <c r="Z36" s="4">
        <f>IF(Graphs!$B$6="Yes",E36,$Y$127)</f>
        <v>1320</v>
      </c>
      <c r="AA36" s="4">
        <f>IF(Graphs!$B$6="Yes",G36,$Y$127)</f>
        <v>282.54929028953933</v>
      </c>
      <c r="AB36" s="4">
        <f>IF(Graphs!$B$6="Yes",H36,$Y$127)</f>
        <v>1.06080385187757</v>
      </c>
      <c r="AC36" s="4">
        <f>IF(Graphs!$B$6="Yes",I36,$Y$127)</f>
        <v>1.2460828678700742</v>
      </c>
      <c r="AD36" s="4">
        <f>IF(Graphs!$B$6="Yes",J36,$Y$127)</f>
        <v>5.5983296929375452</v>
      </c>
      <c r="AE36" s="4">
        <f>IF(Graphs!$B$6="Yes",K36,$Y$127)</f>
        <v>0.66504091969026491</v>
      </c>
      <c r="AF36" s="4">
        <f>IF(Graphs!$B$6="Yes",L36,$Y$127)</f>
        <v>17.482413845296811</v>
      </c>
      <c r="AG36" s="4">
        <f>IF(Graphs!$B$6="Yes",M36,$Y$127)</f>
        <v>2.5669845022575806</v>
      </c>
      <c r="AH36" s="27">
        <f>IF(Graphs!$B$6="Yes",N36,$Y$127)</f>
        <v>16.891199646852229</v>
      </c>
    </row>
    <row r="37" spans="1:34" x14ac:dyDescent="0.25">
      <c r="A37" s="3">
        <v>31</v>
      </c>
      <c r="B37" s="3" t="s">
        <v>58</v>
      </c>
      <c r="C37" s="3">
        <v>130.81278265029934</v>
      </c>
      <c r="D37" s="4">
        <v>2.08</v>
      </c>
      <c r="E37" s="3">
        <f t="shared" si="0"/>
        <v>1320</v>
      </c>
      <c r="F37" s="4">
        <f>((2*C37*'String Lengths'!E37)^2)*E37/1000000000000</f>
        <v>84.137367060979159</v>
      </c>
      <c r="G37" s="4">
        <f t="shared" si="1"/>
        <v>285.89428152605467</v>
      </c>
      <c r="H37" s="4">
        <f>PI()*(D37^2)*E37*'String Lengths'!E37*C37/2000000000</f>
        <v>1.1323950846763804</v>
      </c>
      <c r="I37" s="4">
        <f>4*G37/'String Lengths'!E37</f>
        <v>1.1850540166883095</v>
      </c>
      <c r="J37" s="4">
        <f>_xlfn.XLOOKUP(D37,'Gut E est'!$A$5:$A$74,'Gut E est'!$B$5:$B$74,,-1,1)</f>
        <v>5.46805733229289</v>
      </c>
      <c r="K37" s="4">
        <f>J37*(PI()^3)*(D37^4)/(0.128*G37*('String Lengths'!E37^2)*$K$127)</f>
        <v>0.71928451451764452</v>
      </c>
      <c r="L37" s="4">
        <f>0.008*('String Lengths'!E37^2)*C37*SQRT('Misc ref'!$B$9*E37/(J37*1000000000))/(PI()*D37)</f>
        <v>16.81029076721498</v>
      </c>
      <c r="M37" s="4">
        <f t="shared" si="2"/>
        <v>2.1990009124200269</v>
      </c>
      <c r="N37" s="4">
        <f t="shared" si="3"/>
        <v>18.580166898093541</v>
      </c>
      <c r="W37" s="36">
        <f>IF(OR(Graphs!$B$6="Yes",Graphs!$B$7="Yes",Graphs!$B$8="Yes"),F37,$Y$127)</f>
        <v>84.137367060979159</v>
      </c>
      <c r="Y37" s="26">
        <f>IF(Graphs!$B$6="Yes",D37,$Y$127)</f>
        <v>2.08</v>
      </c>
      <c r="Z37" s="4">
        <f>IF(Graphs!$B$6="Yes",E37,$Y$127)</f>
        <v>1320</v>
      </c>
      <c r="AA37" s="4">
        <f>IF(Graphs!$B$6="Yes",G37,$Y$127)</f>
        <v>285.89428152605467</v>
      </c>
      <c r="AB37" s="4">
        <f>IF(Graphs!$B$6="Yes",H37,$Y$127)</f>
        <v>1.1323950846763804</v>
      </c>
      <c r="AC37" s="4">
        <f>IF(Graphs!$B$6="Yes",I37,$Y$127)</f>
        <v>1.1850540166883095</v>
      </c>
      <c r="AD37" s="4">
        <f>IF(Graphs!$B$6="Yes",J37,$Y$127)</f>
        <v>5.46805733229289</v>
      </c>
      <c r="AE37" s="4">
        <f>IF(Graphs!$B$6="Yes",K37,$Y$127)</f>
        <v>0.71928451451764452</v>
      </c>
      <c r="AF37" s="4">
        <f>IF(Graphs!$B$6="Yes",L37,$Y$127)</f>
        <v>16.81029076721498</v>
      </c>
      <c r="AG37" s="4">
        <f>IF(Graphs!$B$6="Yes",M37,$Y$127)</f>
        <v>2.1990009124200269</v>
      </c>
      <c r="AH37" s="27">
        <f>IF(Graphs!$B$6="Yes",N37,$Y$127)</f>
        <v>18.580166898093541</v>
      </c>
    </row>
    <row r="38" spans="1:34" x14ac:dyDescent="0.25">
      <c r="A38" s="3">
        <v>32</v>
      </c>
      <c r="B38" s="3" t="s">
        <v>59</v>
      </c>
      <c r="C38" s="3">
        <v>123.47082531403103</v>
      </c>
      <c r="D38" s="4">
        <v>2.1800000000000002</v>
      </c>
      <c r="E38" s="3">
        <f t="shared" si="0"/>
        <v>1320</v>
      </c>
      <c r="F38" s="4">
        <f>((2*C38*'String Lengths'!E38)^2)*E38/1000000000000</f>
        <v>83.417694135843831</v>
      </c>
      <c r="G38" s="4">
        <f t="shared" si="1"/>
        <v>311.35873155246969</v>
      </c>
      <c r="H38" s="4">
        <f>PI()*(D38^2)*E38*'String Lengths'!E38*C38/2000000000</f>
        <v>1.2385653456952015</v>
      </c>
      <c r="I38" s="4">
        <f>4*G38/'String Lengths'!E38</f>
        <v>1.2234134835067572</v>
      </c>
      <c r="J38" s="4">
        <f>_xlfn.XLOOKUP(D38,'Gut E est'!$A$5:$A$74,'Gut E est'!$B$5:$B$74,,-1,1)</f>
        <v>5.4116037077554733</v>
      </c>
      <c r="K38" s="4">
        <f>J38*(PI()^3)*(D38^4)/(0.128*G38*('String Lengths'!E38^2)*$K$127)</f>
        <v>0.70871195905610351</v>
      </c>
      <c r="L38" s="4">
        <f>0.008*('String Lengths'!E38^2)*C38*SQRT('Misc ref'!$B$9*E38/(J38*1000000000))/(PI()*D38)</f>
        <v>16.935214435203466</v>
      </c>
      <c r="M38" s="4">
        <f t="shared" si="2"/>
        <v>2.0910049031846638</v>
      </c>
      <c r="N38" s="4">
        <f t="shared" si="3"/>
        <v>20.198952794924814</v>
      </c>
      <c r="W38" s="36">
        <f>IF(OR(Graphs!$B$6="Yes",Graphs!$B$7="Yes",Graphs!$B$8="Yes"),F38,$Y$127)</f>
        <v>83.417694135843831</v>
      </c>
      <c r="Y38" s="26">
        <f>IF(Graphs!$B$6="Yes",D38,$Y$127)</f>
        <v>2.1800000000000002</v>
      </c>
      <c r="Z38" s="4">
        <f>IF(Graphs!$B$6="Yes",E38,$Y$127)</f>
        <v>1320</v>
      </c>
      <c r="AA38" s="4">
        <f>IF(Graphs!$B$6="Yes",G38,$Y$127)</f>
        <v>311.35873155246969</v>
      </c>
      <c r="AB38" s="4">
        <f>IF(Graphs!$B$6="Yes",H38,$Y$127)</f>
        <v>1.2385653456952015</v>
      </c>
      <c r="AC38" s="4">
        <f>IF(Graphs!$B$6="Yes",I38,$Y$127)</f>
        <v>1.2234134835067572</v>
      </c>
      <c r="AD38" s="4">
        <f>IF(Graphs!$B$6="Yes",J38,$Y$127)</f>
        <v>5.4116037077554733</v>
      </c>
      <c r="AE38" s="4">
        <f>IF(Graphs!$B$6="Yes",K38,$Y$127)</f>
        <v>0.70871195905610351</v>
      </c>
      <c r="AF38" s="4">
        <f>IF(Graphs!$B$6="Yes",L38,$Y$127)</f>
        <v>16.935214435203466</v>
      </c>
      <c r="AG38" s="4">
        <f>IF(Graphs!$B$6="Yes",M38,$Y$127)</f>
        <v>2.0910049031846638</v>
      </c>
      <c r="AH38" s="27">
        <f>IF(Graphs!$B$6="Yes",N38,$Y$127)</f>
        <v>20.198952794924814</v>
      </c>
    </row>
    <row r="39" spans="1:34" x14ac:dyDescent="0.25">
      <c r="A39" s="3">
        <v>33</v>
      </c>
      <c r="B39" s="3" t="s">
        <v>60</v>
      </c>
      <c r="C39" s="3">
        <v>110</v>
      </c>
      <c r="D39" s="4">
        <v>2.29</v>
      </c>
      <c r="E39" s="3">
        <f t="shared" si="0"/>
        <v>1320</v>
      </c>
      <c r="F39" s="4">
        <f>((2*C39*'String Lengths'!E39)^2)*E39/1000000000000</f>
        <v>72.735785231999998</v>
      </c>
      <c r="G39" s="4">
        <f t="shared" si="1"/>
        <v>299.57735204844778</v>
      </c>
      <c r="H39" s="4">
        <f>PI()*(D39^2)*E39*'String Lengths'!E39*C39/2000000000</f>
        <v>1.2762092189164516</v>
      </c>
      <c r="I39" s="4">
        <f>4*G39/'String Lengths'!E39</f>
        <v>1.1230641126464771</v>
      </c>
      <c r="J39" s="4">
        <f>_xlfn.XLOOKUP(D39,'Gut E est'!$A$5:$A$74,'Gut E est'!$B$5:$B$74,,-1,1)</f>
        <v>5.293392493718307</v>
      </c>
      <c r="K39" s="4">
        <f>J39*(PI()^3)*(D39^4)/(0.128*G39*('String Lengths'!E39^2)*$K$127)</f>
        <v>0.79856931136747211</v>
      </c>
      <c r="L39" s="4">
        <f>0.008*('String Lengths'!E39^2)*C39*SQRT('Misc ref'!$B$9*E39/(J39*1000000000))/(PI()*D39)</f>
        <v>15.953988420289997</v>
      </c>
      <c r="M39" s="4">
        <f t="shared" si="2"/>
        <v>1.7549387262318996</v>
      </c>
      <c r="N39" s="4">
        <f t="shared" si="3"/>
        <v>21.801930116836058</v>
      </c>
      <c r="W39" s="37">
        <f>IF(OR(Graphs!$B$6="Yes",Graphs!$B$7="Yes",Graphs!$B$8="Yes"),F39,$Y$127)</f>
        <v>72.735785231999998</v>
      </c>
      <c r="Y39" s="28">
        <f>IF(Graphs!$B$6="Yes",D39,$Y$127)</f>
        <v>2.29</v>
      </c>
      <c r="Z39" s="15">
        <f>IF(Graphs!$B$6="Yes",E39,$Y$127)</f>
        <v>1320</v>
      </c>
      <c r="AA39" s="15">
        <f>IF(Graphs!$B$6="Yes",G39,$Y$127)</f>
        <v>299.57735204844778</v>
      </c>
      <c r="AB39" s="15">
        <f>IF(Graphs!$B$6="Yes",H39,$Y$127)</f>
        <v>1.2762092189164516</v>
      </c>
      <c r="AC39" s="15">
        <f>IF(Graphs!$B$6="Yes",I39,$Y$127)</f>
        <v>1.1230641126464771</v>
      </c>
      <c r="AD39" s="15">
        <f>IF(Graphs!$B$6="Yes",J39,$Y$127)</f>
        <v>5.293392493718307</v>
      </c>
      <c r="AE39" s="15">
        <f>IF(Graphs!$B$6="Yes",K39,$Y$127)</f>
        <v>0.79856931136747211</v>
      </c>
      <c r="AF39" s="15">
        <f>IF(Graphs!$B$6="Yes",L39,$Y$127)</f>
        <v>15.953988420289997</v>
      </c>
      <c r="AG39" s="15">
        <f>IF(Graphs!$B$6="Yes",M39,$Y$127)</f>
        <v>1.7549387262318996</v>
      </c>
      <c r="AH39" s="29">
        <f>IF(Graphs!$B$6="Yes",N39,$Y$127)</f>
        <v>21.801930116836058</v>
      </c>
    </row>
    <row r="41" spans="1:34" x14ac:dyDescent="0.25">
      <c r="D41" s="31" t="s">
        <v>24</v>
      </c>
      <c r="R41" s="3"/>
      <c r="S41" s="3"/>
      <c r="T41" s="3"/>
      <c r="U41" s="3"/>
      <c r="X41" s="3"/>
      <c r="Y41" s="22"/>
      <c r="Z41" s="35"/>
      <c r="AA41" s="35"/>
      <c r="AB41" s="35"/>
      <c r="AC41" s="35"/>
      <c r="AD41" s="35"/>
      <c r="AE41" s="35"/>
      <c r="AF41" s="35"/>
      <c r="AG41" s="35"/>
      <c r="AH41" s="16"/>
    </row>
    <row r="42" spans="1:34" x14ac:dyDescent="0.25">
      <c r="A42" s="3" t="s">
        <v>20</v>
      </c>
      <c r="B42" s="3" t="s">
        <v>21</v>
      </c>
      <c r="C42" s="3" t="s">
        <v>22</v>
      </c>
      <c r="D42" s="31" t="s">
        <v>70</v>
      </c>
      <c r="E42" s="3" t="s">
        <v>62</v>
      </c>
      <c r="F42" s="3" t="s">
        <v>66</v>
      </c>
      <c r="G42" s="3" t="s">
        <v>68</v>
      </c>
      <c r="H42" s="3" t="s">
        <v>71</v>
      </c>
      <c r="I42" s="3" t="s">
        <v>73</v>
      </c>
      <c r="J42" s="3" t="s">
        <v>75</v>
      </c>
      <c r="K42" s="3" t="s">
        <v>77</v>
      </c>
      <c r="L42" s="3" t="s">
        <v>79</v>
      </c>
      <c r="M42" s="3" t="s">
        <v>80</v>
      </c>
      <c r="N42" s="3" t="s">
        <v>82</v>
      </c>
      <c r="R42" s="3"/>
      <c r="S42" s="3"/>
      <c r="T42" s="3"/>
      <c r="U42" s="3"/>
      <c r="X42" s="3"/>
      <c r="Y42" s="11" t="s">
        <v>70</v>
      </c>
      <c r="Z42" s="3" t="s">
        <v>62</v>
      </c>
      <c r="AA42" s="3" t="s">
        <v>68</v>
      </c>
      <c r="AB42" s="3" t="s">
        <v>71</v>
      </c>
      <c r="AC42" s="3" t="s">
        <v>73</v>
      </c>
      <c r="AD42" s="3" t="s">
        <v>75</v>
      </c>
      <c r="AE42" s="3" t="s">
        <v>77</v>
      </c>
      <c r="AF42" s="3" t="s">
        <v>79</v>
      </c>
      <c r="AG42" s="3" t="s">
        <v>80</v>
      </c>
      <c r="AH42" s="12" t="s">
        <v>82</v>
      </c>
    </row>
    <row r="43" spans="1:34" x14ac:dyDescent="0.25">
      <c r="A43" s="3" t="s">
        <v>61</v>
      </c>
      <c r="C43" s="3" t="s">
        <v>25</v>
      </c>
      <c r="D43" s="31" t="s">
        <v>8</v>
      </c>
      <c r="E43" s="3" t="s">
        <v>63</v>
      </c>
      <c r="F43" s="3" t="s">
        <v>67</v>
      </c>
      <c r="G43" s="3" t="s">
        <v>69</v>
      </c>
      <c r="H43" s="3" t="s">
        <v>72</v>
      </c>
      <c r="I43" s="3" t="s">
        <v>74</v>
      </c>
      <c r="J43" s="3" t="s">
        <v>76</v>
      </c>
      <c r="K43" s="3" t="s">
        <v>78</v>
      </c>
      <c r="M43" s="3" t="s">
        <v>81</v>
      </c>
      <c r="N43" s="3" t="s">
        <v>83</v>
      </c>
      <c r="R43" s="3"/>
      <c r="S43" s="3"/>
      <c r="T43" s="3"/>
      <c r="U43" s="3"/>
      <c r="X43" s="3"/>
      <c r="Y43" s="11" t="s">
        <v>8</v>
      </c>
      <c r="Z43" s="3" t="s">
        <v>63</v>
      </c>
      <c r="AA43" s="3" t="s">
        <v>69</v>
      </c>
      <c r="AB43" s="3" t="s">
        <v>72</v>
      </c>
      <c r="AC43" s="3" t="s">
        <v>74</v>
      </c>
      <c r="AD43" s="3" t="s">
        <v>76</v>
      </c>
      <c r="AE43" s="3" t="s">
        <v>78</v>
      </c>
      <c r="AG43" s="3" t="s">
        <v>81</v>
      </c>
      <c r="AH43" s="12" t="s">
        <v>83</v>
      </c>
    </row>
    <row r="44" spans="1:34" x14ac:dyDescent="0.25">
      <c r="Y44" s="25"/>
      <c r="AH44" s="17"/>
    </row>
    <row r="45" spans="1:34" x14ac:dyDescent="0.25">
      <c r="A45" s="1">
        <v>-1</v>
      </c>
      <c r="B45" s="3" t="s">
        <v>26</v>
      </c>
      <c r="C45" s="3">
        <v>3135.9634878539941</v>
      </c>
      <c r="D45" s="4">
        <v>0.41</v>
      </c>
      <c r="E45" s="3">
        <f t="shared" ref="E45:E79" si="4">$E$127</f>
        <v>1320</v>
      </c>
      <c r="F45" s="4">
        <f>((2*C45*'String Lengths'!E5)^2)*E45/1000000000000</f>
        <v>276.70795061094452</v>
      </c>
      <c r="G45" s="4">
        <f>F45*PI()*(D45^2)/4</f>
        <v>36.532486514448408</v>
      </c>
      <c r="H45" s="4">
        <f>PI()*(D45^2)*E45*'String Lengths'!E5*C45/2000000000</f>
        <v>7.9791270319976473E-2</v>
      </c>
      <c r="I45" s="4">
        <f>4*G45/'String Lengths'!E5</f>
        <v>2.0017800829834744</v>
      </c>
      <c r="J45" s="4">
        <f>_xlfn.XLOOKUP(D45,'Gut E est'!$A$5:$A$74,'Gut E est'!$B$5:$B$74,,-1,1)</f>
        <v>6.6651476952632098</v>
      </c>
      <c r="K45" s="4">
        <f>J45*(PI()^3)*(D45^4)/(0.128*G45*('String Lengths'!E5^2)*$K$127)</f>
        <v>1.8100670306506796</v>
      </c>
      <c r="L45" s="4">
        <f>0.008*('String Lengths'!E5^2)*C45*SQRT('Misc ref'!$B$9*E45/(J45*1000000000))/(PI()*D45)</f>
        <v>10.596885742294011</v>
      </c>
      <c r="M45" s="4">
        <f t="shared" ref="M45:M79" si="5">L45*C45/1000</f>
        <v>33.231446772794591</v>
      </c>
      <c r="N45" s="4">
        <f>J45*PI()*(D45^2)/4</f>
        <v>0.87996899892611635</v>
      </c>
      <c r="Y45" s="26">
        <f>IF(Graphs!$B$7="Yes",D45,$Y$127)</f>
        <v>-100</v>
      </c>
      <c r="Z45" s="4">
        <f>IF(Graphs!$B$7="Yes",E45,$Y$127)</f>
        <v>-100</v>
      </c>
      <c r="AA45" s="4">
        <f>IF(Graphs!$B$7="Yes",G45,$Y$127)</f>
        <v>-100</v>
      </c>
      <c r="AB45" s="4">
        <f>IF(Graphs!$B$7="Yes",H45,$Y$127)</f>
        <v>-100</v>
      </c>
      <c r="AC45" s="4">
        <f>IF(Graphs!$B$7="Yes",I45,$Y$127)</f>
        <v>-100</v>
      </c>
      <c r="AD45" s="4">
        <f>IF(Graphs!$B$7="Yes",J45,$Y$127)</f>
        <v>-100</v>
      </c>
      <c r="AE45" s="4">
        <f>IF(Graphs!$B$7="Yes",K45,$Y$127)</f>
        <v>-100</v>
      </c>
      <c r="AF45" s="4">
        <f>IF(Graphs!$B$7="Yes",L45,$Y$127)</f>
        <v>-100</v>
      </c>
      <c r="AG45" s="4">
        <f>IF(Graphs!$B$7="Yes",M45,$Y$127)</f>
        <v>-100</v>
      </c>
      <c r="AH45" s="27">
        <f>IF(Graphs!$B$7="Yes",N45,$Y$127)</f>
        <v>-100</v>
      </c>
    </row>
    <row r="46" spans="1:34" x14ac:dyDescent="0.25">
      <c r="A46" s="2">
        <v>0</v>
      </c>
      <c r="B46" s="2" t="s">
        <v>27</v>
      </c>
      <c r="C46" s="2">
        <v>2793.8258514640311</v>
      </c>
      <c r="D46" s="15">
        <v>0.43</v>
      </c>
      <c r="E46" s="2">
        <f t="shared" si="4"/>
        <v>1320</v>
      </c>
      <c r="F46" s="15">
        <f>((2*C46*'String Lengths'!E6)^2)*E46/1000000000000</f>
        <v>270.39746981382171</v>
      </c>
      <c r="G46" s="15">
        <f t="shared" ref="G46:G79" si="6">F46*PI()*(D46^2)/4</f>
        <v>39.267153125514206</v>
      </c>
      <c r="H46" s="15">
        <f>PI()*(D46^2)*E46*'String Lengths'!E6*C46/2000000000</f>
        <v>8.6759106327652574E-2</v>
      </c>
      <c r="I46" s="15">
        <f>4*G46/'String Lengths'!E6</f>
        <v>1.939118672864899</v>
      </c>
      <c r="J46" s="15">
        <f>_xlfn.XLOOKUP(D46,'Gut E est'!$A$5:$A$74,'Gut E est'!$B$5:$B$74,,-1,1)</f>
        <v>6.6424437302193189</v>
      </c>
      <c r="K46" s="15">
        <f>J46*(PI()^3)*(D46^4)/(0.128*G46*('String Lengths'!E6^2)*$K$127)</f>
        <v>1.649212656908654</v>
      </c>
      <c r="L46" s="15">
        <f>0.008*('String Lengths'!E6^2)*C46*SQRT('Misc ref'!$B$9*E46/(J46*1000000000))/(PI()*D46)</f>
        <v>11.101642839290863</v>
      </c>
      <c r="M46" s="15">
        <f t="shared" si="5"/>
        <v>31.016056758131359</v>
      </c>
      <c r="N46" s="15">
        <f t="shared" ref="N46:N79" si="7">J46*PI()*(D46^2)/4</f>
        <v>0.96461647833363384</v>
      </c>
      <c r="Y46" s="26">
        <f>IF(Graphs!$B$7="Yes",D46,$Y$127)</f>
        <v>-100</v>
      </c>
      <c r="Z46" s="4">
        <f>IF(Graphs!$B$7="Yes",E46,$Y$127)</f>
        <v>-100</v>
      </c>
      <c r="AA46" s="4">
        <f>IF(Graphs!$B$7="Yes",G46,$Y$127)</f>
        <v>-100</v>
      </c>
      <c r="AB46" s="4">
        <f>IF(Graphs!$B$7="Yes",H46,$Y$127)</f>
        <v>-100</v>
      </c>
      <c r="AC46" s="4">
        <f>IF(Graphs!$B$7="Yes",I46,$Y$127)</f>
        <v>-100</v>
      </c>
      <c r="AD46" s="4">
        <f>IF(Graphs!$B$7="Yes",J46,$Y$127)</f>
        <v>-100</v>
      </c>
      <c r="AE46" s="4">
        <f>IF(Graphs!$B$7="Yes",K46,$Y$127)</f>
        <v>-100</v>
      </c>
      <c r="AF46" s="4">
        <f>IF(Graphs!$B$7="Yes",L46,$Y$127)</f>
        <v>-100</v>
      </c>
      <c r="AG46" s="4">
        <f>IF(Graphs!$B$7="Yes",M46,$Y$127)</f>
        <v>-100</v>
      </c>
      <c r="AH46" s="27">
        <f>IF(Graphs!$B$7="Yes",N46,$Y$127)</f>
        <v>-100</v>
      </c>
    </row>
    <row r="47" spans="1:34" x14ac:dyDescent="0.25">
      <c r="A47" s="3">
        <v>1</v>
      </c>
      <c r="B47" s="3" t="s">
        <v>28</v>
      </c>
      <c r="C47" s="3">
        <v>2637.0204553029594</v>
      </c>
      <c r="D47" s="4">
        <v>0.45</v>
      </c>
      <c r="E47" s="3">
        <f t="shared" si="4"/>
        <v>1320</v>
      </c>
      <c r="F47" s="4">
        <f>((2*C47*'String Lengths'!E7)^2)*E47/1000000000000</f>
        <v>277.90696094031051</v>
      </c>
      <c r="G47" s="4">
        <f t="shared" si="6"/>
        <v>44.199192385371973</v>
      </c>
      <c r="H47" s="4">
        <f>PI()*(D47^2)*E47*'String Lengths'!E7*C47/2000000000</f>
        <v>9.6327787875723644E-2</v>
      </c>
      <c r="I47" s="4">
        <f>4*G47/'String Lengths'!E7</f>
        <v>2.0321467763389411</v>
      </c>
      <c r="J47" s="4">
        <f>_xlfn.XLOOKUP(D47,'Gut E est'!$A$5:$A$74,'Gut E est'!$B$5:$B$74,,-1,1)</f>
        <v>6.6188239339855235</v>
      </c>
      <c r="K47" s="4">
        <f>J47*(PI()^3)*(D47^4)/(0.128*G47*('String Lengths'!E7^2)*$K$127)</f>
        <v>1.517932470220988</v>
      </c>
      <c r="L47" s="4">
        <f>0.008*('String Lengths'!E7^2)*C47*SQRT('Misc ref'!$B$9*E47/(J47*1000000000))/(PI()*D47)</f>
        <v>11.571758332978288</v>
      </c>
      <c r="M47" s="4">
        <f t="shared" si="5"/>
        <v>30.514963427886219</v>
      </c>
      <c r="N47" s="4">
        <f t="shared" si="7"/>
        <v>1.052678462724669</v>
      </c>
      <c r="Y47" s="26">
        <f>IF(Graphs!$B$7="Yes",D47,$Y$127)</f>
        <v>-100</v>
      </c>
      <c r="Z47" s="4">
        <f>IF(Graphs!$B$7="Yes",E47,$Y$127)</f>
        <v>-100</v>
      </c>
      <c r="AA47" s="4">
        <f>IF(Graphs!$B$7="Yes",G47,$Y$127)</f>
        <v>-100</v>
      </c>
      <c r="AB47" s="4">
        <f>IF(Graphs!$B$7="Yes",H47,$Y$127)</f>
        <v>-100</v>
      </c>
      <c r="AC47" s="4">
        <f>IF(Graphs!$B$7="Yes",I47,$Y$127)</f>
        <v>-100</v>
      </c>
      <c r="AD47" s="4">
        <f>IF(Graphs!$B$7="Yes",J47,$Y$127)</f>
        <v>-100</v>
      </c>
      <c r="AE47" s="4">
        <f>IF(Graphs!$B$7="Yes",K47,$Y$127)</f>
        <v>-100</v>
      </c>
      <c r="AF47" s="4">
        <f>IF(Graphs!$B$7="Yes",L47,$Y$127)</f>
        <v>-100</v>
      </c>
      <c r="AG47" s="4">
        <f>IF(Graphs!$B$7="Yes",M47,$Y$127)</f>
        <v>-100</v>
      </c>
      <c r="AH47" s="27">
        <f>IF(Graphs!$B$7="Yes",N47,$Y$127)</f>
        <v>-100</v>
      </c>
    </row>
    <row r="48" spans="1:34" x14ac:dyDescent="0.25">
      <c r="A48" s="3">
        <v>2</v>
      </c>
      <c r="B48" s="3" t="s">
        <v>29</v>
      </c>
      <c r="C48" s="3">
        <v>2349.3181433392606</v>
      </c>
      <c r="D48" s="4">
        <v>0.47</v>
      </c>
      <c r="E48" s="3">
        <f t="shared" si="4"/>
        <v>1320</v>
      </c>
      <c r="F48" s="4">
        <f>((2*C48*'String Lengths'!E8)^2)*E48/1000000000000</f>
        <v>263.00548053686464</v>
      </c>
      <c r="G48" s="4">
        <f t="shared" si="6"/>
        <v>45.629992322205105</v>
      </c>
      <c r="H48" s="4">
        <f>PI()*(D48^2)*E48*'String Lengths'!E8*C48/2000000000</f>
        <v>0.10222449224609531</v>
      </c>
      <c r="I48" s="4">
        <f>4*G48/'String Lengths'!E8</f>
        <v>1.9212628346191623</v>
      </c>
      <c r="J48" s="4">
        <f>_xlfn.XLOOKUP(D48,'Gut E est'!$A$5:$A$74,'Gut E est'!$B$5:$B$74,,-1,1)</f>
        <v>6.5943094508393685</v>
      </c>
      <c r="K48" s="4">
        <f>J48*(PI()^3)*(D48^4)/(0.128*G48*('String Lengths'!E8^2)*$K$127)</f>
        <v>1.4619669517613463</v>
      </c>
      <c r="L48" s="4">
        <f>0.008*('String Lengths'!E8^2)*C48*SQRT('Misc ref'!$B$9*E48/(J48*1000000000))/(PI()*D48)</f>
        <v>11.791167343553367</v>
      </c>
      <c r="M48" s="4">
        <f t="shared" si="5"/>
        <v>27.701203371359316</v>
      </c>
      <c r="N48" s="4">
        <f t="shared" si="7"/>
        <v>1.1440761196224158</v>
      </c>
      <c r="Y48" s="26">
        <f>IF(Graphs!$B$7="Yes",D48,$Y$127)</f>
        <v>-100</v>
      </c>
      <c r="Z48" s="4">
        <f>IF(Graphs!$B$7="Yes",E48,$Y$127)</f>
        <v>-100</v>
      </c>
      <c r="AA48" s="4">
        <f>IF(Graphs!$B$7="Yes",G48,$Y$127)</f>
        <v>-100</v>
      </c>
      <c r="AB48" s="4">
        <f>IF(Graphs!$B$7="Yes",H48,$Y$127)</f>
        <v>-100</v>
      </c>
      <c r="AC48" s="4">
        <f>IF(Graphs!$B$7="Yes",I48,$Y$127)</f>
        <v>-100</v>
      </c>
      <c r="AD48" s="4">
        <f>IF(Graphs!$B$7="Yes",J48,$Y$127)</f>
        <v>-100</v>
      </c>
      <c r="AE48" s="4">
        <f>IF(Graphs!$B$7="Yes",K48,$Y$127)</f>
        <v>-100</v>
      </c>
      <c r="AF48" s="4">
        <f>IF(Graphs!$B$7="Yes",L48,$Y$127)</f>
        <v>-100</v>
      </c>
      <c r="AG48" s="4">
        <f>IF(Graphs!$B$7="Yes",M48,$Y$127)</f>
        <v>-100</v>
      </c>
      <c r="AH48" s="27">
        <f>IF(Graphs!$B$7="Yes",N48,$Y$127)</f>
        <v>-100</v>
      </c>
    </row>
    <row r="49" spans="1:34" x14ac:dyDescent="0.25">
      <c r="A49" s="3">
        <v>3</v>
      </c>
      <c r="B49" s="3" t="s">
        <v>30</v>
      </c>
      <c r="C49" s="3">
        <v>2093.0045224047894</v>
      </c>
      <c r="D49" s="4">
        <v>0.5</v>
      </c>
      <c r="E49" s="3">
        <f t="shared" si="4"/>
        <v>1320</v>
      </c>
      <c r="F49" s="4">
        <f>((2*C49*'String Lengths'!E9)^2)*E49/1000000000000</f>
        <v>245.38539209147257</v>
      </c>
      <c r="G49" s="4">
        <f t="shared" si="6"/>
        <v>48.181309068301324</v>
      </c>
      <c r="H49" s="4">
        <f>PI()*(D49^2)*E49*'String Lengths'!E9*C49/2000000000</f>
        <v>0.11174837289763311</v>
      </c>
      <c r="I49" s="4">
        <f>4*G49/'String Lengths'!E9</f>
        <v>1.8711187987689835</v>
      </c>
      <c r="J49" s="4">
        <f>_xlfn.XLOOKUP(D49,'Gut E est'!$A$5:$A$74,'Gut E est'!$B$5:$B$74,,-1,1)</f>
        <v>6.5559077981431253</v>
      </c>
      <c r="K49" s="4">
        <f>J49*(PI()^3)*(D49^4)/(0.128*G49*('String Lengths'!E9^2)*$K$127)</f>
        <v>1.4998029933383723</v>
      </c>
      <c r="L49" s="4">
        <f>0.008*('String Lengths'!E9^2)*C49*SQRT('Misc ref'!$B$9*E49/(J49*1000000000))/(PI()*D49)</f>
        <v>11.641487407049937</v>
      </c>
      <c r="M49" s="4">
        <f t="shared" si="5"/>
        <v>24.365685790473922</v>
      </c>
      <c r="N49" s="4">
        <f t="shared" si="7"/>
        <v>1.287249486016155</v>
      </c>
      <c r="Y49" s="26">
        <f>IF(Graphs!$B$7="Yes",D49,$Y$127)</f>
        <v>-100</v>
      </c>
      <c r="Z49" s="4">
        <f>IF(Graphs!$B$7="Yes",E49,$Y$127)</f>
        <v>-100</v>
      </c>
      <c r="AA49" s="4">
        <f>IF(Graphs!$B$7="Yes",G49,$Y$127)</f>
        <v>-100</v>
      </c>
      <c r="AB49" s="4">
        <f>IF(Graphs!$B$7="Yes",H49,$Y$127)</f>
        <v>-100</v>
      </c>
      <c r="AC49" s="4">
        <f>IF(Graphs!$B$7="Yes",I49,$Y$127)</f>
        <v>-100</v>
      </c>
      <c r="AD49" s="4">
        <f>IF(Graphs!$B$7="Yes",J49,$Y$127)</f>
        <v>-100</v>
      </c>
      <c r="AE49" s="4">
        <f>IF(Graphs!$B$7="Yes",K49,$Y$127)</f>
        <v>-100</v>
      </c>
      <c r="AF49" s="4">
        <f>IF(Graphs!$B$7="Yes",L49,$Y$127)</f>
        <v>-100</v>
      </c>
      <c r="AG49" s="4">
        <f>IF(Graphs!$B$7="Yes",M49,$Y$127)</f>
        <v>-100</v>
      </c>
      <c r="AH49" s="27">
        <f>IF(Graphs!$B$7="Yes",N49,$Y$127)</f>
        <v>-100</v>
      </c>
    </row>
    <row r="50" spans="1:34" x14ac:dyDescent="0.25">
      <c r="A50" s="3">
        <v>4</v>
      </c>
      <c r="B50" s="3" t="s">
        <v>31</v>
      </c>
      <c r="C50" s="3">
        <v>1975.5332050244965</v>
      </c>
      <c r="D50" s="4">
        <v>0.56000000000000005</v>
      </c>
      <c r="E50" s="3">
        <f t="shared" si="4"/>
        <v>1320</v>
      </c>
      <c r="F50" s="4">
        <f>((2*C50*'String Lengths'!E10)^2)*E50/1000000000000</f>
        <v>263.123402838949</v>
      </c>
      <c r="G50" s="4">
        <f t="shared" si="6"/>
        <v>64.807521468756974</v>
      </c>
      <c r="H50" s="4">
        <f>PI()*(D50^2)*E50*'String Lengths'!E10*C50/2000000000</f>
        <v>0.14515521370265513</v>
      </c>
      <c r="I50" s="4">
        <f>4*G50/'String Lengths'!E10</f>
        <v>2.294071556416176</v>
      </c>
      <c r="J50" s="4">
        <f>_xlfn.XLOOKUP(D50,'Gut E est'!$A$5:$A$74,'Gut E est'!$B$5:$B$74,,-1,1)</f>
        <v>6.4735158195218414</v>
      </c>
      <c r="K50" s="4">
        <f>J50*(PI()^3)*(D50^4)/(0.128*G50*('String Lengths'!E10^2)*$K$127)</f>
        <v>1.4394097125225833</v>
      </c>
      <c r="L50" s="4">
        <f>0.008*('String Lengths'!E10^2)*C50*SQRT('Misc ref'!$B$9*E50/(J50*1000000000))/(PI()*D50)</f>
        <v>11.883198898757588</v>
      </c>
      <c r="M50" s="4">
        <f t="shared" si="5"/>
        <v>23.475654006406145</v>
      </c>
      <c r="N50" s="4">
        <f t="shared" si="7"/>
        <v>1.594432539734159</v>
      </c>
      <c r="Y50" s="26">
        <f>IF(Graphs!$B$7="Yes",D50,$Y$127)</f>
        <v>-100</v>
      </c>
      <c r="Z50" s="4">
        <f>IF(Graphs!$B$7="Yes",E50,$Y$127)</f>
        <v>-100</v>
      </c>
      <c r="AA50" s="4">
        <f>IF(Graphs!$B$7="Yes",G50,$Y$127)</f>
        <v>-100</v>
      </c>
      <c r="AB50" s="4">
        <f>IF(Graphs!$B$7="Yes",H50,$Y$127)</f>
        <v>-100</v>
      </c>
      <c r="AC50" s="4">
        <f>IF(Graphs!$B$7="Yes",I50,$Y$127)</f>
        <v>-100</v>
      </c>
      <c r="AD50" s="4">
        <f>IF(Graphs!$B$7="Yes",J50,$Y$127)</f>
        <v>-100</v>
      </c>
      <c r="AE50" s="4">
        <f>IF(Graphs!$B$7="Yes",K50,$Y$127)</f>
        <v>-100</v>
      </c>
      <c r="AF50" s="4">
        <f>IF(Graphs!$B$7="Yes",L50,$Y$127)</f>
        <v>-100</v>
      </c>
      <c r="AG50" s="4">
        <f>IF(Graphs!$B$7="Yes",M50,$Y$127)</f>
        <v>-100</v>
      </c>
      <c r="AH50" s="27">
        <f>IF(Graphs!$B$7="Yes",N50,$Y$127)</f>
        <v>-100</v>
      </c>
    </row>
    <row r="51" spans="1:34" x14ac:dyDescent="0.25">
      <c r="A51" s="3">
        <v>5</v>
      </c>
      <c r="B51" s="3" t="s">
        <v>32</v>
      </c>
      <c r="C51" s="3">
        <v>1760</v>
      </c>
      <c r="D51" s="4">
        <v>0.6</v>
      </c>
      <c r="E51" s="3">
        <f t="shared" si="4"/>
        <v>1320</v>
      </c>
      <c r="F51" s="4">
        <f>((2*C51*'String Lengths'!E11)^2)*E51/1000000000000</f>
        <v>243.432701952</v>
      </c>
      <c r="G51" s="4">
        <f t="shared" si="6"/>
        <v>68.828974928632519</v>
      </c>
      <c r="H51" s="4">
        <f>PI()*(D51^2)*E51*'String Lengths'!E11*C51/2000000000</f>
        <v>0.16027611523992297</v>
      </c>
      <c r="I51" s="4">
        <f>4*G51/'String Lengths'!E11</f>
        <v>2.2566877025781156</v>
      </c>
      <c r="J51" s="4">
        <f>_xlfn.XLOOKUP(D51,'Gut E est'!$A$5:$A$74,'Gut E est'!$B$5:$B$74,,-1,1)</f>
        <v>6.4147006498018122</v>
      </c>
      <c r="K51" s="4">
        <f>J51*(PI()^3)*(D51^4)/(0.128*G51*('String Lengths'!E11^2)*$K$127)</f>
        <v>1.5183253368255916</v>
      </c>
      <c r="L51" s="4">
        <f>0.008*('String Lengths'!E11^2)*C51*SQRT('Misc ref'!$B$9*E51/(J51*1000000000))/(PI()*D51)</f>
        <v>11.570261140178808</v>
      </c>
      <c r="M51" s="4">
        <f t="shared" si="5"/>
        <v>20.363659606714702</v>
      </c>
      <c r="N51" s="4">
        <f t="shared" si="7"/>
        <v>1.8137138792755541</v>
      </c>
      <c r="Y51" s="26">
        <f>IF(Graphs!$B$7="Yes",D51,$Y$127)</f>
        <v>-100</v>
      </c>
      <c r="Z51" s="4">
        <f>IF(Graphs!$B$7="Yes",E51,$Y$127)</f>
        <v>-100</v>
      </c>
      <c r="AA51" s="4">
        <f>IF(Graphs!$B$7="Yes",G51,$Y$127)</f>
        <v>-100</v>
      </c>
      <c r="AB51" s="4">
        <f>IF(Graphs!$B$7="Yes",H51,$Y$127)</f>
        <v>-100</v>
      </c>
      <c r="AC51" s="4">
        <f>IF(Graphs!$B$7="Yes",I51,$Y$127)</f>
        <v>-100</v>
      </c>
      <c r="AD51" s="4">
        <f>IF(Graphs!$B$7="Yes",J51,$Y$127)</f>
        <v>-100</v>
      </c>
      <c r="AE51" s="4">
        <f>IF(Graphs!$B$7="Yes",K51,$Y$127)</f>
        <v>-100</v>
      </c>
      <c r="AF51" s="4">
        <f>IF(Graphs!$B$7="Yes",L51,$Y$127)</f>
        <v>-100</v>
      </c>
      <c r="AG51" s="4">
        <f>IF(Graphs!$B$7="Yes",M51,$Y$127)</f>
        <v>-100</v>
      </c>
      <c r="AH51" s="27">
        <f>IF(Graphs!$B$7="Yes",N51,$Y$127)</f>
        <v>-100</v>
      </c>
    </row>
    <row r="52" spans="1:34" x14ac:dyDescent="0.25">
      <c r="A52" s="3">
        <v>6</v>
      </c>
      <c r="B52" s="3" t="s">
        <v>33</v>
      </c>
      <c r="C52" s="3">
        <v>1567.9817439269971</v>
      </c>
      <c r="D52" s="4">
        <v>0.64</v>
      </c>
      <c r="E52" s="3">
        <f t="shared" si="4"/>
        <v>1320</v>
      </c>
      <c r="F52" s="4">
        <f>((2*C52*'String Lengths'!E12)^2)*E52/1000000000000</f>
        <v>229.62502056469307</v>
      </c>
      <c r="G52" s="4">
        <f t="shared" si="6"/>
        <v>73.870159635091966</v>
      </c>
      <c r="H52" s="4">
        <f>PI()*(D52^2)*E52*'String Lengths'!E12*C52/2000000000</f>
        <v>0.17711135230037958</v>
      </c>
      <c r="I52" s="4">
        <f>4*G52/'String Lengths'!E12</f>
        <v>2.2216589363937431</v>
      </c>
      <c r="J52" s="4">
        <f>_xlfn.XLOOKUP(D52,'Gut E est'!$A$5:$A$74,'Gut E est'!$B$5:$B$74,,-1,1)</f>
        <v>6.4212086514912716</v>
      </c>
      <c r="K52" s="4">
        <f>J52*(PI()^3)*(D52^4)/(0.128*G52*('String Lengths'!E12^2)*$K$127)</f>
        <v>1.5425482774277113</v>
      </c>
      <c r="L52" s="4">
        <f>0.008*('String Lengths'!E12^2)*C52*SQRT('Misc ref'!$B$9*E52/(J52*1000000000))/(PI()*D52)</f>
        <v>11.479056623546279</v>
      </c>
      <c r="M52" s="4">
        <f t="shared" si="5"/>
        <v>17.998951223224843</v>
      </c>
      <c r="N52" s="4">
        <f t="shared" si="7"/>
        <v>2.0656969652932813</v>
      </c>
      <c r="Y52" s="26">
        <f>IF(Graphs!$B$7="Yes",D52,$Y$127)</f>
        <v>-100</v>
      </c>
      <c r="Z52" s="4">
        <f>IF(Graphs!$B$7="Yes",E52,$Y$127)</f>
        <v>-100</v>
      </c>
      <c r="AA52" s="4">
        <f>IF(Graphs!$B$7="Yes",G52,$Y$127)</f>
        <v>-100</v>
      </c>
      <c r="AB52" s="4">
        <f>IF(Graphs!$B$7="Yes",H52,$Y$127)</f>
        <v>-100</v>
      </c>
      <c r="AC52" s="4">
        <f>IF(Graphs!$B$7="Yes",I52,$Y$127)</f>
        <v>-100</v>
      </c>
      <c r="AD52" s="4">
        <f>IF(Graphs!$B$7="Yes",J52,$Y$127)</f>
        <v>-100</v>
      </c>
      <c r="AE52" s="4">
        <f>IF(Graphs!$B$7="Yes",K52,$Y$127)</f>
        <v>-100</v>
      </c>
      <c r="AF52" s="4">
        <f>IF(Graphs!$B$7="Yes",L52,$Y$127)</f>
        <v>-100</v>
      </c>
      <c r="AG52" s="4">
        <f>IF(Graphs!$B$7="Yes",M52,$Y$127)</f>
        <v>-100</v>
      </c>
      <c r="AH52" s="27">
        <f>IF(Graphs!$B$7="Yes",N52,$Y$127)</f>
        <v>-100</v>
      </c>
    </row>
    <row r="53" spans="1:34" x14ac:dyDescent="0.25">
      <c r="A53" s="2">
        <v>7</v>
      </c>
      <c r="B53" s="2" t="s">
        <v>34</v>
      </c>
      <c r="C53" s="2">
        <v>1396.9129257320155</v>
      </c>
      <c r="D53" s="15">
        <v>0.66</v>
      </c>
      <c r="E53" s="2">
        <f t="shared" si="4"/>
        <v>1320</v>
      </c>
      <c r="F53" s="15">
        <f>((2*C53*'String Lengths'!E13)^2)*E53/1000000000000</f>
        <v>213.64738355659986</v>
      </c>
      <c r="G53" s="15">
        <f t="shared" si="6"/>
        <v>73.092923214706332</v>
      </c>
      <c r="H53" s="15">
        <f>PI()*(D53^2)*E53*'String Lengths'!E13*C53/2000000000</f>
        <v>0.18168267155255319</v>
      </c>
      <c r="I53" s="15">
        <f>4*G53/'String Lengths'!E13</f>
        <v>2.0303589781862872</v>
      </c>
      <c r="J53" s="15">
        <f>_xlfn.XLOOKUP(D53,'Gut E est'!$A$5:$A$74,'Gut E est'!$B$5:$B$74,,-1,1)</f>
        <v>6.3929857543498434</v>
      </c>
      <c r="K53" s="15">
        <f>J53*(PI()^3)*(D53^4)/(0.128*G53*('String Lengths'!E13^2)*$K$127)</f>
        <v>1.4974542754056417</v>
      </c>
      <c r="L53" s="15">
        <f>0.008*('String Lengths'!E13^2)*C53*SQRT('Misc ref'!$B$9*E53/(J53*1000000000))/(PI()*D53)</f>
        <v>11.650613514457223</v>
      </c>
      <c r="M53" s="15">
        <f t="shared" si="5"/>
        <v>16.274892611053399</v>
      </c>
      <c r="N53" s="15">
        <f t="shared" si="7"/>
        <v>2.1871647060522572</v>
      </c>
      <c r="Y53" s="26">
        <f>IF(Graphs!$B$7="Yes",D53,$Y$127)</f>
        <v>-100</v>
      </c>
      <c r="Z53" s="4">
        <f>IF(Graphs!$B$7="Yes",E53,$Y$127)</f>
        <v>-100</v>
      </c>
      <c r="AA53" s="4">
        <f>IF(Graphs!$B$7="Yes",G53,$Y$127)</f>
        <v>-100</v>
      </c>
      <c r="AB53" s="4">
        <f>IF(Graphs!$B$7="Yes",H53,$Y$127)</f>
        <v>-100</v>
      </c>
      <c r="AC53" s="4">
        <f>IF(Graphs!$B$7="Yes",I53,$Y$127)</f>
        <v>-100</v>
      </c>
      <c r="AD53" s="4">
        <f>IF(Graphs!$B$7="Yes",J53,$Y$127)</f>
        <v>-100</v>
      </c>
      <c r="AE53" s="4">
        <f>IF(Graphs!$B$7="Yes",K53,$Y$127)</f>
        <v>-100</v>
      </c>
      <c r="AF53" s="4">
        <f>IF(Graphs!$B$7="Yes",L53,$Y$127)</f>
        <v>-100</v>
      </c>
      <c r="AG53" s="4">
        <f>IF(Graphs!$B$7="Yes",M53,$Y$127)</f>
        <v>-100</v>
      </c>
      <c r="AH53" s="27">
        <f>IF(Graphs!$B$7="Yes",N53,$Y$127)</f>
        <v>-100</v>
      </c>
    </row>
    <row r="54" spans="1:34" x14ac:dyDescent="0.25">
      <c r="A54" s="3">
        <v>8</v>
      </c>
      <c r="B54" s="3" t="s">
        <v>35</v>
      </c>
      <c r="C54" s="3">
        <v>1318.5102276514797</v>
      </c>
      <c r="D54" s="4">
        <v>0.7</v>
      </c>
      <c r="E54" s="3">
        <f t="shared" si="4"/>
        <v>1320</v>
      </c>
      <c r="F54" s="4">
        <f>((2*C54*'String Lengths'!E14)^2)*E54/1000000000000</f>
        <v>217.69195024641311</v>
      </c>
      <c r="G54" s="4">
        <f t="shared" si="6"/>
        <v>83.777680375871356</v>
      </c>
      <c r="H54" s="4">
        <f>PI()*(D54^2)*E54*'String Lengths'!E14*C54/2000000000</f>
        <v>0.20629756983403161</v>
      </c>
      <c r="I54" s="4">
        <f>4*G54/'String Lengths'!E14</f>
        <v>2.1760436461265287</v>
      </c>
      <c r="J54" s="4">
        <f>_xlfn.XLOOKUP(D54,'Gut E est'!$A$5:$A$74,'Gut E est'!$B$5:$B$74,,-1,1)</f>
        <v>6.3347300476775441</v>
      </c>
      <c r="K54" s="4">
        <f>J54*(PI()^3)*(D54^4)/(0.128*G54*('String Lengths'!E14^2)*$K$127)</f>
        <v>1.432270033932765</v>
      </c>
      <c r="L54" s="4">
        <f>0.008*('String Lengths'!E14^2)*C54*SQRT('Misc ref'!$B$9*E54/(J54*1000000000))/(PI()*D54)</f>
        <v>11.9127801751997</v>
      </c>
      <c r="M54" s="4">
        <f t="shared" si="5"/>
        <v>15.707122500764591</v>
      </c>
      <c r="N54" s="4">
        <f t="shared" si="7"/>
        <v>2.4378898190816405</v>
      </c>
      <c r="Y54" s="26">
        <f>IF(Graphs!$B$7="Yes",D54,$Y$127)</f>
        <v>-100</v>
      </c>
      <c r="Z54" s="4">
        <f>IF(Graphs!$B$7="Yes",E54,$Y$127)</f>
        <v>-100</v>
      </c>
      <c r="AA54" s="4">
        <f>IF(Graphs!$B$7="Yes",G54,$Y$127)</f>
        <v>-100</v>
      </c>
      <c r="AB54" s="4">
        <f>IF(Graphs!$B$7="Yes",H54,$Y$127)</f>
        <v>-100</v>
      </c>
      <c r="AC54" s="4">
        <f>IF(Graphs!$B$7="Yes",I54,$Y$127)</f>
        <v>-100</v>
      </c>
      <c r="AD54" s="4">
        <f>IF(Graphs!$B$7="Yes",J54,$Y$127)</f>
        <v>-100</v>
      </c>
      <c r="AE54" s="4">
        <f>IF(Graphs!$B$7="Yes",K54,$Y$127)</f>
        <v>-100</v>
      </c>
      <c r="AF54" s="4">
        <f>IF(Graphs!$B$7="Yes",L54,$Y$127)</f>
        <v>-100</v>
      </c>
      <c r="AG54" s="4">
        <f>IF(Graphs!$B$7="Yes",M54,$Y$127)</f>
        <v>-100</v>
      </c>
      <c r="AH54" s="27">
        <f>IF(Graphs!$B$7="Yes",N54,$Y$127)</f>
        <v>-100</v>
      </c>
    </row>
    <row r="55" spans="1:34" x14ac:dyDescent="0.25">
      <c r="A55" s="3">
        <v>9</v>
      </c>
      <c r="B55" s="3" t="s">
        <v>36</v>
      </c>
      <c r="C55" s="3">
        <v>1174.6590716696303</v>
      </c>
      <c r="D55" s="4">
        <v>0.73</v>
      </c>
      <c r="E55" s="3">
        <f t="shared" si="4"/>
        <v>1320</v>
      </c>
      <c r="F55" s="4">
        <f>((2*C55*'String Lengths'!E15)^2)*E55/1000000000000</f>
        <v>208.08031937987238</v>
      </c>
      <c r="G55" s="4">
        <f t="shared" si="6"/>
        <v>87.0896624724286</v>
      </c>
      <c r="H55" s="4">
        <f>PI()*(D55^2)*E55*'String Lengths'!E15*C55/2000000000</f>
        <v>0.21935021786787465</v>
      </c>
      <c r="I55" s="4">
        <f>4*G55/'String Lengths'!E15</f>
        <v>2.0612937863296712</v>
      </c>
      <c r="J55" s="4">
        <f>_xlfn.XLOOKUP(D55,'Gut E est'!$A$5:$A$74,'Gut E est'!$B$5:$B$74,,-1,1)</f>
        <v>6.2895328487649378</v>
      </c>
      <c r="K55" s="4">
        <f>J55*(PI()^3)*(D55^4)/(0.128*G55*('String Lengths'!E15^2)*$K$127)</f>
        <v>1.3435202604902836</v>
      </c>
      <c r="L55" s="4">
        <f>0.008*('String Lengths'!E15^2)*C55*SQRT('Misc ref'!$B$9*E55/(J55*1000000000))/(PI()*D55)</f>
        <v>12.299953531381236</v>
      </c>
      <c r="M55" s="4">
        <f t="shared" si="5"/>
        <v>14.448251996751875</v>
      </c>
      <c r="N55" s="4">
        <f t="shared" si="7"/>
        <v>2.6324127843547274</v>
      </c>
      <c r="Y55" s="26">
        <f>IF(Graphs!$B$7="Yes",D55,$Y$127)</f>
        <v>-100</v>
      </c>
      <c r="Z55" s="4">
        <f>IF(Graphs!$B$7="Yes",E55,$Y$127)</f>
        <v>-100</v>
      </c>
      <c r="AA55" s="4">
        <f>IF(Graphs!$B$7="Yes",G55,$Y$127)</f>
        <v>-100</v>
      </c>
      <c r="AB55" s="4">
        <f>IF(Graphs!$B$7="Yes",H55,$Y$127)</f>
        <v>-100</v>
      </c>
      <c r="AC55" s="4">
        <f>IF(Graphs!$B$7="Yes",I55,$Y$127)</f>
        <v>-100</v>
      </c>
      <c r="AD55" s="4">
        <f>IF(Graphs!$B$7="Yes",J55,$Y$127)</f>
        <v>-100</v>
      </c>
      <c r="AE55" s="4">
        <f>IF(Graphs!$B$7="Yes",K55,$Y$127)</f>
        <v>-100</v>
      </c>
      <c r="AF55" s="4">
        <f>IF(Graphs!$B$7="Yes",L55,$Y$127)</f>
        <v>-100</v>
      </c>
      <c r="AG55" s="4">
        <f>IF(Graphs!$B$7="Yes",M55,$Y$127)</f>
        <v>-100</v>
      </c>
      <c r="AH55" s="27">
        <f>IF(Graphs!$B$7="Yes",N55,$Y$127)</f>
        <v>-100</v>
      </c>
    </row>
    <row r="56" spans="1:34" x14ac:dyDescent="0.25">
      <c r="A56" s="3">
        <v>10</v>
      </c>
      <c r="B56" s="3" t="s">
        <v>37</v>
      </c>
      <c r="C56" s="3">
        <v>1046.5022612023947</v>
      </c>
      <c r="D56" s="4">
        <v>0.74</v>
      </c>
      <c r="E56" s="3">
        <f t="shared" si="4"/>
        <v>1320</v>
      </c>
      <c r="F56" s="4">
        <f>((2*C56*'String Lengths'!E16)^2)*E56/1000000000000</f>
        <v>191.5389227928631</v>
      </c>
      <c r="G56" s="4">
        <f t="shared" si="6"/>
        <v>82.377832635718647</v>
      </c>
      <c r="H56" s="4">
        <f>PI()*(D56^2)*E56*'String Lengths'!E16*C56/2000000000</f>
        <v>0.21625631918002694</v>
      </c>
      <c r="I56" s="4">
        <f>4*G56/'String Lengths'!E16</f>
        <v>1.8105018161696407</v>
      </c>
      <c r="J56" s="4">
        <f>_xlfn.XLOOKUP(D56,'Gut E est'!$A$5:$A$74,'Gut E est'!$B$5:$B$74,,-1,1)</f>
        <v>6.2741936960013112</v>
      </c>
      <c r="K56" s="4">
        <f>J56*(PI()^3)*(D56^4)/(0.128*G56*('String Lengths'!E16^2)*$K$127)</f>
        <v>1.2900485947925748</v>
      </c>
      <c r="L56" s="4">
        <f>0.008*('String Lengths'!E16^2)*C56*SQRT('Misc ref'!$B$9*E56/(J56*1000000000))/(PI()*D56)</f>
        <v>12.552277899973422</v>
      </c>
      <c r="M56" s="4">
        <f t="shared" si="5"/>
        <v>13.135987205563033</v>
      </c>
      <c r="N56" s="4">
        <f t="shared" si="7"/>
        <v>2.6984305366080688</v>
      </c>
      <c r="Y56" s="26">
        <f>IF(Graphs!$B$7="Yes",D56,$Y$127)</f>
        <v>-100</v>
      </c>
      <c r="Z56" s="4">
        <f>IF(Graphs!$B$7="Yes",E56,$Y$127)</f>
        <v>-100</v>
      </c>
      <c r="AA56" s="4">
        <f>IF(Graphs!$B$7="Yes",G56,$Y$127)</f>
        <v>-100</v>
      </c>
      <c r="AB56" s="4">
        <f>IF(Graphs!$B$7="Yes",H56,$Y$127)</f>
        <v>-100</v>
      </c>
      <c r="AC56" s="4">
        <f>IF(Graphs!$B$7="Yes",I56,$Y$127)</f>
        <v>-100</v>
      </c>
      <c r="AD56" s="4">
        <f>IF(Graphs!$B$7="Yes",J56,$Y$127)</f>
        <v>-100</v>
      </c>
      <c r="AE56" s="4">
        <f>IF(Graphs!$B$7="Yes",K56,$Y$127)</f>
        <v>-100</v>
      </c>
      <c r="AF56" s="4">
        <f>IF(Graphs!$B$7="Yes",L56,$Y$127)</f>
        <v>-100</v>
      </c>
      <c r="AG56" s="4">
        <f>IF(Graphs!$B$7="Yes",M56,$Y$127)</f>
        <v>-100</v>
      </c>
      <c r="AH56" s="27">
        <f>IF(Graphs!$B$7="Yes",N56,$Y$127)</f>
        <v>-100</v>
      </c>
    </row>
    <row r="57" spans="1:34" x14ac:dyDescent="0.25">
      <c r="A57" s="3">
        <v>11</v>
      </c>
      <c r="B57" s="3" t="s">
        <v>38</v>
      </c>
      <c r="C57" s="3">
        <v>987.76660251224826</v>
      </c>
      <c r="D57" s="4">
        <v>0.78</v>
      </c>
      <c r="E57" s="3">
        <f t="shared" si="4"/>
        <v>1320</v>
      </c>
      <c r="F57" s="4">
        <f>((2*C57*'String Lengths'!E17)^2)*E57/1000000000000</f>
        <v>199.92865809336621</v>
      </c>
      <c r="G57" s="4">
        <f t="shared" si="6"/>
        <v>95.533158773594906</v>
      </c>
      <c r="H57" s="4">
        <f>PI()*(D57^2)*E57*'String Lengths'!E17*C57/2000000000</f>
        <v>0.24547291385352224</v>
      </c>
      <c r="I57" s="4">
        <f>4*G57/'String Lengths'!E17</f>
        <v>1.9397595690070031</v>
      </c>
      <c r="J57" s="4">
        <f>_xlfn.XLOOKUP(D57,'Gut E est'!$A$5:$A$74,'Gut E est'!$B$5:$B$74,,-1,1)</f>
        <v>6.2115368837416147</v>
      </c>
      <c r="K57" s="4">
        <f>J57*(PI()^3)*(D57^4)/(0.128*G57*('String Lengths'!E17^2)*$K$127)</f>
        <v>1.1602866503889628</v>
      </c>
      <c r="L57" s="4">
        <f>0.008*('String Lengths'!E17^2)*C57*SQRT('Misc ref'!$B$9*E57/(J57*1000000000))/(PI()*D57)</f>
        <v>13.235578645893387</v>
      </c>
      <c r="M57" s="4">
        <f t="shared" si="5"/>
        <v>13.073662551337774</v>
      </c>
      <c r="N57" s="4">
        <f t="shared" si="7"/>
        <v>2.9680974453667801</v>
      </c>
      <c r="Y57" s="26">
        <f>IF(Graphs!$B$7="Yes",D57,$Y$127)</f>
        <v>-100</v>
      </c>
      <c r="Z57" s="4">
        <f>IF(Graphs!$B$7="Yes",E57,$Y$127)</f>
        <v>-100</v>
      </c>
      <c r="AA57" s="4">
        <f>IF(Graphs!$B$7="Yes",G57,$Y$127)</f>
        <v>-100</v>
      </c>
      <c r="AB57" s="4">
        <f>IF(Graphs!$B$7="Yes",H57,$Y$127)</f>
        <v>-100</v>
      </c>
      <c r="AC57" s="4">
        <f>IF(Graphs!$B$7="Yes",I57,$Y$127)</f>
        <v>-100</v>
      </c>
      <c r="AD57" s="4">
        <f>IF(Graphs!$B$7="Yes",J57,$Y$127)</f>
        <v>-100</v>
      </c>
      <c r="AE57" s="4">
        <f>IF(Graphs!$B$7="Yes",K57,$Y$127)</f>
        <v>-100</v>
      </c>
      <c r="AF57" s="4">
        <f>IF(Graphs!$B$7="Yes",L57,$Y$127)</f>
        <v>-100</v>
      </c>
      <c r="AG57" s="4">
        <f>IF(Graphs!$B$7="Yes",M57,$Y$127)</f>
        <v>-100</v>
      </c>
      <c r="AH57" s="27">
        <f>IF(Graphs!$B$7="Yes",N57,$Y$127)</f>
        <v>-100</v>
      </c>
    </row>
    <row r="58" spans="1:34" x14ac:dyDescent="0.25">
      <c r="A58" s="3">
        <v>12</v>
      </c>
      <c r="B58" s="3" t="s">
        <v>39</v>
      </c>
      <c r="C58" s="3">
        <v>880</v>
      </c>
      <c r="D58" s="4">
        <v>0.8</v>
      </c>
      <c r="E58" s="3">
        <f t="shared" si="4"/>
        <v>1320</v>
      </c>
      <c r="F58" s="4">
        <f>((2*C58*'String Lengths'!E18)^2)*E58/1000000000000</f>
        <v>185.50621900799999</v>
      </c>
      <c r="G58" s="4">
        <f t="shared" si="6"/>
        <v>93.245595972920341</v>
      </c>
      <c r="H58" s="4">
        <f>PI()*(D58^2)*E58*'String Lengths'!E18*C58/2000000000</f>
        <v>0.2487345176400991</v>
      </c>
      <c r="I58" s="4">
        <f>4*G58/'String Lengths'!E18</f>
        <v>1.7510910041862975</v>
      </c>
      <c r="J58" s="4">
        <f>_xlfn.XLOOKUP(D58,'Gut E est'!$A$5:$A$74,'Gut E est'!$B$5:$B$74,,-1,1)</f>
        <v>6.2445770469577218</v>
      </c>
      <c r="K58" s="4">
        <f>J58*(PI()^3)*(D58^4)/(0.128*G58*('String Lengths'!E18^2)*$K$127)</f>
        <v>1.1312272204948544</v>
      </c>
      <c r="L58" s="4">
        <f>0.008*('String Lengths'!E18^2)*C58*SQRT('Misc ref'!$B$9*E58/(J58*1000000000))/(PI()*D58)</f>
        <v>13.404501179626578</v>
      </c>
      <c r="M58" s="4">
        <f t="shared" si="5"/>
        <v>11.79596103807139</v>
      </c>
      <c r="N58" s="4">
        <f t="shared" si="7"/>
        <v>3.1388667800796521</v>
      </c>
      <c r="Y58" s="26">
        <f>IF(Graphs!$B$7="Yes",D58,$Y$127)</f>
        <v>-100</v>
      </c>
      <c r="Z58" s="4">
        <f>IF(Graphs!$B$7="Yes",E58,$Y$127)</f>
        <v>-100</v>
      </c>
      <c r="AA58" s="4">
        <f>IF(Graphs!$B$7="Yes",G58,$Y$127)</f>
        <v>-100</v>
      </c>
      <c r="AB58" s="4">
        <f>IF(Graphs!$B$7="Yes",H58,$Y$127)</f>
        <v>-100</v>
      </c>
      <c r="AC58" s="4">
        <f>IF(Graphs!$B$7="Yes",I58,$Y$127)</f>
        <v>-100</v>
      </c>
      <c r="AD58" s="4">
        <f>IF(Graphs!$B$7="Yes",J58,$Y$127)</f>
        <v>-100</v>
      </c>
      <c r="AE58" s="4">
        <f>IF(Graphs!$B$7="Yes",K58,$Y$127)</f>
        <v>-100</v>
      </c>
      <c r="AF58" s="4">
        <f>IF(Graphs!$B$7="Yes",L58,$Y$127)</f>
        <v>-100</v>
      </c>
      <c r="AG58" s="4">
        <f>IF(Graphs!$B$7="Yes",M58,$Y$127)</f>
        <v>-100</v>
      </c>
      <c r="AH58" s="27">
        <f>IF(Graphs!$B$7="Yes",N58,$Y$127)</f>
        <v>-100</v>
      </c>
    </row>
    <row r="59" spans="1:34" x14ac:dyDescent="0.25">
      <c r="A59" s="3">
        <v>13</v>
      </c>
      <c r="B59" s="3" t="s">
        <v>40</v>
      </c>
      <c r="C59" s="3">
        <v>783.99087196349853</v>
      </c>
      <c r="D59" s="4">
        <v>0.85</v>
      </c>
      <c r="E59" s="3">
        <f t="shared" si="4"/>
        <v>1320</v>
      </c>
      <c r="F59" s="4">
        <f>((2*C59*'String Lengths'!E19)^2)*E59/1000000000000</f>
        <v>173.17288600758363</v>
      </c>
      <c r="G59" s="4">
        <f t="shared" si="6"/>
        <v>98.266984133377591</v>
      </c>
      <c r="H59" s="4">
        <f>PI()*(D59^2)*E59*'String Lengths'!E19*C59/2000000000</f>
        <v>0.27130303102010944</v>
      </c>
      <c r="I59" s="4">
        <f>4*G59/'String Lengths'!E19</f>
        <v>1.7015927988463653</v>
      </c>
      <c r="J59" s="4">
        <f>_xlfn.XLOOKUP(D59,'Gut E est'!$A$5:$A$74,'Gut E est'!$B$5:$B$74,,-1,1)</f>
        <v>6.1689186455145038</v>
      </c>
      <c r="K59" s="4">
        <f>J59*(PI()^3)*(D59^4)/(0.128*G59*('String Lengths'!E19^2)*$K$127)</f>
        <v>1.1490199385963207</v>
      </c>
      <c r="L59" s="4">
        <f>0.008*('String Lengths'!E19^2)*C59*SQRT('Misc ref'!$B$9*E59/(J59*1000000000))/(PI()*D59)</f>
        <v>13.300311064291193</v>
      </c>
      <c r="M59" s="4">
        <f t="shared" si="5"/>
        <v>10.427322468679421</v>
      </c>
      <c r="N59" s="4">
        <f t="shared" si="7"/>
        <v>3.5005539529573011</v>
      </c>
      <c r="Y59" s="26">
        <f>IF(Graphs!$B$7="Yes",D59,$Y$127)</f>
        <v>-100</v>
      </c>
      <c r="Z59" s="4">
        <f>IF(Graphs!$B$7="Yes",E59,$Y$127)</f>
        <v>-100</v>
      </c>
      <c r="AA59" s="4">
        <f>IF(Graphs!$B$7="Yes",G59,$Y$127)</f>
        <v>-100</v>
      </c>
      <c r="AB59" s="4">
        <f>IF(Graphs!$B$7="Yes",H59,$Y$127)</f>
        <v>-100</v>
      </c>
      <c r="AC59" s="4">
        <f>IF(Graphs!$B$7="Yes",I59,$Y$127)</f>
        <v>-100</v>
      </c>
      <c r="AD59" s="4">
        <f>IF(Graphs!$B$7="Yes",J59,$Y$127)</f>
        <v>-100</v>
      </c>
      <c r="AE59" s="4">
        <f>IF(Graphs!$B$7="Yes",K59,$Y$127)</f>
        <v>-100</v>
      </c>
      <c r="AF59" s="4">
        <f>IF(Graphs!$B$7="Yes",L59,$Y$127)</f>
        <v>-100</v>
      </c>
      <c r="AG59" s="4">
        <f>IF(Graphs!$B$7="Yes",M59,$Y$127)</f>
        <v>-100</v>
      </c>
      <c r="AH59" s="27">
        <f>IF(Graphs!$B$7="Yes",N59,$Y$127)</f>
        <v>-100</v>
      </c>
    </row>
    <row r="60" spans="1:34" x14ac:dyDescent="0.25">
      <c r="A60" s="2">
        <v>14</v>
      </c>
      <c r="B60" s="2" t="s">
        <v>41</v>
      </c>
      <c r="C60" s="2">
        <v>698.45646286600777</v>
      </c>
      <c r="D60" s="15">
        <v>0.92</v>
      </c>
      <c r="E60" s="2">
        <f t="shared" si="4"/>
        <v>1320</v>
      </c>
      <c r="F60" s="15">
        <f>((2*C60*'String Lengths'!E20)^2)*E60/1000000000000</f>
        <v>160.98767207136734</v>
      </c>
      <c r="G60" s="15">
        <f t="shared" si="6"/>
        <v>107.01832675920207</v>
      </c>
      <c r="H60" s="15">
        <f>PI()*(D60^2)*E60*'String Lengths'!E20*C60/2000000000</f>
        <v>0.30644236956465098</v>
      </c>
      <c r="I60" s="15">
        <f>4*G60/'String Lengths'!E20</f>
        <v>1.7122932281472332</v>
      </c>
      <c r="J60" s="15">
        <f>_xlfn.XLOOKUP(D60,'Gut E est'!$A$5:$A$74,'Gut E est'!$B$5:$B$74,,-1,1)</f>
        <v>6.0586761016560011</v>
      </c>
      <c r="K60" s="15">
        <f>J60*(PI()^3)*(D60^4)/(0.128*G60*('String Lengths'!E20^2)*$K$127)</f>
        <v>1.2141302444815587</v>
      </c>
      <c r="L60" s="15">
        <f>0.008*('String Lengths'!E20^2)*C60*SQRT('Misc ref'!$B$9*E60/(J60*1000000000))/(PI()*D60)</f>
        <v>12.938768479717067</v>
      </c>
      <c r="M60" s="15">
        <f t="shared" si="5"/>
        <v>9.0371664661853757</v>
      </c>
      <c r="N60" s="15">
        <f t="shared" si="7"/>
        <v>4.0275716173332414</v>
      </c>
      <c r="Y60" s="26">
        <f>IF(Graphs!$B$7="Yes",D60,$Y$127)</f>
        <v>-100</v>
      </c>
      <c r="Z60" s="4">
        <f>IF(Graphs!$B$7="Yes",E60,$Y$127)</f>
        <v>-100</v>
      </c>
      <c r="AA60" s="4">
        <f>IF(Graphs!$B$7="Yes",G60,$Y$127)</f>
        <v>-100</v>
      </c>
      <c r="AB60" s="4">
        <f>IF(Graphs!$B$7="Yes",H60,$Y$127)</f>
        <v>-100</v>
      </c>
      <c r="AC60" s="4">
        <f>IF(Graphs!$B$7="Yes",I60,$Y$127)</f>
        <v>-100</v>
      </c>
      <c r="AD60" s="4">
        <f>IF(Graphs!$B$7="Yes",J60,$Y$127)</f>
        <v>-100</v>
      </c>
      <c r="AE60" s="4">
        <f>IF(Graphs!$B$7="Yes",K60,$Y$127)</f>
        <v>-100</v>
      </c>
      <c r="AF60" s="4">
        <f>IF(Graphs!$B$7="Yes",L60,$Y$127)</f>
        <v>-100</v>
      </c>
      <c r="AG60" s="4">
        <f>IF(Graphs!$B$7="Yes",M60,$Y$127)</f>
        <v>-100</v>
      </c>
      <c r="AH60" s="27">
        <f>IF(Graphs!$B$7="Yes",N60,$Y$127)</f>
        <v>-100</v>
      </c>
    </row>
    <row r="61" spans="1:34" x14ac:dyDescent="0.25">
      <c r="A61" s="3">
        <v>15</v>
      </c>
      <c r="B61" s="3" t="s">
        <v>42</v>
      </c>
      <c r="C61" s="3">
        <v>659.25511382573984</v>
      </c>
      <c r="D61" s="4">
        <v>0.95</v>
      </c>
      <c r="E61" s="3">
        <f t="shared" si="4"/>
        <v>1320</v>
      </c>
      <c r="F61" s="4">
        <f>((2*C61*'String Lengths'!E21)^2)*E61/1000000000000</f>
        <v>169.77695698084239</v>
      </c>
      <c r="G61" s="4">
        <f t="shared" si="6"/>
        <v>120.34161545546498</v>
      </c>
      <c r="H61" s="4">
        <f>PI()*(D61^2)*E61*'String Lengths'!E21*C61/2000000000</f>
        <v>0.33555478029988139</v>
      </c>
      <c r="I61" s="4">
        <f>4*G61/'String Lengths'!E21</f>
        <v>1.7697296390509556</v>
      </c>
      <c r="J61" s="4">
        <f>_xlfn.XLOOKUP(D61,'Gut E est'!$A$5:$A$74,'Gut E est'!$B$5:$B$74,,-1,1)</f>
        <v>6.0100455160736628</v>
      </c>
      <c r="K61" s="4">
        <f>J61*(PI()^3)*(D61^4)/(0.128*G61*('String Lengths'!E21^2)*$K$127)</f>
        <v>1.0287099572072975</v>
      </c>
      <c r="L61" s="4">
        <f>0.008*('String Lengths'!E21^2)*C61*SQRT('Misc ref'!$B$9*E61/(J61*1000000000))/(PI()*D61)</f>
        <v>14.056561885234176</v>
      </c>
      <c r="M61" s="4">
        <f t="shared" si="5"/>
        <v>9.2668603056486134</v>
      </c>
      <c r="N61" s="4">
        <f t="shared" si="7"/>
        <v>4.2600515360090396</v>
      </c>
      <c r="Y61" s="26">
        <f>IF(Graphs!$B$7="Yes",D61,$Y$127)</f>
        <v>-100</v>
      </c>
      <c r="Z61" s="4">
        <f>IF(Graphs!$B$7="Yes",E61,$Y$127)</f>
        <v>-100</v>
      </c>
      <c r="AA61" s="4">
        <f>IF(Graphs!$B$7="Yes",G61,$Y$127)</f>
        <v>-100</v>
      </c>
      <c r="AB61" s="4">
        <f>IF(Graphs!$B$7="Yes",H61,$Y$127)</f>
        <v>-100</v>
      </c>
      <c r="AC61" s="4">
        <f>IF(Graphs!$B$7="Yes",I61,$Y$127)</f>
        <v>-100</v>
      </c>
      <c r="AD61" s="4">
        <f>IF(Graphs!$B$7="Yes",J61,$Y$127)</f>
        <v>-100</v>
      </c>
      <c r="AE61" s="4">
        <f>IF(Graphs!$B$7="Yes",K61,$Y$127)</f>
        <v>-100</v>
      </c>
      <c r="AF61" s="4">
        <f>IF(Graphs!$B$7="Yes",L61,$Y$127)</f>
        <v>-100</v>
      </c>
      <c r="AG61" s="4">
        <f>IF(Graphs!$B$7="Yes",M61,$Y$127)</f>
        <v>-100</v>
      </c>
      <c r="AH61" s="27">
        <f>IF(Graphs!$B$7="Yes",N61,$Y$127)</f>
        <v>-100</v>
      </c>
    </row>
    <row r="62" spans="1:34" x14ac:dyDescent="0.25">
      <c r="A62" s="3">
        <v>16</v>
      </c>
      <c r="B62" s="3" t="s">
        <v>43</v>
      </c>
      <c r="C62" s="3">
        <v>587.32953583481515</v>
      </c>
      <c r="D62" s="4">
        <v>0.98</v>
      </c>
      <c r="E62" s="3">
        <f t="shared" si="4"/>
        <v>1320</v>
      </c>
      <c r="F62" s="4">
        <f>((2*C62*'String Lengths'!E22)^2)*E62/1000000000000</f>
        <v>156.36258655546604</v>
      </c>
      <c r="G62" s="4">
        <f t="shared" si="6"/>
        <v>117.94373552786995</v>
      </c>
      <c r="H62" s="4">
        <f>PI()*(D62^2)*E62*'String Lengths'!E22*C62/2000000000</f>
        <v>0.34268525755251161</v>
      </c>
      <c r="I62" s="4">
        <f>4*G62/'String Lengths'!E22</f>
        <v>1.610153386046006</v>
      </c>
      <c r="J62" s="4">
        <f>_xlfn.XLOOKUP(D62,'Gut E est'!$A$5:$A$74,'Gut E est'!$B$5:$B$74,,-1,1)</f>
        <v>5.9606665160432435</v>
      </c>
      <c r="K62" s="4">
        <f>J62*(PI()^3)*(D62^4)/(0.128*G62*('String Lengths'!E22^2)*$K$127)</f>
        <v>1.0159291336973795</v>
      </c>
      <c r="L62" s="4">
        <f>0.008*('String Lengths'!E22^2)*C62*SQRT('Misc ref'!$B$9*E62/(J62*1000000000))/(PI()*D62)</f>
        <v>14.144704317963798</v>
      </c>
      <c r="M62" s="4">
        <f t="shared" si="5"/>
        <v>8.3076026215903838</v>
      </c>
      <c r="N62" s="4">
        <f t="shared" si="7"/>
        <v>4.4961092715657589</v>
      </c>
      <c r="Y62" s="26">
        <f>IF(Graphs!$B$7="Yes",D62,$Y$127)</f>
        <v>-100</v>
      </c>
      <c r="Z62" s="4">
        <f>IF(Graphs!$B$7="Yes",E62,$Y$127)</f>
        <v>-100</v>
      </c>
      <c r="AA62" s="4">
        <f>IF(Graphs!$B$7="Yes",G62,$Y$127)</f>
        <v>-100</v>
      </c>
      <c r="AB62" s="4">
        <f>IF(Graphs!$B$7="Yes",H62,$Y$127)</f>
        <v>-100</v>
      </c>
      <c r="AC62" s="4">
        <f>IF(Graphs!$B$7="Yes",I62,$Y$127)</f>
        <v>-100</v>
      </c>
      <c r="AD62" s="4">
        <f>IF(Graphs!$B$7="Yes",J62,$Y$127)</f>
        <v>-100</v>
      </c>
      <c r="AE62" s="4">
        <f>IF(Graphs!$B$7="Yes",K62,$Y$127)</f>
        <v>-100</v>
      </c>
      <c r="AF62" s="4">
        <f>IF(Graphs!$B$7="Yes",L62,$Y$127)</f>
        <v>-100</v>
      </c>
      <c r="AG62" s="4">
        <f>IF(Graphs!$B$7="Yes",M62,$Y$127)</f>
        <v>-100</v>
      </c>
      <c r="AH62" s="27">
        <f>IF(Graphs!$B$7="Yes",N62,$Y$127)</f>
        <v>-100</v>
      </c>
    </row>
    <row r="63" spans="1:34" x14ac:dyDescent="0.25">
      <c r="A63" s="3">
        <v>17</v>
      </c>
      <c r="B63" s="3" t="s">
        <v>44</v>
      </c>
      <c r="C63" s="3">
        <v>523.25113060119736</v>
      </c>
      <c r="D63" s="4">
        <v>1.03</v>
      </c>
      <c r="E63" s="3">
        <f t="shared" si="4"/>
        <v>1320</v>
      </c>
      <c r="F63" s="4">
        <f>((2*C63*'String Lengths'!E23)^2)*E63/1000000000000</f>
        <v>143.44168589332384</v>
      </c>
      <c r="G63" s="4">
        <f t="shared" si="6"/>
        <v>119.51975980755495</v>
      </c>
      <c r="H63" s="4">
        <f>PI()*(D63^2)*E63*'String Lengths'!E23*C63/2000000000</f>
        <v>0.36256759586637066</v>
      </c>
      <c r="I63" s="4">
        <f>4*G63/'String Lengths'!E23</f>
        <v>1.5177112356514915</v>
      </c>
      <c r="J63" s="4">
        <f>_xlfn.XLOOKUP(D63,'Gut E est'!$A$5:$A$74,'Gut E est'!$B$5:$B$74,,-1,1)</f>
        <v>5.876856273522673</v>
      </c>
      <c r="K63" s="4">
        <f>J63*(PI()^3)*(D63^4)/(0.128*G63*('String Lengths'!E23^2)*$K$127)</f>
        <v>1.043536287468237</v>
      </c>
      <c r="L63" s="4">
        <f>0.008*('String Lengths'!E23^2)*C63*SQRT('Misc ref'!$B$9*E63/(J63*1000000000))/(PI()*D63)</f>
        <v>13.956348414936942</v>
      </c>
      <c r="M63" s="4">
        <f t="shared" si="5"/>
        <v>7.302675087179983</v>
      </c>
      <c r="N63" s="4">
        <f t="shared" si="7"/>
        <v>4.8967665561134064</v>
      </c>
      <c r="Y63" s="26">
        <f>IF(Graphs!$B$7="Yes",D63,$Y$127)</f>
        <v>-100</v>
      </c>
      <c r="Z63" s="4">
        <f>IF(Graphs!$B$7="Yes",E63,$Y$127)</f>
        <v>-100</v>
      </c>
      <c r="AA63" s="4">
        <f>IF(Graphs!$B$7="Yes",G63,$Y$127)</f>
        <v>-100</v>
      </c>
      <c r="AB63" s="4">
        <f>IF(Graphs!$B$7="Yes",H63,$Y$127)</f>
        <v>-100</v>
      </c>
      <c r="AC63" s="4">
        <f>IF(Graphs!$B$7="Yes",I63,$Y$127)</f>
        <v>-100</v>
      </c>
      <c r="AD63" s="4">
        <f>IF(Graphs!$B$7="Yes",J63,$Y$127)</f>
        <v>-100</v>
      </c>
      <c r="AE63" s="4">
        <f>IF(Graphs!$B$7="Yes",K63,$Y$127)</f>
        <v>-100</v>
      </c>
      <c r="AF63" s="4">
        <f>IF(Graphs!$B$7="Yes",L63,$Y$127)</f>
        <v>-100</v>
      </c>
      <c r="AG63" s="4">
        <f>IF(Graphs!$B$7="Yes",M63,$Y$127)</f>
        <v>-100</v>
      </c>
      <c r="AH63" s="27">
        <f>IF(Graphs!$B$7="Yes",N63,$Y$127)</f>
        <v>-100</v>
      </c>
    </row>
    <row r="64" spans="1:34" x14ac:dyDescent="0.25">
      <c r="A64" s="3">
        <v>18</v>
      </c>
      <c r="B64" s="3" t="s">
        <v>45</v>
      </c>
      <c r="C64" s="3">
        <v>493.88330125612413</v>
      </c>
      <c r="D64" s="4">
        <v>1.08</v>
      </c>
      <c r="E64" s="3">
        <f t="shared" si="4"/>
        <v>1320</v>
      </c>
      <c r="F64" s="4">
        <f>((2*C64*'String Lengths'!E24)^2)*E64/1000000000000</f>
        <v>149.7584599690453</v>
      </c>
      <c r="G64" s="4">
        <f t="shared" si="6"/>
        <v>137.19199064322811</v>
      </c>
      <c r="H64" s="4">
        <f>PI()*(D64^2)*E64*'String Lengths'!E24*C64/2000000000</f>
        <v>0.40730528060241716</v>
      </c>
      <c r="I64" s="4">
        <f>4*G64/'String Lengths'!E24</f>
        <v>1.60929021282379</v>
      </c>
      <c r="J64" s="4">
        <f>_xlfn.XLOOKUP(D64,'Gut E est'!$A$5:$A$74,'Gut E est'!$B$5:$B$74,,-1,1)</f>
        <v>5.9900421717008578</v>
      </c>
      <c r="K64" s="4">
        <f>J64*(PI()^3)*(D64^4)/(0.128*G64*('String Lengths'!E24^2)*$K$127)</f>
        <v>0.9557884821662922</v>
      </c>
      <c r="L64" s="4">
        <f>0.008*('String Lengths'!E24^2)*C64*SQRT('Misc ref'!$B$9*E64/(J64*1000000000))/(PI()*D64)</f>
        <v>14.582926415250482</v>
      </c>
      <c r="M64" s="4">
        <f t="shared" si="5"/>
        <v>7.2022638399390431</v>
      </c>
      <c r="N64" s="4">
        <f t="shared" si="7"/>
        <v>5.4874082555495489</v>
      </c>
      <c r="Y64" s="26">
        <f>IF(Graphs!$B$7="Yes",D64,$Y$127)</f>
        <v>-100</v>
      </c>
      <c r="Z64" s="4">
        <f>IF(Graphs!$B$7="Yes",E64,$Y$127)</f>
        <v>-100</v>
      </c>
      <c r="AA64" s="4">
        <f>IF(Graphs!$B$7="Yes",G64,$Y$127)</f>
        <v>-100</v>
      </c>
      <c r="AB64" s="4">
        <f>IF(Graphs!$B$7="Yes",H64,$Y$127)</f>
        <v>-100</v>
      </c>
      <c r="AC64" s="4">
        <f>IF(Graphs!$B$7="Yes",I64,$Y$127)</f>
        <v>-100</v>
      </c>
      <c r="AD64" s="4">
        <f>IF(Graphs!$B$7="Yes",J64,$Y$127)</f>
        <v>-100</v>
      </c>
      <c r="AE64" s="4">
        <f>IF(Graphs!$B$7="Yes",K64,$Y$127)</f>
        <v>-100</v>
      </c>
      <c r="AF64" s="4">
        <f>IF(Graphs!$B$7="Yes",L64,$Y$127)</f>
        <v>-100</v>
      </c>
      <c r="AG64" s="4">
        <f>IF(Graphs!$B$7="Yes",M64,$Y$127)</f>
        <v>-100</v>
      </c>
      <c r="AH64" s="27">
        <f>IF(Graphs!$B$7="Yes",N64,$Y$127)</f>
        <v>-100</v>
      </c>
    </row>
    <row r="65" spans="1:34" x14ac:dyDescent="0.25">
      <c r="A65" s="3">
        <v>19</v>
      </c>
      <c r="B65" s="3" t="s">
        <v>46</v>
      </c>
      <c r="C65" s="3">
        <v>440</v>
      </c>
      <c r="D65" s="4">
        <v>1.1299999999999999</v>
      </c>
      <c r="E65" s="3">
        <f t="shared" si="4"/>
        <v>1320</v>
      </c>
      <c r="F65" s="4">
        <f>((2*C65*'String Lengths'!E25)^2)*E65/1000000000000</f>
        <v>137.68017331199999</v>
      </c>
      <c r="G65" s="4">
        <f t="shared" si="6"/>
        <v>138.07599208573154</v>
      </c>
      <c r="H65" s="4">
        <f>PI()*(D65^2)*E65*'String Lengths'!E25*C65/2000000000</f>
        <v>0.42753279689661733</v>
      </c>
      <c r="I65" s="4">
        <f>4*G65/'String Lengths'!E25</f>
        <v>1.5049154450760931</v>
      </c>
      <c r="J65" s="4">
        <f>_xlfn.XLOOKUP(D65,'Gut E est'!$A$5:$A$74,'Gut E est'!$B$5:$B$74,,-1,1)</f>
        <v>5.9160469938256934</v>
      </c>
      <c r="K65" s="4">
        <f>J65*(PI()^3)*(D65^4)/(0.128*G65*('String Lengths'!E25^2)*$K$127)</f>
        <v>0.97044180003913172</v>
      </c>
      <c r="L65" s="4">
        <f>0.008*('String Lengths'!E25^2)*C65*SQRT('Misc ref'!$B$9*E65/(J65*1000000000))/(PI()*D65)</f>
        <v>14.472409196100713</v>
      </c>
      <c r="M65" s="4">
        <f t="shared" si="5"/>
        <v>6.3678600462843145</v>
      </c>
      <c r="N65" s="4">
        <f t="shared" si="7"/>
        <v>5.9330551251354038</v>
      </c>
      <c r="Y65" s="26">
        <f>IF(Graphs!$B$7="Yes",D65,$Y$127)</f>
        <v>-100</v>
      </c>
      <c r="Z65" s="4">
        <f>IF(Graphs!$B$7="Yes",E65,$Y$127)</f>
        <v>-100</v>
      </c>
      <c r="AA65" s="4">
        <f>IF(Graphs!$B$7="Yes",G65,$Y$127)</f>
        <v>-100</v>
      </c>
      <c r="AB65" s="4">
        <f>IF(Graphs!$B$7="Yes",H65,$Y$127)</f>
        <v>-100</v>
      </c>
      <c r="AC65" s="4">
        <f>IF(Graphs!$B$7="Yes",I65,$Y$127)</f>
        <v>-100</v>
      </c>
      <c r="AD65" s="4">
        <f>IF(Graphs!$B$7="Yes",J65,$Y$127)</f>
        <v>-100</v>
      </c>
      <c r="AE65" s="4">
        <f>IF(Graphs!$B$7="Yes",K65,$Y$127)</f>
        <v>-100</v>
      </c>
      <c r="AF65" s="4">
        <f>IF(Graphs!$B$7="Yes",L65,$Y$127)</f>
        <v>-100</v>
      </c>
      <c r="AG65" s="4">
        <f>IF(Graphs!$B$7="Yes",M65,$Y$127)</f>
        <v>-100</v>
      </c>
      <c r="AH65" s="27">
        <f>IF(Graphs!$B$7="Yes",N65,$Y$127)</f>
        <v>-100</v>
      </c>
    </row>
    <row r="66" spans="1:34" x14ac:dyDescent="0.25">
      <c r="A66" s="3">
        <v>20</v>
      </c>
      <c r="B66" s="3" t="s">
        <v>47</v>
      </c>
      <c r="C66" s="3">
        <v>391.99543598174927</v>
      </c>
      <c r="D66" s="4">
        <v>1.18</v>
      </c>
      <c r="E66" s="3">
        <f t="shared" si="4"/>
        <v>1320</v>
      </c>
      <c r="F66" s="4">
        <f>((2*C66*'String Lengths'!E26)^2)*E66/1000000000000</f>
        <v>127.87244144023371</v>
      </c>
      <c r="G66" s="4">
        <f t="shared" si="6"/>
        <v>139.8398189858423</v>
      </c>
      <c r="H66" s="4">
        <f>PI()*(D66^2)*E66*'String Lengths'!E26*C66/2000000000</f>
        <v>0.4492926770496351</v>
      </c>
      <c r="I66" s="4">
        <f>4*G66/'String Lengths'!E26</f>
        <v>1.4089654305878316</v>
      </c>
      <c r="J66" s="4">
        <f>_xlfn.XLOOKUP(D66,'Gut E est'!$A$5:$A$74,'Gut E est'!$B$5:$B$74,,-1,1)</f>
        <v>5.8406327905747011</v>
      </c>
      <c r="K66" s="4">
        <f>J66*(PI()^3)*(D66^4)/(0.128*G66*('String Lengths'!E26^2)*$K$127)</f>
        <v>0.9612812500689556</v>
      </c>
      <c r="L66" s="4">
        <f>0.008*('String Lengths'!E26^2)*C66*SQRT('Misc ref'!$B$9*E66/(J66*1000000000))/(PI()*D66)</f>
        <v>14.54120325560854</v>
      </c>
      <c r="M66" s="4">
        <f t="shared" si="5"/>
        <v>5.7000853098815014</v>
      </c>
      <c r="N66" s="4">
        <f t="shared" si="7"/>
        <v>6.3872482842871445</v>
      </c>
      <c r="Y66" s="26">
        <f>IF(Graphs!$B$7="Yes",D66,$Y$127)</f>
        <v>-100</v>
      </c>
      <c r="Z66" s="4">
        <f>IF(Graphs!$B$7="Yes",E66,$Y$127)</f>
        <v>-100</v>
      </c>
      <c r="AA66" s="4">
        <f>IF(Graphs!$B$7="Yes",G66,$Y$127)</f>
        <v>-100</v>
      </c>
      <c r="AB66" s="4">
        <f>IF(Graphs!$B$7="Yes",H66,$Y$127)</f>
        <v>-100</v>
      </c>
      <c r="AC66" s="4">
        <f>IF(Graphs!$B$7="Yes",I66,$Y$127)</f>
        <v>-100</v>
      </c>
      <c r="AD66" s="4">
        <f>IF(Graphs!$B$7="Yes",J66,$Y$127)</f>
        <v>-100</v>
      </c>
      <c r="AE66" s="4">
        <f>IF(Graphs!$B$7="Yes",K66,$Y$127)</f>
        <v>-100</v>
      </c>
      <c r="AF66" s="4">
        <f>IF(Graphs!$B$7="Yes",L66,$Y$127)</f>
        <v>-100</v>
      </c>
      <c r="AG66" s="4">
        <f>IF(Graphs!$B$7="Yes",M66,$Y$127)</f>
        <v>-100</v>
      </c>
      <c r="AH66" s="27">
        <f>IF(Graphs!$B$7="Yes",N66,$Y$127)</f>
        <v>-100</v>
      </c>
    </row>
    <row r="67" spans="1:34" x14ac:dyDescent="0.25">
      <c r="A67" s="2">
        <v>21</v>
      </c>
      <c r="B67" s="2" t="s">
        <v>48</v>
      </c>
      <c r="C67" s="2">
        <v>349.22823143300388</v>
      </c>
      <c r="D67" s="15">
        <v>1.23</v>
      </c>
      <c r="E67" s="2">
        <f t="shared" si="4"/>
        <v>1320</v>
      </c>
      <c r="F67" s="15">
        <f>((2*C67*'String Lengths'!E27)^2)*E67/1000000000000</f>
        <v>120.73367059595435</v>
      </c>
      <c r="G67" s="15">
        <f t="shared" si="6"/>
        <v>143.45923436002977</v>
      </c>
      <c r="H67" s="15">
        <f>PI()*(D67^2)*E67*'String Lengths'!E27*C67/2000000000</f>
        <v>0.474352585481848</v>
      </c>
      <c r="I67" s="15">
        <f>4*G67/'String Lengths'!E27</f>
        <v>1.3252585160279886</v>
      </c>
      <c r="J67" s="15">
        <f>_xlfn.XLOOKUP(D67,'Gut E est'!$A$5:$A$74,'Gut E est'!$B$5:$B$74,,-1,1)</f>
        <v>5.8263189057354809</v>
      </c>
      <c r="K67" s="15">
        <f>J67*(PI()^3)*(D67^4)/(0.128*G67*('String Lengths'!E27^2)*$K$127)</f>
        <v>0.9276513972917122</v>
      </c>
      <c r="L67" s="15">
        <f>0.008*('String Lengths'!E27^2)*C67*SQRT('Misc ref'!$B$9*E67/(J67*1000000000))/(PI()*D67)</f>
        <v>14.802435561907929</v>
      </c>
      <c r="M67" s="15">
        <f t="shared" si="5"/>
        <v>5.1694283921861084</v>
      </c>
      <c r="N67" s="15">
        <f t="shared" si="7"/>
        <v>6.9230003960650439</v>
      </c>
      <c r="Y67" s="26">
        <f>IF(Graphs!$B$7="Yes",D67,$Y$127)</f>
        <v>-100</v>
      </c>
      <c r="Z67" s="4">
        <f>IF(Graphs!$B$7="Yes",E67,$Y$127)</f>
        <v>-100</v>
      </c>
      <c r="AA67" s="4">
        <f>IF(Graphs!$B$7="Yes",G67,$Y$127)</f>
        <v>-100</v>
      </c>
      <c r="AB67" s="4">
        <f>IF(Graphs!$B$7="Yes",H67,$Y$127)</f>
        <v>-100</v>
      </c>
      <c r="AC67" s="4">
        <f>IF(Graphs!$B$7="Yes",I67,$Y$127)</f>
        <v>-100</v>
      </c>
      <c r="AD67" s="4">
        <f>IF(Graphs!$B$7="Yes",J67,$Y$127)</f>
        <v>-100</v>
      </c>
      <c r="AE67" s="4">
        <f>IF(Graphs!$B$7="Yes",K67,$Y$127)</f>
        <v>-100</v>
      </c>
      <c r="AF67" s="4">
        <f>IF(Graphs!$B$7="Yes",L67,$Y$127)</f>
        <v>-100</v>
      </c>
      <c r="AG67" s="4">
        <f>IF(Graphs!$B$7="Yes",M67,$Y$127)</f>
        <v>-100</v>
      </c>
      <c r="AH67" s="27">
        <f>IF(Graphs!$B$7="Yes",N67,$Y$127)</f>
        <v>-100</v>
      </c>
    </row>
    <row r="68" spans="1:34" x14ac:dyDescent="0.25">
      <c r="A68" s="3">
        <v>22</v>
      </c>
      <c r="B68" s="3" t="s">
        <v>49</v>
      </c>
      <c r="C68" s="3">
        <v>329.62755691286992</v>
      </c>
      <c r="D68" s="4">
        <v>1.28</v>
      </c>
      <c r="E68" s="3">
        <f t="shared" si="4"/>
        <v>1320</v>
      </c>
      <c r="F68" s="4">
        <f>((2*C68*'String Lengths'!E28)^2)*E68/1000000000000</f>
        <v>125.65293923609163</v>
      </c>
      <c r="G68" s="4">
        <f t="shared" si="6"/>
        <v>161.68974369016632</v>
      </c>
      <c r="H68" s="4">
        <f>PI()*(D68^2)*E68*'String Lengths'!E28*C68/2000000000</f>
        <v>0.52406253372225109</v>
      </c>
      <c r="I68" s="4">
        <f>4*G68/'String Lengths'!E28</f>
        <v>1.3819636212834729</v>
      </c>
      <c r="J68" s="4">
        <f>_xlfn.XLOOKUP(D68,'Gut E est'!$A$5:$A$74,'Gut E est'!$B$5:$B$74,,-1,1)</f>
        <v>5.7520035438980184</v>
      </c>
      <c r="K68" s="4">
        <f>J68*(PI()^3)*(D68^4)/(0.128*G68*('String Lengths'!E28^2)*$K$127)</f>
        <v>0.81575407380235443</v>
      </c>
      <c r="L68" s="4">
        <f>0.008*('String Lengths'!E28^2)*C68*SQRT('Misc ref'!$B$9*E68/(J68*1000000000))/(PI()*D68)</f>
        <v>15.78504975262603</v>
      </c>
      <c r="M68" s="4">
        <f t="shared" si="5"/>
        <v>5.2031873857062205</v>
      </c>
      <c r="N68" s="4">
        <f t="shared" si="7"/>
        <v>7.4016571707115393</v>
      </c>
      <c r="Y68" s="26">
        <f>IF(Graphs!$B$7="Yes",D68,$Y$127)</f>
        <v>-100</v>
      </c>
      <c r="Z68" s="4">
        <f>IF(Graphs!$B$7="Yes",E68,$Y$127)</f>
        <v>-100</v>
      </c>
      <c r="AA68" s="4">
        <f>IF(Graphs!$B$7="Yes",G68,$Y$127)</f>
        <v>-100</v>
      </c>
      <c r="AB68" s="4">
        <f>IF(Graphs!$B$7="Yes",H68,$Y$127)</f>
        <v>-100</v>
      </c>
      <c r="AC68" s="4">
        <f>IF(Graphs!$B$7="Yes",I68,$Y$127)</f>
        <v>-100</v>
      </c>
      <c r="AD68" s="4">
        <f>IF(Graphs!$B$7="Yes",J68,$Y$127)</f>
        <v>-100</v>
      </c>
      <c r="AE68" s="4">
        <f>IF(Graphs!$B$7="Yes",K68,$Y$127)</f>
        <v>-100</v>
      </c>
      <c r="AF68" s="4">
        <f>IF(Graphs!$B$7="Yes",L68,$Y$127)</f>
        <v>-100</v>
      </c>
      <c r="AG68" s="4">
        <f>IF(Graphs!$B$7="Yes",M68,$Y$127)</f>
        <v>-100</v>
      </c>
      <c r="AH68" s="27">
        <f>IF(Graphs!$B$7="Yes",N68,$Y$127)</f>
        <v>-100</v>
      </c>
    </row>
    <row r="69" spans="1:34" x14ac:dyDescent="0.25">
      <c r="A69" s="3">
        <v>23</v>
      </c>
      <c r="B69" s="3" t="s">
        <v>50</v>
      </c>
      <c r="C69" s="3">
        <v>293.66476791740757</v>
      </c>
      <c r="D69" s="4">
        <v>1.33</v>
      </c>
      <c r="E69" s="3">
        <f t="shared" si="4"/>
        <v>1320</v>
      </c>
      <c r="F69" s="4">
        <f>((2*C69*'String Lengths'!E29)^2)*E69/1000000000000</f>
        <v>117.04517965117819</v>
      </c>
      <c r="G69" s="4">
        <f t="shared" si="6"/>
        <v>162.60979258858492</v>
      </c>
      <c r="H69" s="4">
        <f>PI()*(D69^2)*E69*'String Lengths'!E29*C69/2000000000</f>
        <v>0.54608078493124912</v>
      </c>
      <c r="I69" s="4">
        <f>4*G69/'String Lengths'!E29</f>
        <v>1.2829174957679284</v>
      </c>
      <c r="J69" s="4">
        <f>_xlfn.XLOOKUP(D69,'Gut E est'!$A$5:$A$74,'Gut E est'!$B$5:$B$74,,-1,1)</f>
        <v>5.6767116938917326</v>
      </c>
      <c r="K69" s="4">
        <f>J69*(PI()^3)*(D69^4)/(0.128*G69*('String Lengths'!E29^2)*$K$127)</f>
        <v>0.79508799090753624</v>
      </c>
      <c r="L69" s="4">
        <f>0.008*('String Lengths'!E29^2)*C69*SQRT('Misc ref'!$B$9*E69/(J69*1000000000))/(PI()*D69)</f>
        <v>15.988877817869501</v>
      </c>
      <c r="M69" s="4">
        <f t="shared" si="5"/>
        <v>4.6953700936444331</v>
      </c>
      <c r="N69" s="4">
        <f t="shared" si="7"/>
        <v>7.88660339434694</v>
      </c>
      <c r="Y69" s="26">
        <f>IF(Graphs!$B$7="Yes",D69,$Y$127)</f>
        <v>-100</v>
      </c>
      <c r="Z69" s="4">
        <f>IF(Graphs!$B$7="Yes",E69,$Y$127)</f>
        <v>-100</v>
      </c>
      <c r="AA69" s="4">
        <f>IF(Graphs!$B$7="Yes",G69,$Y$127)</f>
        <v>-100</v>
      </c>
      <c r="AB69" s="4">
        <f>IF(Graphs!$B$7="Yes",H69,$Y$127)</f>
        <v>-100</v>
      </c>
      <c r="AC69" s="4">
        <f>IF(Graphs!$B$7="Yes",I69,$Y$127)</f>
        <v>-100</v>
      </c>
      <c r="AD69" s="4">
        <f>IF(Graphs!$B$7="Yes",J69,$Y$127)</f>
        <v>-100</v>
      </c>
      <c r="AE69" s="4">
        <f>IF(Graphs!$B$7="Yes",K69,$Y$127)</f>
        <v>-100</v>
      </c>
      <c r="AF69" s="4">
        <f>IF(Graphs!$B$7="Yes",L69,$Y$127)</f>
        <v>-100</v>
      </c>
      <c r="AG69" s="4">
        <f>IF(Graphs!$B$7="Yes",M69,$Y$127)</f>
        <v>-100</v>
      </c>
      <c r="AH69" s="27">
        <f>IF(Graphs!$B$7="Yes",N69,$Y$127)</f>
        <v>-100</v>
      </c>
    </row>
    <row r="70" spans="1:34" x14ac:dyDescent="0.25">
      <c r="A70" s="3">
        <v>24</v>
      </c>
      <c r="B70" s="3" t="s">
        <v>51</v>
      </c>
      <c r="C70" s="3">
        <v>261.62556530059868</v>
      </c>
      <c r="D70" s="4">
        <v>1.43</v>
      </c>
      <c r="E70" s="3">
        <f t="shared" si="4"/>
        <v>1320</v>
      </c>
      <c r="F70" s="4">
        <f>((2*C70*'String Lengths'!E30)^2)*E70/1000000000000</f>
        <v>109.32504404819969</v>
      </c>
      <c r="G70" s="4">
        <f t="shared" si="6"/>
        <v>175.5826572451175</v>
      </c>
      <c r="H70" s="4">
        <f>PI()*(D70^2)*E70*'String Lengths'!E30*C70/2000000000</f>
        <v>0.61011085561215272</v>
      </c>
      <c r="I70" s="4">
        <f>4*G70/'String Lengths'!E30</f>
        <v>1.276964779964491</v>
      </c>
      <c r="J70" s="4">
        <f>_xlfn.XLOOKUP(D70,'Gut E est'!$A$5:$A$74,'Gut E est'!$B$5:$B$74,,-1,1)</f>
        <v>5.5237915578225047</v>
      </c>
      <c r="K70" s="4">
        <f>J70*(PI()^3)*(D70^4)/(0.128*G70*('String Lengths'!E30^2)*$K$127)</f>
        <v>0.81367100829739836</v>
      </c>
      <c r="L70" s="4">
        <f>0.008*('String Lengths'!E30^2)*C70*SQRT('Misc ref'!$B$9*E70/(J70*1000000000))/(PI()*D70)</f>
        <v>15.805242357795825</v>
      </c>
      <c r="M70" s="4">
        <f t="shared" si="5"/>
        <v>4.1350554665713002</v>
      </c>
      <c r="N70" s="4">
        <f t="shared" si="7"/>
        <v>8.8715445599364848</v>
      </c>
      <c r="Y70" s="26">
        <f>IF(Graphs!$B$7="Yes",D70,$Y$127)</f>
        <v>-100</v>
      </c>
      <c r="Z70" s="4">
        <f>IF(Graphs!$B$7="Yes",E70,$Y$127)</f>
        <v>-100</v>
      </c>
      <c r="AA70" s="4">
        <f>IF(Graphs!$B$7="Yes",G70,$Y$127)</f>
        <v>-100</v>
      </c>
      <c r="AB70" s="4">
        <f>IF(Graphs!$B$7="Yes",H70,$Y$127)</f>
        <v>-100</v>
      </c>
      <c r="AC70" s="4">
        <f>IF(Graphs!$B$7="Yes",I70,$Y$127)</f>
        <v>-100</v>
      </c>
      <c r="AD70" s="4">
        <f>IF(Graphs!$B$7="Yes",J70,$Y$127)</f>
        <v>-100</v>
      </c>
      <c r="AE70" s="4">
        <f>IF(Graphs!$B$7="Yes",K70,$Y$127)</f>
        <v>-100</v>
      </c>
      <c r="AF70" s="4">
        <f>IF(Graphs!$B$7="Yes",L70,$Y$127)</f>
        <v>-100</v>
      </c>
      <c r="AG70" s="4">
        <f>IF(Graphs!$B$7="Yes",M70,$Y$127)</f>
        <v>-100</v>
      </c>
      <c r="AH70" s="27">
        <f>IF(Graphs!$B$7="Yes",N70,$Y$127)</f>
        <v>-100</v>
      </c>
    </row>
    <row r="71" spans="1:34" x14ac:dyDescent="0.25">
      <c r="A71" s="3">
        <v>25</v>
      </c>
      <c r="B71" s="3" t="s">
        <v>52</v>
      </c>
      <c r="C71" s="3">
        <v>246.94165062806206</v>
      </c>
      <c r="D71" s="4">
        <v>1.53</v>
      </c>
      <c r="E71" s="3">
        <f t="shared" si="4"/>
        <v>1320</v>
      </c>
      <c r="F71" s="4">
        <f>((2*C71*'String Lengths'!E31)^2)*E71/1000000000000</f>
        <v>115.52507545375734</v>
      </c>
      <c r="G71" s="4">
        <f t="shared" si="6"/>
        <v>212.39730594917333</v>
      </c>
      <c r="H71" s="4">
        <f>PI()*(D71^2)*E71*'String Lengths'!E31*C71/2000000000</f>
        <v>0.71795601611238435</v>
      </c>
      <c r="I71" s="4">
        <f>4*G71/'String Lengths'!E31</f>
        <v>1.4183459495771173</v>
      </c>
      <c r="J71" s="4">
        <f>_xlfn.XLOOKUP(D71,'Gut E est'!$A$5:$A$74,'Gut E est'!$B$5:$B$74,,-1,1)</f>
        <v>5.3686890855593221</v>
      </c>
      <c r="K71" s="4">
        <f>J71*(PI()^3)*(D71^4)/(0.128*G71*('String Lengths'!E31^2)*$K$127)</f>
        <v>0.72228024175332817</v>
      </c>
      <c r="L71" s="4">
        <f>0.008*('String Lengths'!E31^2)*C71*SQRT('Misc ref'!$B$9*E71/(J71*1000000000))/(PI()*D71)</f>
        <v>16.775393390268185</v>
      </c>
      <c r="M71" s="4">
        <f t="shared" si="5"/>
        <v>4.1425433337279074</v>
      </c>
      <c r="N71" s="4">
        <f t="shared" si="7"/>
        <v>9.8705419041943951</v>
      </c>
      <c r="Y71" s="26">
        <f>IF(Graphs!$B$7="Yes",D71,$Y$127)</f>
        <v>-100</v>
      </c>
      <c r="Z71" s="4">
        <f>IF(Graphs!$B$7="Yes",E71,$Y$127)</f>
        <v>-100</v>
      </c>
      <c r="AA71" s="4">
        <f>IF(Graphs!$B$7="Yes",G71,$Y$127)</f>
        <v>-100</v>
      </c>
      <c r="AB71" s="4">
        <f>IF(Graphs!$B$7="Yes",H71,$Y$127)</f>
        <v>-100</v>
      </c>
      <c r="AC71" s="4">
        <f>IF(Graphs!$B$7="Yes",I71,$Y$127)</f>
        <v>-100</v>
      </c>
      <c r="AD71" s="4">
        <f>IF(Graphs!$B$7="Yes",J71,$Y$127)</f>
        <v>-100</v>
      </c>
      <c r="AE71" s="4">
        <f>IF(Graphs!$B$7="Yes",K71,$Y$127)</f>
        <v>-100</v>
      </c>
      <c r="AF71" s="4">
        <f>IF(Graphs!$B$7="Yes",L71,$Y$127)</f>
        <v>-100</v>
      </c>
      <c r="AG71" s="4">
        <f>IF(Graphs!$B$7="Yes",M71,$Y$127)</f>
        <v>-100</v>
      </c>
      <c r="AH71" s="27">
        <f>IF(Graphs!$B$7="Yes",N71,$Y$127)</f>
        <v>-100</v>
      </c>
    </row>
    <row r="72" spans="1:34" x14ac:dyDescent="0.25">
      <c r="A72" s="3">
        <v>26</v>
      </c>
      <c r="B72" s="3" t="s">
        <v>53</v>
      </c>
      <c r="C72" s="3">
        <v>220</v>
      </c>
      <c r="D72" s="4">
        <v>1.58</v>
      </c>
      <c r="E72" s="3">
        <f t="shared" si="4"/>
        <v>1320</v>
      </c>
      <c r="F72" s="4">
        <f>((2*C72*'String Lengths'!E32)^2)*E72/1000000000000</f>
        <v>108.969672768</v>
      </c>
      <c r="G72" s="4">
        <f t="shared" si="6"/>
        <v>213.65334765393152</v>
      </c>
      <c r="H72" s="4">
        <f>PI()*(D72^2)*E72*'String Lengths'!E32*C72/2000000000</f>
        <v>0.74360764184161054</v>
      </c>
      <c r="I72" s="4">
        <f>4*G72/'String Lengths'!E32</f>
        <v>1.3087494496412344</v>
      </c>
      <c r="J72" s="4">
        <f>_xlfn.XLOOKUP(D72,'Gut E est'!$A$5:$A$74,'Gut E est'!$B$5:$B$74,,-1,1)</f>
        <v>5.8371578558318289</v>
      </c>
      <c r="K72" s="4">
        <f>J72*(PI()^3)*(D72^4)/(0.128*G72*('String Lengths'!E32^2)*$K$127)</f>
        <v>0.74708175093757134</v>
      </c>
      <c r="L72" s="4">
        <f>0.008*('String Lengths'!E32^2)*C72*SQRT('Misc ref'!$B$9*E72/(J72*1000000000))/(PI()*D72)</f>
        <v>16.494589689332013</v>
      </c>
      <c r="M72" s="4">
        <f t="shared" si="5"/>
        <v>3.628809731653043</v>
      </c>
      <c r="N72" s="4">
        <f t="shared" si="7"/>
        <v>11.444728473564313</v>
      </c>
      <c r="Y72" s="26">
        <f>IF(Graphs!$B$7="Yes",D72,$Y$127)</f>
        <v>-100</v>
      </c>
      <c r="Z72" s="4">
        <f>IF(Graphs!$B$7="Yes",E72,$Y$127)</f>
        <v>-100</v>
      </c>
      <c r="AA72" s="4">
        <f>IF(Graphs!$B$7="Yes",G72,$Y$127)</f>
        <v>-100</v>
      </c>
      <c r="AB72" s="4">
        <f>IF(Graphs!$B$7="Yes",H72,$Y$127)</f>
        <v>-100</v>
      </c>
      <c r="AC72" s="4">
        <f>IF(Graphs!$B$7="Yes",I72,$Y$127)</f>
        <v>-100</v>
      </c>
      <c r="AD72" s="4">
        <f>IF(Graphs!$B$7="Yes",J72,$Y$127)</f>
        <v>-100</v>
      </c>
      <c r="AE72" s="4">
        <f>IF(Graphs!$B$7="Yes",K72,$Y$127)</f>
        <v>-100</v>
      </c>
      <c r="AF72" s="4">
        <f>IF(Graphs!$B$7="Yes",L72,$Y$127)</f>
        <v>-100</v>
      </c>
      <c r="AG72" s="4">
        <f>IF(Graphs!$B$7="Yes",M72,$Y$127)</f>
        <v>-100</v>
      </c>
      <c r="AH72" s="27">
        <f>IF(Graphs!$B$7="Yes",N72,$Y$127)</f>
        <v>-100</v>
      </c>
    </row>
    <row r="73" spans="1:34" x14ac:dyDescent="0.25">
      <c r="A73" s="3">
        <v>27</v>
      </c>
      <c r="B73" s="3" t="s">
        <v>54</v>
      </c>
      <c r="C73" s="3">
        <v>195.99771799087463</v>
      </c>
      <c r="D73" s="4">
        <v>1.68</v>
      </c>
      <c r="E73" s="3">
        <f t="shared" si="4"/>
        <v>1320</v>
      </c>
      <c r="F73" s="4">
        <f>((2*C73*'String Lengths'!E33)^2)*E73/1000000000000</f>
        <v>103.40281829791665</v>
      </c>
      <c r="G73" s="4">
        <f t="shared" si="6"/>
        <v>229.21383141987181</v>
      </c>
      <c r="H73" s="4">
        <f>PI()*(D73^2)*E73*'String Lengths'!E33*C73/2000000000</f>
        <v>0.81895794091032836</v>
      </c>
      <c r="I73" s="4">
        <f>4*G73/'String Lengths'!E33</f>
        <v>1.2841111003914387</v>
      </c>
      <c r="J73" s="4">
        <f>_xlfn.XLOOKUP(D73,'Gut E est'!$A$5:$A$74,'Gut E est'!$B$5:$B$74,,-1,1)</f>
        <v>5.7219526976434842</v>
      </c>
      <c r="K73" s="4">
        <f>J73*(PI()^3)*(D73^4)/(0.128*G73*('String Lengths'!E33^2)*$K$127)</f>
        <v>0.72982469160975905</v>
      </c>
      <c r="L73" s="4">
        <f>0.008*('String Lengths'!E33^2)*C73*SQRT('Misc ref'!$B$9*E73/(J73*1000000000))/(PI()*D73)</f>
        <v>16.688461628605261</v>
      </c>
      <c r="M73" s="4">
        <f t="shared" si="5"/>
        <v>3.2709003959849063</v>
      </c>
      <c r="N73" s="4">
        <f t="shared" si="7"/>
        <v>12.683897040904535</v>
      </c>
      <c r="Y73" s="26">
        <f>IF(Graphs!$B$7="Yes",D73,$Y$127)</f>
        <v>-100</v>
      </c>
      <c r="Z73" s="4">
        <f>IF(Graphs!$B$7="Yes",E73,$Y$127)</f>
        <v>-100</v>
      </c>
      <c r="AA73" s="4">
        <f>IF(Graphs!$B$7="Yes",G73,$Y$127)</f>
        <v>-100</v>
      </c>
      <c r="AB73" s="4">
        <f>IF(Graphs!$B$7="Yes",H73,$Y$127)</f>
        <v>-100</v>
      </c>
      <c r="AC73" s="4">
        <f>IF(Graphs!$B$7="Yes",I73,$Y$127)</f>
        <v>-100</v>
      </c>
      <c r="AD73" s="4">
        <f>IF(Graphs!$B$7="Yes",J73,$Y$127)</f>
        <v>-100</v>
      </c>
      <c r="AE73" s="4">
        <f>IF(Graphs!$B$7="Yes",K73,$Y$127)</f>
        <v>-100</v>
      </c>
      <c r="AF73" s="4">
        <f>IF(Graphs!$B$7="Yes",L73,$Y$127)</f>
        <v>-100</v>
      </c>
      <c r="AG73" s="4">
        <f>IF(Graphs!$B$7="Yes",M73,$Y$127)</f>
        <v>-100</v>
      </c>
      <c r="AH73" s="27">
        <f>IF(Graphs!$B$7="Yes",N73,$Y$127)</f>
        <v>-100</v>
      </c>
    </row>
    <row r="74" spans="1:34" x14ac:dyDescent="0.25">
      <c r="A74" s="2">
        <v>28</v>
      </c>
      <c r="B74" s="2" t="s">
        <v>55</v>
      </c>
      <c r="C74" s="2">
        <v>174.61411571650194</v>
      </c>
      <c r="D74" s="15">
        <v>1.78</v>
      </c>
      <c r="E74" s="2">
        <f t="shared" si="4"/>
        <v>1320</v>
      </c>
      <c r="F74" s="15">
        <f>((2*C74*'String Lengths'!E34)^2)*E74/1000000000000</f>
        <v>96.693220537865017</v>
      </c>
      <c r="G74" s="15">
        <f t="shared" si="6"/>
        <v>240.61678041573538</v>
      </c>
      <c r="H74" s="15">
        <f>PI()*(D74^2)*E74*'String Lengths'!E34*C74/2000000000</f>
        <v>0.88902682288480184</v>
      </c>
      <c r="I74" s="15">
        <f>4*G74/'String Lengths'!E34</f>
        <v>1.2418930602102471</v>
      </c>
      <c r="J74" s="15">
        <f>_xlfn.XLOOKUP(D74,'Gut E est'!$A$5:$A$74,'Gut E est'!$B$5:$B$74,,-1,1)</f>
        <v>5.6045522090662017</v>
      </c>
      <c r="K74" s="15">
        <f>J74*(PI()^3)*(D74^4)/(0.128*G74*('String Lengths'!E34^2)*$K$127)</f>
        <v>0.72839342770132898</v>
      </c>
      <c r="L74" s="15">
        <f>0.008*('String Lengths'!E34^2)*C74*SQRT('Misc ref'!$B$9*E74/(J74*1000000000))/(PI()*D74)</f>
        <v>16.704849661407227</v>
      </c>
      <c r="M74" s="15">
        <f t="shared" si="5"/>
        <v>2.9169025518037297</v>
      </c>
      <c r="N74" s="15">
        <f t="shared" si="7"/>
        <v>13.946678998961623</v>
      </c>
      <c r="Y74" s="26">
        <f>IF(Graphs!$B$7="Yes",D74,$Y$127)</f>
        <v>-100</v>
      </c>
      <c r="Z74" s="4">
        <f>IF(Graphs!$B$7="Yes",E74,$Y$127)</f>
        <v>-100</v>
      </c>
      <c r="AA74" s="4">
        <f>IF(Graphs!$B$7="Yes",G74,$Y$127)</f>
        <v>-100</v>
      </c>
      <c r="AB74" s="4">
        <f>IF(Graphs!$B$7="Yes",H74,$Y$127)</f>
        <v>-100</v>
      </c>
      <c r="AC74" s="4">
        <f>IF(Graphs!$B$7="Yes",I74,$Y$127)</f>
        <v>-100</v>
      </c>
      <c r="AD74" s="4">
        <f>IF(Graphs!$B$7="Yes",J74,$Y$127)</f>
        <v>-100</v>
      </c>
      <c r="AE74" s="4">
        <f>IF(Graphs!$B$7="Yes",K74,$Y$127)</f>
        <v>-100</v>
      </c>
      <c r="AF74" s="4">
        <f>IF(Graphs!$B$7="Yes",L74,$Y$127)</f>
        <v>-100</v>
      </c>
      <c r="AG74" s="4">
        <f>IF(Graphs!$B$7="Yes",M74,$Y$127)</f>
        <v>-100</v>
      </c>
      <c r="AH74" s="27">
        <f>IF(Graphs!$B$7="Yes",N74,$Y$127)</f>
        <v>-100</v>
      </c>
    </row>
    <row r="75" spans="1:34" x14ac:dyDescent="0.25">
      <c r="A75" s="3">
        <v>29</v>
      </c>
      <c r="B75" s="3" t="s">
        <v>56</v>
      </c>
      <c r="C75" s="3">
        <v>164.81377845643496</v>
      </c>
      <c r="D75" s="4">
        <v>1.83</v>
      </c>
      <c r="E75" s="3">
        <f t="shared" si="4"/>
        <v>1320</v>
      </c>
      <c r="F75" s="4">
        <f>((2*C75*'String Lengths'!E35)^2)*E75/1000000000000</f>
        <v>101.92391657442712</v>
      </c>
      <c r="G75" s="4">
        <f t="shared" si="6"/>
        <v>268.08231461825761</v>
      </c>
      <c r="H75" s="4">
        <f>PI()*(D75^2)*E75*'String Lengths'!E35*C75/2000000000</f>
        <v>0.96475508937398968</v>
      </c>
      <c r="I75" s="4">
        <f>4*G75/'String Lengths'!E35</f>
        <v>1.2720394525184229</v>
      </c>
      <c r="J75" s="4">
        <f>_xlfn.XLOOKUP(D75,'Gut E est'!$A$5:$A$74,'Gut E est'!$B$5:$B$74,,-1,1)</f>
        <v>5.7372425308731074</v>
      </c>
      <c r="K75" s="4">
        <f>J75*(PI()^3)*(D75^4)/(0.128*G75*('String Lengths'!E35^2)*$K$127)</f>
        <v>0.63191499471949386</v>
      </c>
      <c r="L75" s="4">
        <f>0.008*('String Lengths'!E35^2)*C75*SQRT('Misc ref'!$B$9*E75/(J75*1000000000))/(PI()*D75)</f>
        <v>17.934788118489966</v>
      </c>
      <c r="M75" s="4">
        <f t="shared" si="5"/>
        <v>2.955900195623907</v>
      </c>
      <c r="N75" s="4">
        <f t="shared" si="7"/>
        <v>15.09020952976873</v>
      </c>
      <c r="Y75" s="26">
        <f>IF(Graphs!$B$7="Yes",D75,$Y$127)</f>
        <v>-100</v>
      </c>
      <c r="Z75" s="4">
        <f>IF(Graphs!$B$7="Yes",E75,$Y$127)</f>
        <v>-100</v>
      </c>
      <c r="AA75" s="4">
        <f>IF(Graphs!$B$7="Yes",G75,$Y$127)</f>
        <v>-100</v>
      </c>
      <c r="AB75" s="4">
        <f>IF(Graphs!$B$7="Yes",H75,$Y$127)</f>
        <v>-100</v>
      </c>
      <c r="AC75" s="4">
        <f>IF(Graphs!$B$7="Yes",I75,$Y$127)</f>
        <v>-100</v>
      </c>
      <c r="AD75" s="4">
        <f>IF(Graphs!$B$7="Yes",J75,$Y$127)</f>
        <v>-100</v>
      </c>
      <c r="AE75" s="4">
        <f>IF(Graphs!$B$7="Yes",K75,$Y$127)</f>
        <v>-100</v>
      </c>
      <c r="AF75" s="4">
        <f>IF(Graphs!$B$7="Yes",L75,$Y$127)</f>
        <v>-100</v>
      </c>
      <c r="AG75" s="4">
        <f>IF(Graphs!$B$7="Yes",M75,$Y$127)</f>
        <v>-100</v>
      </c>
      <c r="AH75" s="27">
        <f>IF(Graphs!$B$7="Yes",N75,$Y$127)</f>
        <v>-100</v>
      </c>
    </row>
    <row r="76" spans="1:34" x14ac:dyDescent="0.25">
      <c r="A76" s="3">
        <v>30</v>
      </c>
      <c r="B76" s="3" t="s">
        <v>57</v>
      </c>
      <c r="C76" s="3">
        <v>146.83238395870379</v>
      </c>
      <c r="D76" s="4">
        <v>1.9</v>
      </c>
      <c r="E76" s="3">
        <f t="shared" si="4"/>
        <v>1320</v>
      </c>
      <c r="F76" s="4">
        <f>((2*C76*'String Lengths'!E36)^2)*E76/1000000000000</f>
        <v>93.646639351701481</v>
      </c>
      <c r="G76" s="4">
        <f t="shared" si="6"/>
        <v>265.51513378416206</v>
      </c>
      <c r="H76" s="4">
        <f>PI()*(D76^2)*E76*'String Lengths'!E36*C76/2000000000</f>
        <v>0.99685076668003658</v>
      </c>
      <c r="I76" s="4">
        <f>4*G76/'String Lengths'!E36</f>
        <v>1.1709597961815306</v>
      </c>
      <c r="J76" s="4">
        <f>_xlfn.XLOOKUP(D76,'Gut E est'!$A$5:$A$74,'Gut E est'!$B$5:$B$74,,-1,1)</f>
        <v>5.6627799799063521</v>
      </c>
      <c r="K76" s="4">
        <f>J76*(PI()^3)*(D76^4)/(0.128*G76*('String Lengths'!E36^2)*$K$127)</f>
        <v>0.6321419971983927</v>
      </c>
      <c r="L76" s="4">
        <f>0.008*('String Lengths'!E36^2)*C76*SQRT('Misc ref'!$B$9*E76/(J76*1000000000))/(PI()*D76)</f>
        <v>17.93156763405667</v>
      </c>
      <c r="M76" s="4">
        <f t="shared" si="5"/>
        <v>2.6329348238252748</v>
      </c>
      <c r="N76" s="4">
        <f t="shared" si="7"/>
        <v>16.055608555351661</v>
      </c>
      <c r="Y76" s="26">
        <f>IF(Graphs!$B$7="Yes",D76,$Y$127)</f>
        <v>-100</v>
      </c>
      <c r="Z76" s="4">
        <f>IF(Graphs!$B$7="Yes",E76,$Y$127)</f>
        <v>-100</v>
      </c>
      <c r="AA76" s="4">
        <f>IF(Graphs!$B$7="Yes",G76,$Y$127)</f>
        <v>-100</v>
      </c>
      <c r="AB76" s="4">
        <f>IF(Graphs!$B$7="Yes",H76,$Y$127)</f>
        <v>-100</v>
      </c>
      <c r="AC76" s="4">
        <f>IF(Graphs!$B$7="Yes",I76,$Y$127)</f>
        <v>-100</v>
      </c>
      <c r="AD76" s="4">
        <f>IF(Graphs!$B$7="Yes",J76,$Y$127)</f>
        <v>-100</v>
      </c>
      <c r="AE76" s="4">
        <f>IF(Graphs!$B$7="Yes",K76,$Y$127)</f>
        <v>-100</v>
      </c>
      <c r="AF76" s="4">
        <f>IF(Graphs!$B$7="Yes",L76,$Y$127)</f>
        <v>-100</v>
      </c>
      <c r="AG76" s="4">
        <f>IF(Graphs!$B$7="Yes",M76,$Y$127)</f>
        <v>-100</v>
      </c>
      <c r="AH76" s="27">
        <f>IF(Graphs!$B$7="Yes",N76,$Y$127)</f>
        <v>-100</v>
      </c>
    </row>
    <row r="77" spans="1:34" x14ac:dyDescent="0.25">
      <c r="A77" s="3">
        <v>31</v>
      </c>
      <c r="B77" s="3" t="s">
        <v>58</v>
      </c>
      <c r="C77" s="3">
        <v>130.81278265029934</v>
      </c>
      <c r="D77" s="4">
        <v>2</v>
      </c>
      <c r="E77" s="3">
        <f t="shared" si="4"/>
        <v>1320</v>
      </c>
      <c r="F77" s="4">
        <f>((2*C77*'String Lengths'!E37)^2)*E77/1000000000000</f>
        <v>84.137367060979159</v>
      </c>
      <c r="G77" s="4">
        <f t="shared" si="6"/>
        <v>264.32533425115997</v>
      </c>
      <c r="H77" s="4">
        <f>PI()*(D77^2)*E77*'String Lengths'!E37*C77/2000000000</f>
        <v>1.0469629111283103</v>
      </c>
      <c r="I77" s="4">
        <f>4*G77/'String Lengths'!E37</f>
        <v>1.0956490538908186</v>
      </c>
      <c r="J77" s="4">
        <f>_xlfn.XLOOKUP(D77,'Gut E est'!$A$5:$A$74,'Gut E est'!$B$5:$B$74,,-1,1)</f>
        <v>5.5550879956275407</v>
      </c>
      <c r="K77" s="4">
        <f>J77*(PI()^3)*(D77^4)/(0.128*G77*('String Lengths'!E37^2)*$K$127)</f>
        <v>0.67560353796138539</v>
      </c>
      <c r="L77" s="4">
        <f>0.008*('String Lengths'!E37^2)*C77*SQRT('Misc ref'!$B$9*E77/(J77*1000000000))/(PI()*D77)</f>
        <v>17.345212431226077</v>
      </c>
      <c r="M77" s="4">
        <f t="shared" si="5"/>
        <v>2.268975503789247</v>
      </c>
      <c r="N77" s="4">
        <f t="shared" si="7"/>
        <v>17.45182363710833</v>
      </c>
      <c r="Y77" s="26">
        <f>IF(Graphs!$B$7="Yes",D77,$Y$127)</f>
        <v>-100</v>
      </c>
      <c r="Z77" s="4">
        <f>IF(Graphs!$B$7="Yes",E77,$Y$127)</f>
        <v>-100</v>
      </c>
      <c r="AA77" s="4">
        <f>IF(Graphs!$B$7="Yes",G77,$Y$127)</f>
        <v>-100</v>
      </c>
      <c r="AB77" s="4">
        <f>IF(Graphs!$B$7="Yes",H77,$Y$127)</f>
        <v>-100</v>
      </c>
      <c r="AC77" s="4">
        <f>IF(Graphs!$B$7="Yes",I77,$Y$127)</f>
        <v>-100</v>
      </c>
      <c r="AD77" s="4">
        <f>IF(Graphs!$B$7="Yes",J77,$Y$127)</f>
        <v>-100</v>
      </c>
      <c r="AE77" s="4">
        <f>IF(Graphs!$B$7="Yes",K77,$Y$127)</f>
        <v>-100</v>
      </c>
      <c r="AF77" s="4">
        <f>IF(Graphs!$B$7="Yes",L77,$Y$127)</f>
        <v>-100</v>
      </c>
      <c r="AG77" s="4">
        <f>IF(Graphs!$B$7="Yes",M77,$Y$127)</f>
        <v>-100</v>
      </c>
      <c r="AH77" s="27">
        <f>IF(Graphs!$B$7="Yes",N77,$Y$127)</f>
        <v>-100</v>
      </c>
    </row>
    <row r="78" spans="1:34" x14ac:dyDescent="0.25">
      <c r="A78" s="3">
        <v>32</v>
      </c>
      <c r="B78" s="3" t="s">
        <v>59</v>
      </c>
      <c r="C78" s="3">
        <v>123.47082531403103</v>
      </c>
      <c r="D78" s="4">
        <v>2.0499999999999998</v>
      </c>
      <c r="E78" s="3">
        <f t="shared" si="4"/>
        <v>1320</v>
      </c>
      <c r="F78" s="4">
        <f>((2*C78*'String Lengths'!E38)^2)*E78/1000000000000</f>
        <v>83.417694135843831</v>
      </c>
      <c r="G78" s="4">
        <f t="shared" si="6"/>
        <v>275.33142608981854</v>
      </c>
      <c r="H78" s="4">
        <f>PI()*(D78^2)*E78*'String Lengths'!E38*C78/2000000000</f>
        <v>1.0952510027110685</v>
      </c>
      <c r="I78" s="4">
        <f>4*G78/'String Lengths'!E38</f>
        <v>1.0818523618460454</v>
      </c>
      <c r="J78" s="4">
        <f>_xlfn.XLOOKUP(D78,'Gut E est'!$A$5:$A$74,'Gut E est'!$B$5:$B$74,,-1,1)</f>
        <v>5.500770760138308</v>
      </c>
      <c r="K78" s="4">
        <f>J78*(PI()^3)*(D78^4)/(0.128*G78*('String Lengths'!E38^2)*$K$127)</f>
        <v>0.63703318548708565</v>
      </c>
      <c r="L78" s="4">
        <f>0.008*('String Lengths'!E38^2)*C78*SQRT('Misc ref'!$B$9*E78/(J78*1000000000))/(PI()*D78)</f>
        <v>17.862595028198694</v>
      </c>
      <c r="M78" s="4">
        <f t="shared" si="5"/>
        <v>2.2055093503820005</v>
      </c>
      <c r="N78" s="4">
        <f t="shared" si="7"/>
        <v>18.15604079771936</v>
      </c>
      <c r="Y78" s="26">
        <f>IF(Graphs!$B$7="Yes",D78,$Y$127)</f>
        <v>-100</v>
      </c>
      <c r="Z78" s="4">
        <f>IF(Graphs!$B$7="Yes",E78,$Y$127)</f>
        <v>-100</v>
      </c>
      <c r="AA78" s="4">
        <f>IF(Graphs!$B$7="Yes",G78,$Y$127)</f>
        <v>-100</v>
      </c>
      <c r="AB78" s="4">
        <f>IF(Graphs!$B$7="Yes",H78,$Y$127)</f>
        <v>-100</v>
      </c>
      <c r="AC78" s="4">
        <f>IF(Graphs!$B$7="Yes",I78,$Y$127)</f>
        <v>-100</v>
      </c>
      <c r="AD78" s="4">
        <f>IF(Graphs!$B$7="Yes",J78,$Y$127)</f>
        <v>-100</v>
      </c>
      <c r="AE78" s="4">
        <f>IF(Graphs!$B$7="Yes",K78,$Y$127)</f>
        <v>-100</v>
      </c>
      <c r="AF78" s="4">
        <f>IF(Graphs!$B$7="Yes",L78,$Y$127)</f>
        <v>-100</v>
      </c>
      <c r="AG78" s="4">
        <f>IF(Graphs!$B$7="Yes",M78,$Y$127)</f>
        <v>-100</v>
      </c>
      <c r="AH78" s="27">
        <f>IF(Graphs!$B$7="Yes",N78,$Y$127)</f>
        <v>-100</v>
      </c>
    </row>
    <row r="79" spans="1:34" x14ac:dyDescent="0.25">
      <c r="A79" s="3">
        <v>33</v>
      </c>
      <c r="B79" s="3" t="s">
        <v>60</v>
      </c>
      <c r="C79" s="3">
        <v>110</v>
      </c>
      <c r="D79" s="4">
        <v>2.2000000000000002</v>
      </c>
      <c r="E79" s="3">
        <f t="shared" si="4"/>
        <v>1320</v>
      </c>
      <c r="F79" s="4">
        <f>((2*C79*'String Lengths'!E39)^2)*E79/1000000000000</f>
        <v>72.735785231999998</v>
      </c>
      <c r="G79" s="4">
        <f t="shared" si="6"/>
        <v>276.4925123309028</v>
      </c>
      <c r="H79" s="4">
        <f>PI()*(D79^2)*E79*'String Lengths'!E39*C79/2000000000</f>
        <v>1.1778670543192586</v>
      </c>
      <c r="I79" s="4">
        <f>4*G79/'String Lengths'!E39</f>
        <v>1.0365230078009477</v>
      </c>
      <c r="J79" s="4">
        <f>_xlfn.XLOOKUP(D79,'Gut E est'!$A$5:$A$74,'Gut E est'!$B$5:$B$74,,-1,1)</f>
        <v>5.3901585119837225</v>
      </c>
      <c r="K79" s="4">
        <f>J79*(PI()^3)*(D79^4)/(0.128*G79*('String Lengths'!E39^2)*$K$127)</f>
        <v>0.75050649178550033</v>
      </c>
      <c r="L79" s="4">
        <f>0.008*('String Lengths'!E39^2)*C79*SQRT('Misc ref'!$B$9*E79/(J79*1000000000))/(PI()*D79)</f>
        <v>16.456912276040526</v>
      </c>
      <c r="M79" s="4">
        <f t="shared" si="5"/>
        <v>1.8102603503644579</v>
      </c>
      <c r="N79" s="4">
        <f t="shared" si="7"/>
        <v>20.489755683348392</v>
      </c>
      <c r="Y79" s="28">
        <f>IF(Graphs!$B$7="Yes",D79,$Y$127)</f>
        <v>-100</v>
      </c>
      <c r="Z79" s="15">
        <f>IF(Graphs!$B$7="Yes",E79,$Y$127)</f>
        <v>-100</v>
      </c>
      <c r="AA79" s="15">
        <f>IF(Graphs!$B$7="Yes",G79,$Y$127)</f>
        <v>-100</v>
      </c>
      <c r="AB79" s="15">
        <f>IF(Graphs!$B$7="Yes",H79,$Y$127)</f>
        <v>-100</v>
      </c>
      <c r="AC79" s="15">
        <f>IF(Graphs!$B$7="Yes",I79,$Y$127)</f>
        <v>-100</v>
      </c>
      <c r="AD79" s="15">
        <f>IF(Graphs!$B$7="Yes",J79,$Y$127)</f>
        <v>-100</v>
      </c>
      <c r="AE79" s="15">
        <f>IF(Graphs!$B$7="Yes",K79,$Y$127)</f>
        <v>-100</v>
      </c>
      <c r="AF79" s="15">
        <f>IF(Graphs!$B$7="Yes",L79,$Y$127)</f>
        <v>-100</v>
      </c>
      <c r="AG79" s="15">
        <f>IF(Graphs!$B$7="Yes",M79,$Y$127)</f>
        <v>-100</v>
      </c>
      <c r="AH79" s="29">
        <f>IF(Graphs!$B$7="Yes",N79,$Y$127)</f>
        <v>-100</v>
      </c>
    </row>
    <row r="81" spans="1:34" x14ac:dyDescent="0.25">
      <c r="D81" s="32" t="s">
        <v>88</v>
      </c>
      <c r="R81" s="3"/>
      <c r="S81" s="3"/>
      <c r="T81" s="3"/>
      <c r="U81" s="3"/>
      <c r="X81" s="3"/>
      <c r="Y81" s="22"/>
      <c r="Z81" s="35"/>
      <c r="AA81" s="35"/>
      <c r="AB81" s="35"/>
      <c r="AC81" s="35"/>
      <c r="AD81" s="35"/>
      <c r="AE81" s="35"/>
      <c r="AF81" s="35"/>
      <c r="AG81" s="35"/>
      <c r="AH81" s="16"/>
    </row>
    <row r="82" spans="1:34" x14ac:dyDescent="0.25">
      <c r="A82" s="3" t="s">
        <v>20</v>
      </c>
      <c r="B82" s="3" t="s">
        <v>21</v>
      </c>
      <c r="C82" s="3" t="s">
        <v>22</v>
      </c>
      <c r="D82" s="32" t="s">
        <v>70</v>
      </c>
      <c r="E82" s="3" t="s">
        <v>62</v>
      </c>
      <c r="F82" s="3" t="s">
        <v>66</v>
      </c>
      <c r="G82" s="3" t="s">
        <v>68</v>
      </c>
      <c r="H82" s="3" t="s">
        <v>71</v>
      </c>
      <c r="I82" s="3" t="s">
        <v>73</v>
      </c>
      <c r="J82" s="3" t="s">
        <v>75</v>
      </c>
      <c r="K82" s="3" t="s">
        <v>77</v>
      </c>
      <c r="L82" s="3" t="s">
        <v>79</v>
      </c>
      <c r="M82" s="3" t="s">
        <v>80</v>
      </c>
      <c r="N82" s="3" t="s">
        <v>82</v>
      </c>
      <c r="R82" s="3"/>
      <c r="S82" s="3"/>
      <c r="T82" s="3"/>
      <c r="U82" s="3"/>
      <c r="X82" s="3"/>
      <c r="Y82" s="11" t="s">
        <v>70</v>
      </c>
      <c r="Z82" s="3" t="s">
        <v>62</v>
      </c>
      <c r="AA82" s="3" t="s">
        <v>68</v>
      </c>
      <c r="AB82" s="3" t="s">
        <v>71</v>
      </c>
      <c r="AC82" s="3" t="s">
        <v>73</v>
      </c>
      <c r="AD82" s="3" t="s">
        <v>75</v>
      </c>
      <c r="AE82" s="3" t="s">
        <v>77</v>
      </c>
      <c r="AF82" s="3" t="s">
        <v>79</v>
      </c>
      <c r="AG82" s="3" t="s">
        <v>80</v>
      </c>
      <c r="AH82" s="12" t="s">
        <v>82</v>
      </c>
    </row>
    <row r="83" spans="1:34" x14ac:dyDescent="0.25">
      <c r="A83" s="3" t="s">
        <v>61</v>
      </c>
      <c r="C83" s="3" t="s">
        <v>25</v>
      </c>
      <c r="D83" s="32" t="s">
        <v>8</v>
      </c>
      <c r="E83" s="3" t="s">
        <v>63</v>
      </c>
      <c r="F83" s="3" t="s">
        <v>67</v>
      </c>
      <c r="G83" s="3" t="s">
        <v>69</v>
      </c>
      <c r="H83" s="3" t="s">
        <v>72</v>
      </c>
      <c r="I83" s="3" t="s">
        <v>74</v>
      </c>
      <c r="J83" s="3" t="s">
        <v>76</v>
      </c>
      <c r="K83" s="3" t="s">
        <v>78</v>
      </c>
      <c r="M83" s="3" t="s">
        <v>81</v>
      </c>
      <c r="N83" s="3" t="s">
        <v>83</v>
      </c>
      <c r="R83" s="3"/>
      <c r="S83" s="3"/>
      <c r="T83" s="3"/>
      <c r="U83" s="3"/>
      <c r="X83" s="3"/>
      <c r="Y83" s="11" t="s">
        <v>8</v>
      </c>
      <c r="Z83" s="3" t="s">
        <v>63</v>
      </c>
      <c r="AA83" s="3" t="s">
        <v>69</v>
      </c>
      <c r="AB83" s="3" t="s">
        <v>72</v>
      </c>
      <c r="AC83" s="3" t="s">
        <v>74</v>
      </c>
      <c r="AD83" s="3" t="s">
        <v>76</v>
      </c>
      <c r="AE83" s="3" t="s">
        <v>78</v>
      </c>
      <c r="AG83" s="3" t="s">
        <v>81</v>
      </c>
      <c r="AH83" s="12" t="s">
        <v>83</v>
      </c>
    </row>
    <row r="84" spans="1:34" x14ac:dyDescent="0.25">
      <c r="Y84" s="25"/>
      <c r="AH84" s="17"/>
    </row>
    <row r="85" spans="1:34" x14ac:dyDescent="0.25">
      <c r="A85" s="1">
        <v>-1</v>
      </c>
      <c r="B85" s="3" t="s">
        <v>26</v>
      </c>
      <c r="C85" s="3">
        <v>3135.9634878539941</v>
      </c>
      <c r="D85" s="4">
        <v>0.54</v>
      </c>
      <c r="E85" s="3">
        <f t="shared" ref="E85:E119" si="8">$E$127</f>
        <v>1320</v>
      </c>
      <c r="F85" s="4">
        <f>((2*C85*'String Lengths'!E5)^2)*E85/1000000000000</f>
        <v>276.70795061094452</v>
      </c>
      <c r="G85" s="4">
        <f>F85*PI()*(D85^2)/4</f>
        <v>63.372237166050915</v>
      </c>
      <c r="H85" s="4">
        <f>PI()*(D85^2)*E85*'String Lengths'!E5*C85/2000000000</f>
        <v>0.13841245940098243</v>
      </c>
      <c r="I85" s="4">
        <f>4*G85/'String Lengths'!E5</f>
        <v>3.4724513515644335</v>
      </c>
      <c r="J85" s="4">
        <f>_xlfn.XLOOKUP(D85,'Gut E est'!$A$5:$A$74,'Gut E est'!$B$5:$B$74,,-1,1)</f>
        <v>6.5017808846108354</v>
      </c>
      <c r="K85" s="4">
        <f>J85*(PI()^3)*(D85^4)/(0.128*G85*('String Lengths'!E5^2)*$K$127)</f>
        <v>3.0629296081022512</v>
      </c>
      <c r="L85" s="4">
        <f>0.008*('String Lengths'!E5^2)*C85*SQRT('Misc ref'!$B$9*E85/(J85*1000000000))/(PI()*D85)</f>
        <v>8.1462375959221394</v>
      </c>
      <c r="M85" s="4">
        <f t="shared" ref="M85:M119" si="9">L85*C85/1000</f>
        <v>25.546303664195328</v>
      </c>
      <c r="N85" s="4">
        <f>J85*PI()*(D85^2)/4</f>
        <v>1.4890515408448739</v>
      </c>
      <c r="Y85" s="26">
        <f>IF(Graphs!$B$8="Yes",D85,$Y$127)</f>
        <v>-100</v>
      </c>
      <c r="Z85" s="4">
        <f>IF(Graphs!$B$8="Yes",E85,$Y$127)</f>
        <v>-100</v>
      </c>
      <c r="AA85" s="4">
        <f>IF(Graphs!$B$8="Yes",G85,$Y$127)</f>
        <v>-100</v>
      </c>
      <c r="AB85" s="4">
        <f>IF(Graphs!$B$8="Yes",H85,$Y$127)</f>
        <v>-100</v>
      </c>
      <c r="AC85" s="4">
        <f>IF(Graphs!$B$8="Yes",I85,$Y$127)</f>
        <v>-100</v>
      </c>
      <c r="AD85" s="4">
        <f>IF(Graphs!$B$8="Yes",J85,$Y$127)</f>
        <v>-100</v>
      </c>
      <c r="AE85" s="4">
        <f>IF(Graphs!$B$8="Yes",K85,$Y$127)</f>
        <v>-100</v>
      </c>
      <c r="AF85" s="4">
        <f>IF(Graphs!$B$8="Yes",L85,$Y$127)</f>
        <v>-100</v>
      </c>
      <c r="AG85" s="4">
        <f>IF(Graphs!$B$8="Yes",M85,$Y$127)</f>
        <v>-100</v>
      </c>
      <c r="AH85" s="27">
        <f>IF(Graphs!$B$8="Yes",N85,$Y$127)</f>
        <v>-100</v>
      </c>
    </row>
    <row r="86" spans="1:34" x14ac:dyDescent="0.25">
      <c r="A86" s="2">
        <v>0</v>
      </c>
      <c r="B86" s="2" t="s">
        <v>27</v>
      </c>
      <c r="C86" s="2">
        <v>2793.8258514640311</v>
      </c>
      <c r="D86" s="15">
        <v>0.56000000000000005</v>
      </c>
      <c r="E86" s="2">
        <f t="shared" si="8"/>
        <v>1320</v>
      </c>
      <c r="F86" s="15">
        <f>((2*C86*'String Lengths'!E6)^2)*E86/1000000000000</f>
        <v>270.39746981382171</v>
      </c>
      <c r="G86" s="15">
        <f t="shared" ref="G86:G119" si="10">F86*PI()*(D86^2)/4</f>
        <v>66.599130449763422</v>
      </c>
      <c r="H86" s="15">
        <f>PI()*(D86^2)*E86*'String Lengths'!E6*C86/2000000000</f>
        <v>0.14714794886074556</v>
      </c>
      <c r="I86" s="15">
        <f>4*G86/'String Lengths'!E6</f>
        <v>3.2888459481364651</v>
      </c>
      <c r="J86" s="15">
        <f>_xlfn.XLOOKUP(D86,'Gut E est'!$A$5:$A$74,'Gut E est'!$B$5:$B$74,,-1,1)</f>
        <v>6.4735158195218414</v>
      </c>
      <c r="K86" s="15">
        <f>J86*(PI()^3)*(D86^4)/(0.128*G86*('String Lengths'!E6^2)*$K$127)</f>
        <v>2.7260143115729512</v>
      </c>
      <c r="L86" s="15">
        <f>0.008*('String Lengths'!E6^2)*C86*SQRT('Misc ref'!$B$9*E86/(J86*1000000000))/(PI()*D86)</f>
        <v>8.6349835577858123</v>
      </c>
      <c r="M86" s="15">
        <f t="shared" si="9"/>
        <v>24.124640290708857</v>
      </c>
      <c r="N86" s="15">
        <f t="shared" ref="N86:N119" si="11">J86*PI()*(D86^2)/4</f>
        <v>1.594432539734159</v>
      </c>
      <c r="Y86" s="26">
        <f>IF(Graphs!$B$8="Yes",D86,$Y$127)</f>
        <v>-100</v>
      </c>
      <c r="Z86" s="4">
        <f>IF(Graphs!$B$8="Yes",E86,$Y$127)</f>
        <v>-100</v>
      </c>
      <c r="AA86" s="4">
        <f>IF(Graphs!$B$8="Yes",G86,$Y$127)</f>
        <v>-100</v>
      </c>
      <c r="AB86" s="4">
        <f>IF(Graphs!$B$8="Yes",H86,$Y$127)</f>
        <v>-100</v>
      </c>
      <c r="AC86" s="4">
        <f>IF(Graphs!$B$8="Yes",I86,$Y$127)</f>
        <v>-100</v>
      </c>
      <c r="AD86" s="4">
        <f>IF(Graphs!$B$8="Yes",J86,$Y$127)</f>
        <v>-100</v>
      </c>
      <c r="AE86" s="4">
        <f>IF(Graphs!$B$8="Yes",K86,$Y$127)</f>
        <v>-100</v>
      </c>
      <c r="AF86" s="4">
        <f>IF(Graphs!$B$8="Yes",L86,$Y$127)</f>
        <v>-100</v>
      </c>
      <c r="AG86" s="4">
        <f>IF(Graphs!$B$8="Yes",M86,$Y$127)</f>
        <v>-100</v>
      </c>
      <c r="AH86" s="27">
        <f>IF(Graphs!$B$8="Yes",N86,$Y$127)</f>
        <v>-100</v>
      </c>
    </row>
    <row r="87" spans="1:34" x14ac:dyDescent="0.25">
      <c r="A87" s="3">
        <v>1</v>
      </c>
      <c r="B87" s="3" t="s">
        <v>28</v>
      </c>
      <c r="C87" s="3">
        <v>2637.0204553029594</v>
      </c>
      <c r="D87" s="4">
        <v>0.57999999999999996</v>
      </c>
      <c r="E87" s="3">
        <f t="shared" si="8"/>
        <v>1320</v>
      </c>
      <c r="F87" s="4">
        <f>((2*C87*'String Lengths'!E7)^2)*E87/1000000000000</f>
        <v>277.90696094031051</v>
      </c>
      <c r="G87" s="4">
        <f t="shared" si="10"/>
        <v>73.425226263896946</v>
      </c>
      <c r="H87" s="4">
        <f>PI()*(D87^2)*E87*'String Lengths'!E7*C87/2000000000</f>
        <v>0.16002305106860953</v>
      </c>
      <c r="I87" s="4">
        <f>4*G87/'String Lengths'!E7</f>
        <v>3.3758724719033077</v>
      </c>
      <c r="J87" s="4">
        <f>_xlfn.XLOOKUP(D87,'Gut E est'!$A$5:$A$74,'Gut E est'!$B$5:$B$74,,-1,1)</f>
        <v>6.4444810902804077</v>
      </c>
      <c r="K87" s="4">
        <f>J87*(PI()^3)*(D87^4)/(0.128*G87*('String Lengths'!E7^2)*$K$127)</f>
        <v>2.4552206928049163</v>
      </c>
      <c r="L87" s="4">
        <f>0.008*('String Lengths'!E7^2)*C87*SQRT('Misc ref'!$B$9*E87/(J87*1000000000))/(PI()*D87)</f>
        <v>9.0987202601745683</v>
      </c>
      <c r="M87" s="4">
        <f t="shared" si="9"/>
        <v>23.9935114431598</v>
      </c>
      <c r="N87" s="4">
        <f t="shared" si="11"/>
        <v>1.7026830871964969</v>
      </c>
      <c r="Y87" s="26">
        <f>IF(Graphs!$B$8="Yes",D87,$Y$127)</f>
        <v>-100</v>
      </c>
      <c r="Z87" s="4">
        <f>IF(Graphs!$B$8="Yes",E87,$Y$127)</f>
        <v>-100</v>
      </c>
      <c r="AA87" s="4">
        <f>IF(Graphs!$B$8="Yes",G87,$Y$127)</f>
        <v>-100</v>
      </c>
      <c r="AB87" s="4">
        <f>IF(Graphs!$B$8="Yes",H87,$Y$127)</f>
        <v>-100</v>
      </c>
      <c r="AC87" s="4">
        <f>IF(Graphs!$B$8="Yes",I87,$Y$127)</f>
        <v>-100</v>
      </c>
      <c r="AD87" s="4">
        <f>IF(Graphs!$B$8="Yes",J87,$Y$127)</f>
        <v>-100</v>
      </c>
      <c r="AE87" s="4">
        <f>IF(Graphs!$B$8="Yes",K87,$Y$127)</f>
        <v>-100</v>
      </c>
      <c r="AF87" s="4">
        <f>IF(Graphs!$B$8="Yes",L87,$Y$127)</f>
        <v>-100</v>
      </c>
      <c r="AG87" s="4">
        <f>IF(Graphs!$B$8="Yes",M87,$Y$127)</f>
        <v>-100</v>
      </c>
      <c r="AH87" s="27">
        <f>IF(Graphs!$B$8="Yes",N87,$Y$127)</f>
        <v>-100</v>
      </c>
    </row>
    <row r="88" spans="1:34" x14ac:dyDescent="0.25">
      <c r="A88" s="3">
        <v>2</v>
      </c>
      <c r="B88" s="3" t="s">
        <v>29</v>
      </c>
      <c r="C88" s="3">
        <v>2349.3181433392606</v>
      </c>
      <c r="D88" s="4">
        <v>0.6</v>
      </c>
      <c r="E88" s="3">
        <f t="shared" si="8"/>
        <v>1320</v>
      </c>
      <c r="F88" s="4">
        <f>((2*C88*'String Lengths'!E8)^2)*E88/1000000000000</f>
        <v>263.00548053686464</v>
      </c>
      <c r="G88" s="4">
        <f t="shared" si="10"/>
        <v>74.363047695762063</v>
      </c>
      <c r="H88" s="4">
        <f>PI()*(D88^2)*E88*'String Lengths'!E8*C88/2000000000</f>
        <v>0.16659491719599057</v>
      </c>
      <c r="I88" s="4">
        <f>4*G88/'String Lengths'!E8</f>
        <v>3.1310756924531393</v>
      </c>
      <c r="J88" s="4">
        <f>_xlfn.XLOOKUP(D88,'Gut E est'!$A$5:$A$74,'Gut E est'!$B$5:$B$74,,-1,1)</f>
        <v>6.4147006498018122</v>
      </c>
      <c r="K88" s="4">
        <f>J88*(PI()^3)*(D88^4)/(0.128*G88*('String Lengths'!E8^2)*$K$127)</f>
        <v>2.3176689959465655</v>
      </c>
      <c r="L88" s="4">
        <f>0.008*('String Lengths'!E8^2)*C88*SQRT('Misc ref'!$B$9*E88/(J88*1000000000))/(PI()*D88)</f>
        <v>9.3648295068473608</v>
      </c>
      <c r="M88" s="4">
        <f t="shared" si="9"/>
        <v>22.000963869715363</v>
      </c>
      <c r="N88" s="4">
        <f t="shared" si="11"/>
        <v>1.8137138792755541</v>
      </c>
      <c r="Y88" s="26">
        <f>IF(Graphs!$B$8="Yes",D88,$Y$127)</f>
        <v>-100</v>
      </c>
      <c r="Z88" s="4">
        <f>IF(Graphs!$B$8="Yes",E88,$Y$127)</f>
        <v>-100</v>
      </c>
      <c r="AA88" s="4">
        <f>IF(Graphs!$B$8="Yes",G88,$Y$127)</f>
        <v>-100</v>
      </c>
      <c r="AB88" s="4">
        <f>IF(Graphs!$B$8="Yes",H88,$Y$127)</f>
        <v>-100</v>
      </c>
      <c r="AC88" s="4">
        <f>IF(Graphs!$B$8="Yes",I88,$Y$127)</f>
        <v>-100</v>
      </c>
      <c r="AD88" s="4">
        <f>IF(Graphs!$B$8="Yes",J88,$Y$127)</f>
        <v>-100</v>
      </c>
      <c r="AE88" s="4">
        <f>IF(Graphs!$B$8="Yes",K88,$Y$127)</f>
        <v>-100</v>
      </c>
      <c r="AF88" s="4">
        <f>IF(Graphs!$B$8="Yes",L88,$Y$127)</f>
        <v>-100</v>
      </c>
      <c r="AG88" s="4">
        <f>IF(Graphs!$B$8="Yes",M88,$Y$127)</f>
        <v>-100</v>
      </c>
      <c r="AH88" s="27">
        <f>IF(Graphs!$B$8="Yes",N88,$Y$127)</f>
        <v>-100</v>
      </c>
    </row>
    <row r="89" spans="1:34" x14ac:dyDescent="0.25">
      <c r="A89" s="3">
        <v>3</v>
      </c>
      <c r="B89" s="3" t="s">
        <v>30</v>
      </c>
      <c r="C89" s="3">
        <v>2093.0045224047894</v>
      </c>
      <c r="D89" s="4">
        <v>0.62</v>
      </c>
      <c r="E89" s="3">
        <f t="shared" si="8"/>
        <v>1320</v>
      </c>
      <c r="F89" s="4">
        <f>((2*C89*'String Lengths'!E9)^2)*E89/1000000000000</f>
        <v>245.38539209147257</v>
      </c>
      <c r="G89" s="4">
        <f t="shared" si="10"/>
        <v>74.083580823420121</v>
      </c>
      <c r="H89" s="4">
        <f>PI()*(D89^2)*E89*'String Lengths'!E9*C89/2000000000</f>
        <v>0.17182429816740066</v>
      </c>
      <c r="I89" s="4">
        <f>4*G89/'String Lengths'!E9</f>
        <v>2.8770322649871893</v>
      </c>
      <c r="J89" s="4">
        <f>_xlfn.XLOOKUP(D89,'Gut E est'!$A$5:$A$74,'Gut E est'!$B$5:$B$74,,-1,1)</f>
        <v>6.3841987153685906</v>
      </c>
      <c r="K89" s="4">
        <f>J89*(PI()^3)*(D89^4)/(0.128*G89*('String Lengths'!E9^2)*$K$127)</f>
        <v>2.2456969324898304</v>
      </c>
      <c r="L89" s="4">
        <f>0.008*('String Lengths'!E9^2)*C89*SQRT('Misc ref'!$B$9*E89/(J89*1000000000))/(PI()*D89)</f>
        <v>9.5137121655896699</v>
      </c>
      <c r="M89" s="4">
        <f t="shared" si="9"/>
        <v>19.912242587436641</v>
      </c>
      <c r="N89" s="4">
        <f t="shared" si="11"/>
        <v>1.9274346263712245</v>
      </c>
      <c r="Y89" s="26">
        <f>IF(Graphs!$B$8="Yes",D89,$Y$127)</f>
        <v>-100</v>
      </c>
      <c r="Z89" s="4">
        <f>IF(Graphs!$B$8="Yes",E89,$Y$127)</f>
        <v>-100</v>
      </c>
      <c r="AA89" s="4">
        <f>IF(Graphs!$B$8="Yes",G89,$Y$127)</f>
        <v>-100</v>
      </c>
      <c r="AB89" s="4">
        <f>IF(Graphs!$B$8="Yes",H89,$Y$127)</f>
        <v>-100</v>
      </c>
      <c r="AC89" s="4">
        <f>IF(Graphs!$B$8="Yes",I89,$Y$127)</f>
        <v>-100</v>
      </c>
      <c r="AD89" s="4">
        <f>IF(Graphs!$B$8="Yes",J89,$Y$127)</f>
        <v>-100</v>
      </c>
      <c r="AE89" s="4">
        <f>IF(Graphs!$B$8="Yes",K89,$Y$127)</f>
        <v>-100</v>
      </c>
      <c r="AF89" s="4">
        <f>IF(Graphs!$B$8="Yes",L89,$Y$127)</f>
        <v>-100</v>
      </c>
      <c r="AG89" s="4">
        <f>IF(Graphs!$B$8="Yes",M89,$Y$127)</f>
        <v>-100</v>
      </c>
      <c r="AH89" s="27">
        <f>IF(Graphs!$B$8="Yes",N89,$Y$127)</f>
        <v>-100</v>
      </c>
    </row>
    <row r="90" spans="1:34" x14ac:dyDescent="0.25">
      <c r="A90" s="3">
        <v>4</v>
      </c>
      <c r="B90" s="3" t="s">
        <v>31</v>
      </c>
      <c r="C90" s="3">
        <v>1975.5332050244965</v>
      </c>
      <c r="D90" s="4">
        <v>0.64</v>
      </c>
      <c r="E90" s="3">
        <f t="shared" si="8"/>
        <v>1320</v>
      </c>
      <c r="F90" s="4">
        <f>((2*C90*'String Lengths'!E10)^2)*E90/1000000000000</f>
        <v>263.123402838949</v>
      </c>
      <c r="G90" s="4">
        <f t="shared" si="10"/>
        <v>84.646558653070329</v>
      </c>
      <c r="H90" s="4">
        <f>PI()*(D90^2)*E90*'String Lengths'!E10*C90/2000000000</f>
        <v>0.18959048320346797</v>
      </c>
      <c r="I90" s="4">
        <f>4*G90/'String Lengths'!E10</f>
        <v>2.9963383594007196</v>
      </c>
      <c r="J90" s="4">
        <f>_xlfn.XLOOKUP(D90,'Gut E est'!$A$5:$A$74,'Gut E est'!$B$5:$B$74,,-1,1)</f>
        <v>6.4212086514912716</v>
      </c>
      <c r="K90" s="4">
        <f>J90*(PI()^3)*(D90^4)/(0.128*G90*('String Lengths'!E10^2)*$K$127)</f>
        <v>1.8648542355183799</v>
      </c>
      <c r="L90" s="4">
        <f>0.008*('String Lengths'!E10^2)*C90*SQRT('Misc ref'!$B$9*E90/(J90*1000000000))/(PI()*D90)</f>
        <v>10.440063377035742</v>
      </c>
      <c r="M90" s="4">
        <f t="shared" si="9"/>
        <v>20.624691863894288</v>
      </c>
      <c r="N90" s="4">
        <f t="shared" si="11"/>
        <v>2.0656969652932813</v>
      </c>
      <c r="Y90" s="26">
        <f>IF(Graphs!$B$8="Yes",D90,$Y$127)</f>
        <v>-100</v>
      </c>
      <c r="Z90" s="4">
        <f>IF(Graphs!$B$8="Yes",E90,$Y$127)</f>
        <v>-100</v>
      </c>
      <c r="AA90" s="4">
        <f>IF(Graphs!$B$8="Yes",G90,$Y$127)</f>
        <v>-100</v>
      </c>
      <c r="AB90" s="4">
        <f>IF(Graphs!$B$8="Yes",H90,$Y$127)</f>
        <v>-100</v>
      </c>
      <c r="AC90" s="4">
        <f>IF(Graphs!$B$8="Yes",I90,$Y$127)</f>
        <v>-100</v>
      </c>
      <c r="AD90" s="4">
        <f>IF(Graphs!$B$8="Yes",J90,$Y$127)</f>
        <v>-100</v>
      </c>
      <c r="AE90" s="4">
        <f>IF(Graphs!$B$8="Yes",K90,$Y$127)</f>
        <v>-100</v>
      </c>
      <c r="AF90" s="4">
        <f>IF(Graphs!$B$8="Yes",L90,$Y$127)</f>
        <v>-100</v>
      </c>
      <c r="AG90" s="4">
        <f>IF(Graphs!$B$8="Yes",M90,$Y$127)</f>
        <v>-100</v>
      </c>
      <c r="AH90" s="27">
        <f>IF(Graphs!$B$8="Yes",N90,$Y$127)</f>
        <v>-100</v>
      </c>
    </row>
    <row r="91" spans="1:34" x14ac:dyDescent="0.25">
      <c r="A91" s="3">
        <v>5</v>
      </c>
      <c r="B91" s="3" t="s">
        <v>32</v>
      </c>
      <c r="C91" s="3">
        <v>1760</v>
      </c>
      <c r="D91" s="4">
        <v>0.66</v>
      </c>
      <c r="E91" s="3">
        <f t="shared" si="8"/>
        <v>1320</v>
      </c>
      <c r="F91" s="4">
        <f>((2*C91*'String Lengths'!E11)^2)*E91/1000000000000</f>
        <v>243.432701952</v>
      </c>
      <c r="G91" s="4">
        <f t="shared" si="10"/>
        <v>83.283059663645361</v>
      </c>
      <c r="H91" s="4">
        <f>PI()*(D91^2)*E91*'String Lengths'!E11*C91/2000000000</f>
        <v>0.19393409944030682</v>
      </c>
      <c r="I91" s="4">
        <f>4*G91/'String Lengths'!E11</f>
        <v>2.7305921201195202</v>
      </c>
      <c r="J91" s="4">
        <f>_xlfn.XLOOKUP(D91,'Gut E est'!$A$5:$A$74,'Gut E est'!$B$5:$B$74,,-1,1)</f>
        <v>6.3929857543498434</v>
      </c>
      <c r="K91" s="4">
        <f>J91*(PI()^3)*(D91^4)/(0.128*G91*('String Lengths'!E11^2)*$K$127)</f>
        <v>1.8309545000208451</v>
      </c>
      <c r="L91" s="4">
        <f>0.008*('String Lengths'!E11^2)*C91*SQRT('Misc ref'!$B$9*E91/(J91*1000000000))/(PI()*D91)</f>
        <v>10.536267900913042</v>
      </c>
      <c r="M91" s="4">
        <f t="shared" si="9"/>
        <v>18.543831505606956</v>
      </c>
      <c r="N91" s="4">
        <f t="shared" si="11"/>
        <v>2.1871647060522572</v>
      </c>
      <c r="Y91" s="26">
        <f>IF(Graphs!$B$8="Yes",D91,$Y$127)</f>
        <v>-100</v>
      </c>
      <c r="Z91" s="4">
        <f>IF(Graphs!$B$8="Yes",E91,$Y$127)</f>
        <v>-100</v>
      </c>
      <c r="AA91" s="4">
        <f>IF(Graphs!$B$8="Yes",G91,$Y$127)</f>
        <v>-100</v>
      </c>
      <c r="AB91" s="4">
        <f>IF(Graphs!$B$8="Yes",H91,$Y$127)</f>
        <v>-100</v>
      </c>
      <c r="AC91" s="4">
        <f>IF(Graphs!$B$8="Yes",I91,$Y$127)</f>
        <v>-100</v>
      </c>
      <c r="AD91" s="4">
        <f>IF(Graphs!$B$8="Yes",J91,$Y$127)</f>
        <v>-100</v>
      </c>
      <c r="AE91" s="4">
        <f>IF(Graphs!$B$8="Yes",K91,$Y$127)</f>
        <v>-100</v>
      </c>
      <c r="AF91" s="4">
        <f>IF(Graphs!$B$8="Yes",L91,$Y$127)</f>
        <v>-100</v>
      </c>
      <c r="AG91" s="4">
        <f>IF(Graphs!$B$8="Yes",M91,$Y$127)</f>
        <v>-100</v>
      </c>
      <c r="AH91" s="27">
        <f>IF(Graphs!$B$8="Yes",N91,$Y$127)</f>
        <v>-100</v>
      </c>
    </row>
    <row r="92" spans="1:34" x14ac:dyDescent="0.25">
      <c r="A92" s="3">
        <v>6</v>
      </c>
      <c r="B92" s="3" t="s">
        <v>33</v>
      </c>
      <c r="C92" s="3">
        <v>1567.9817439269971</v>
      </c>
      <c r="D92" s="4">
        <v>0.68</v>
      </c>
      <c r="E92" s="3">
        <f t="shared" si="8"/>
        <v>1320</v>
      </c>
      <c r="F92" s="4">
        <f>((2*C92*'String Lengths'!E12)^2)*E92/1000000000000</f>
        <v>229.62502056469307</v>
      </c>
      <c r="G92" s="4">
        <f t="shared" si="10"/>
        <v>83.392484900553043</v>
      </c>
      <c r="H92" s="4">
        <f>PI()*(D92^2)*E92*'String Lengths'!E12*C92/2000000000</f>
        <v>0.19994211255785041</v>
      </c>
      <c r="I92" s="4">
        <f>4*G92/'String Lengths'!E12</f>
        <v>2.5080446586632492</v>
      </c>
      <c r="J92" s="4">
        <f>_xlfn.XLOOKUP(D92,'Gut E est'!$A$5:$A$74,'Gut E est'!$B$5:$B$74,,-1,1)</f>
        <v>6.3641529512957193</v>
      </c>
      <c r="K92" s="4">
        <f>J92*(PI()^3)*(D92^4)/(0.128*G92*('String Lengths'!E12^2)*$K$127)</f>
        <v>1.7259192354661572</v>
      </c>
      <c r="L92" s="4">
        <f>0.008*('String Lengths'!E12^2)*C92*SQRT('Misc ref'!$B$9*E92/(J92*1000000000))/(PI()*D92)</f>
        <v>10.852138960437905</v>
      </c>
      <c r="M92" s="4">
        <f t="shared" si="9"/>
        <v>17.015955772525537</v>
      </c>
      <c r="N92" s="4">
        <f t="shared" si="11"/>
        <v>2.3112574038777978</v>
      </c>
      <c r="Y92" s="26">
        <f>IF(Graphs!$B$8="Yes",D92,$Y$127)</f>
        <v>-100</v>
      </c>
      <c r="Z92" s="4">
        <f>IF(Graphs!$B$8="Yes",E92,$Y$127)</f>
        <v>-100</v>
      </c>
      <c r="AA92" s="4">
        <f>IF(Graphs!$B$8="Yes",G92,$Y$127)</f>
        <v>-100</v>
      </c>
      <c r="AB92" s="4">
        <f>IF(Graphs!$B$8="Yes",H92,$Y$127)</f>
        <v>-100</v>
      </c>
      <c r="AC92" s="4">
        <f>IF(Graphs!$B$8="Yes",I92,$Y$127)</f>
        <v>-100</v>
      </c>
      <c r="AD92" s="4">
        <f>IF(Graphs!$B$8="Yes",J92,$Y$127)</f>
        <v>-100</v>
      </c>
      <c r="AE92" s="4">
        <f>IF(Graphs!$B$8="Yes",K92,$Y$127)</f>
        <v>-100</v>
      </c>
      <c r="AF92" s="4">
        <f>IF(Graphs!$B$8="Yes",L92,$Y$127)</f>
        <v>-100</v>
      </c>
      <c r="AG92" s="4">
        <f>IF(Graphs!$B$8="Yes",M92,$Y$127)</f>
        <v>-100</v>
      </c>
      <c r="AH92" s="27">
        <f>IF(Graphs!$B$8="Yes",N92,$Y$127)</f>
        <v>-100</v>
      </c>
    </row>
    <row r="93" spans="1:34" x14ac:dyDescent="0.25">
      <c r="A93" s="2">
        <v>7</v>
      </c>
      <c r="B93" s="2" t="s">
        <v>34</v>
      </c>
      <c r="C93" s="2">
        <v>1396.9129257320155</v>
      </c>
      <c r="D93" s="15">
        <v>0.7</v>
      </c>
      <c r="E93" s="2">
        <f t="shared" si="8"/>
        <v>1320</v>
      </c>
      <c r="F93" s="15">
        <f>((2*C93*'String Lengths'!E13)^2)*E93/1000000000000</f>
        <v>213.64738355659986</v>
      </c>
      <c r="G93" s="15">
        <f t="shared" si="10"/>
        <v>82.2211487034116</v>
      </c>
      <c r="H93" s="15">
        <f>PI()*(D93^2)*E93*'String Lengths'!E13*C93/2000000000</f>
        <v>0.20437215119547986</v>
      </c>
      <c r="I93" s="15">
        <f>4*G93/'String Lengths'!E13</f>
        <v>2.283920797316989</v>
      </c>
      <c r="J93" s="15">
        <f>_xlfn.XLOOKUP(D93,'Gut E est'!$A$5:$A$74,'Gut E est'!$B$5:$B$74,,-1,1)</f>
        <v>6.3347300476775441</v>
      </c>
      <c r="K93" s="15">
        <f>J93*(PI()^3)*(D93^4)/(0.128*G93*('String Lengths'!E13^2)*$K$127)</f>
        <v>1.6691145950050212</v>
      </c>
      <c r="L93" s="15">
        <f>0.008*('String Lengths'!E13^2)*C93*SQRT('Misc ref'!$B$9*E93/(J93*1000000000))/(PI()*D93)</f>
        <v>11.035258308047581</v>
      </c>
      <c r="M93" s="15">
        <f t="shared" si="9"/>
        <v>15.415294969303279</v>
      </c>
      <c r="N93" s="15">
        <f t="shared" si="11"/>
        <v>2.4378898190816405</v>
      </c>
      <c r="Y93" s="26">
        <f>IF(Graphs!$B$8="Yes",D93,$Y$127)</f>
        <v>-100</v>
      </c>
      <c r="Z93" s="4">
        <f>IF(Graphs!$B$8="Yes",E93,$Y$127)</f>
        <v>-100</v>
      </c>
      <c r="AA93" s="4">
        <f>IF(Graphs!$B$8="Yes",G93,$Y$127)</f>
        <v>-100</v>
      </c>
      <c r="AB93" s="4">
        <f>IF(Graphs!$B$8="Yes",H93,$Y$127)</f>
        <v>-100</v>
      </c>
      <c r="AC93" s="4">
        <f>IF(Graphs!$B$8="Yes",I93,$Y$127)</f>
        <v>-100</v>
      </c>
      <c r="AD93" s="4">
        <f>IF(Graphs!$B$8="Yes",J93,$Y$127)</f>
        <v>-100</v>
      </c>
      <c r="AE93" s="4">
        <f>IF(Graphs!$B$8="Yes",K93,$Y$127)</f>
        <v>-100</v>
      </c>
      <c r="AF93" s="4">
        <f>IF(Graphs!$B$8="Yes",L93,$Y$127)</f>
        <v>-100</v>
      </c>
      <c r="AG93" s="4">
        <f>IF(Graphs!$B$8="Yes",M93,$Y$127)</f>
        <v>-100</v>
      </c>
      <c r="AH93" s="27">
        <f>IF(Graphs!$B$8="Yes",N93,$Y$127)</f>
        <v>-100</v>
      </c>
    </row>
    <row r="94" spans="1:34" x14ac:dyDescent="0.25">
      <c r="A94" s="3">
        <v>8</v>
      </c>
      <c r="B94" s="3" t="s">
        <v>35</v>
      </c>
      <c r="C94" s="3">
        <v>1318.5102276514797</v>
      </c>
      <c r="D94" s="4">
        <v>0.73</v>
      </c>
      <c r="E94" s="3">
        <f t="shared" si="8"/>
        <v>1320</v>
      </c>
      <c r="F94" s="4">
        <f>((2*C94*'String Lengths'!E14)^2)*E94/1000000000000</f>
        <v>217.69195024641311</v>
      </c>
      <c r="G94" s="4">
        <f t="shared" si="10"/>
        <v>91.11250178020785</v>
      </c>
      <c r="H94" s="4">
        <f>PI()*(D94^2)*E94*'String Lengths'!E14*C94/2000000000</f>
        <v>0.2243591325807254</v>
      </c>
      <c r="I94" s="4">
        <f>4*G94/'String Lengths'!E14</f>
        <v>2.3665584877976067</v>
      </c>
      <c r="J94" s="4">
        <f>_xlfn.XLOOKUP(D94,'Gut E est'!$A$5:$A$74,'Gut E est'!$B$5:$B$74,,-1,1)</f>
        <v>6.2895328487649378</v>
      </c>
      <c r="K94" s="4">
        <f>J94*(PI()^3)*(D94^4)/(0.128*G94*('String Lengths'!E14^2)*$K$127)</f>
        <v>1.5465530552127578</v>
      </c>
      <c r="L94" s="4">
        <f>0.008*('String Lengths'!E14^2)*C94*SQRT('Misc ref'!$B$9*E94/(J94*1000000000))/(PI()*D94)</f>
        <v>11.46418456023034</v>
      </c>
      <c r="M94" s="4">
        <f t="shared" si="9"/>
        <v>15.115644594347883</v>
      </c>
      <c r="N94" s="4">
        <f t="shared" si="11"/>
        <v>2.6324127843547274</v>
      </c>
      <c r="Y94" s="26">
        <f>IF(Graphs!$B$8="Yes",D94,$Y$127)</f>
        <v>-100</v>
      </c>
      <c r="Z94" s="4">
        <f>IF(Graphs!$B$8="Yes",E94,$Y$127)</f>
        <v>-100</v>
      </c>
      <c r="AA94" s="4">
        <f>IF(Graphs!$B$8="Yes",G94,$Y$127)</f>
        <v>-100</v>
      </c>
      <c r="AB94" s="4">
        <f>IF(Graphs!$B$8="Yes",H94,$Y$127)</f>
        <v>-100</v>
      </c>
      <c r="AC94" s="4">
        <f>IF(Graphs!$B$8="Yes",I94,$Y$127)</f>
        <v>-100</v>
      </c>
      <c r="AD94" s="4">
        <f>IF(Graphs!$B$8="Yes",J94,$Y$127)</f>
        <v>-100</v>
      </c>
      <c r="AE94" s="4">
        <f>IF(Graphs!$B$8="Yes",K94,$Y$127)</f>
        <v>-100</v>
      </c>
      <c r="AF94" s="4">
        <f>IF(Graphs!$B$8="Yes",L94,$Y$127)</f>
        <v>-100</v>
      </c>
      <c r="AG94" s="4">
        <f>IF(Graphs!$B$8="Yes",M94,$Y$127)</f>
        <v>-100</v>
      </c>
      <c r="AH94" s="27">
        <f>IF(Graphs!$B$8="Yes",N94,$Y$127)</f>
        <v>-100</v>
      </c>
    </row>
    <row r="95" spans="1:34" x14ac:dyDescent="0.25">
      <c r="A95" s="3">
        <v>9</v>
      </c>
      <c r="B95" s="3" t="s">
        <v>36</v>
      </c>
      <c r="C95" s="3">
        <v>1174.6590716696303</v>
      </c>
      <c r="D95" s="4">
        <v>0.76</v>
      </c>
      <c r="E95" s="3">
        <f t="shared" si="8"/>
        <v>1320</v>
      </c>
      <c r="F95" s="4">
        <f>((2*C95*'String Lengths'!E15)^2)*E95/1000000000000</f>
        <v>208.08031937987238</v>
      </c>
      <c r="G95" s="4">
        <f t="shared" si="10"/>
        <v>94.394800232829354</v>
      </c>
      <c r="H95" s="4">
        <f>PI()*(D95^2)*E95*'String Lengths'!E15*C95/2000000000</f>
        <v>0.23774945738503361</v>
      </c>
      <c r="I95" s="4">
        <f>4*G95/'String Lengths'!E15</f>
        <v>2.2341964552148958</v>
      </c>
      <c r="J95" s="4">
        <f>_xlfn.XLOOKUP(D95,'Gut E est'!$A$5:$A$74,'Gut E est'!$B$5:$B$74,,-1,1)</f>
        <v>6.2431203080667235</v>
      </c>
      <c r="K95" s="4">
        <f>J95*(PI()^3)*(D95^4)/(0.128*G95*('String Lengths'!E15^2)*$K$127)</f>
        <v>1.4454697211852556</v>
      </c>
      <c r="L95" s="4">
        <f>0.008*('String Lengths'!E15^2)*C95*SQRT('Misc ref'!$B$9*E95/(J95*1000000000))/(PI()*D95)</f>
        <v>11.85826308647942</v>
      </c>
      <c r="M95" s="4">
        <f t="shared" si="9"/>
        <v>13.92941630877816</v>
      </c>
      <c r="N95" s="4">
        <f t="shared" si="11"/>
        <v>2.8321664252812715</v>
      </c>
      <c r="Y95" s="26">
        <f>IF(Graphs!$B$8="Yes",D95,$Y$127)</f>
        <v>-100</v>
      </c>
      <c r="Z95" s="4">
        <f>IF(Graphs!$B$8="Yes",E95,$Y$127)</f>
        <v>-100</v>
      </c>
      <c r="AA95" s="4">
        <f>IF(Graphs!$B$8="Yes",G95,$Y$127)</f>
        <v>-100</v>
      </c>
      <c r="AB95" s="4">
        <f>IF(Graphs!$B$8="Yes",H95,$Y$127)</f>
        <v>-100</v>
      </c>
      <c r="AC95" s="4">
        <f>IF(Graphs!$B$8="Yes",I95,$Y$127)</f>
        <v>-100</v>
      </c>
      <c r="AD95" s="4">
        <f>IF(Graphs!$B$8="Yes",J95,$Y$127)</f>
        <v>-100</v>
      </c>
      <c r="AE95" s="4">
        <f>IF(Graphs!$B$8="Yes",K95,$Y$127)</f>
        <v>-100</v>
      </c>
      <c r="AF95" s="4">
        <f>IF(Graphs!$B$8="Yes",L95,$Y$127)</f>
        <v>-100</v>
      </c>
      <c r="AG95" s="4">
        <f>IF(Graphs!$B$8="Yes",M95,$Y$127)</f>
        <v>-100</v>
      </c>
      <c r="AH95" s="27">
        <f>IF(Graphs!$B$8="Yes",N95,$Y$127)</f>
        <v>-100</v>
      </c>
    </row>
    <row r="96" spans="1:34" x14ac:dyDescent="0.25">
      <c r="A96" s="3">
        <v>10</v>
      </c>
      <c r="B96" s="3" t="s">
        <v>37</v>
      </c>
      <c r="C96" s="3">
        <v>1046.5022612023947</v>
      </c>
      <c r="D96" s="4">
        <v>0.79</v>
      </c>
      <c r="E96" s="3">
        <f t="shared" si="8"/>
        <v>1320</v>
      </c>
      <c r="F96" s="4">
        <f>((2*C96*'String Lengths'!E16)^2)*E96/1000000000000</f>
        <v>191.5389227928631</v>
      </c>
      <c r="G96" s="4">
        <f t="shared" si="10"/>
        <v>93.886057976537643</v>
      </c>
      <c r="H96" s="4">
        <f>PI()*(D96^2)*E96*'String Lengths'!E16*C96/2000000000</f>
        <v>0.24646743754611916</v>
      </c>
      <c r="I96" s="4">
        <f>4*G96/'String Lengths'!E16</f>
        <v>2.0634298456381899</v>
      </c>
      <c r="J96" s="4">
        <f>_xlfn.XLOOKUP(D96,'Gut E est'!$A$5:$A$74,'Gut E est'!$B$5:$B$74,,-1,1)</f>
        <v>6.2593722890815942</v>
      </c>
      <c r="K96" s="4">
        <f>J96*(PI()^3)*(D96^4)/(0.128*G96*('String Lengths'!E16^2)*$K$127)</f>
        <v>1.4667958548740556</v>
      </c>
      <c r="L96" s="4">
        <f>0.008*('String Lengths'!E16^2)*C96*SQRT('Misc ref'!$B$9*E96/(J96*1000000000))/(PI()*D96)</f>
        <v>11.771742232638115</v>
      </c>
      <c r="M96" s="4">
        <f t="shared" si="9"/>
        <v>12.319154864747514</v>
      </c>
      <c r="N96" s="4">
        <f t="shared" si="11"/>
        <v>3.0681376978661001</v>
      </c>
      <c r="Y96" s="26">
        <f>IF(Graphs!$B$8="Yes",D96,$Y$127)</f>
        <v>-100</v>
      </c>
      <c r="Z96" s="4">
        <f>IF(Graphs!$B$8="Yes",E96,$Y$127)</f>
        <v>-100</v>
      </c>
      <c r="AA96" s="4">
        <f>IF(Graphs!$B$8="Yes",G96,$Y$127)</f>
        <v>-100</v>
      </c>
      <c r="AB96" s="4">
        <f>IF(Graphs!$B$8="Yes",H96,$Y$127)</f>
        <v>-100</v>
      </c>
      <c r="AC96" s="4">
        <f>IF(Graphs!$B$8="Yes",I96,$Y$127)</f>
        <v>-100</v>
      </c>
      <c r="AD96" s="4">
        <f>IF(Graphs!$B$8="Yes",J96,$Y$127)</f>
        <v>-100</v>
      </c>
      <c r="AE96" s="4">
        <f>IF(Graphs!$B$8="Yes",K96,$Y$127)</f>
        <v>-100</v>
      </c>
      <c r="AF96" s="4">
        <f>IF(Graphs!$B$8="Yes",L96,$Y$127)</f>
        <v>-100</v>
      </c>
      <c r="AG96" s="4">
        <f>IF(Graphs!$B$8="Yes",M96,$Y$127)</f>
        <v>-100</v>
      </c>
      <c r="AH96" s="27">
        <f>IF(Graphs!$B$8="Yes",N96,$Y$127)</f>
        <v>-100</v>
      </c>
    </row>
    <row r="97" spans="1:34" x14ac:dyDescent="0.25">
      <c r="A97" s="3">
        <v>11</v>
      </c>
      <c r="B97" s="3" t="s">
        <v>38</v>
      </c>
      <c r="C97" s="3">
        <v>987.76660251224826</v>
      </c>
      <c r="D97" s="4">
        <v>0.85</v>
      </c>
      <c r="E97" s="3">
        <f t="shared" si="8"/>
        <v>1320</v>
      </c>
      <c r="F97" s="4">
        <f>((2*C97*'String Lengths'!E17)^2)*E97/1000000000000</f>
        <v>199.92865809336621</v>
      </c>
      <c r="G97" s="4">
        <f t="shared" si="10"/>
        <v>113.44955163366586</v>
      </c>
      <c r="H97" s="4">
        <f>PI()*(D97^2)*E97*'String Lengths'!E17*C97/2000000000</f>
        <v>0.29150917202361892</v>
      </c>
      <c r="I97" s="4">
        <f>4*G97/'String Lengths'!E17</f>
        <v>2.3035441956074285</v>
      </c>
      <c r="J97" s="4">
        <f>_xlfn.XLOOKUP(D97,'Gut E est'!$A$5:$A$74,'Gut E est'!$B$5:$B$74,,-1,1)</f>
        <v>6.1689186455145038</v>
      </c>
      <c r="K97" s="4">
        <f>J97*(PI()^3)*(D97^4)/(0.128*G97*('String Lengths'!E17^2)*$K$127)</f>
        <v>1.3684341890199483</v>
      </c>
      <c r="L97" s="4">
        <f>0.008*('String Lengths'!E17^2)*C97*SQRT('Misc ref'!$B$9*E97/(J97*1000000000))/(PI()*D97)</f>
        <v>12.187471768198993</v>
      </c>
      <c r="M97" s="4">
        <f t="shared" si="9"/>
        <v>12.038377581687863</v>
      </c>
      <c r="N97" s="4">
        <f t="shared" si="11"/>
        <v>3.5005539529573011</v>
      </c>
      <c r="Y97" s="26">
        <f>IF(Graphs!$B$8="Yes",D97,$Y$127)</f>
        <v>-100</v>
      </c>
      <c r="Z97" s="4">
        <f>IF(Graphs!$B$8="Yes",E97,$Y$127)</f>
        <v>-100</v>
      </c>
      <c r="AA97" s="4">
        <f>IF(Graphs!$B$8="Yes",G97,$Y$127)</f>
        <v>-100</v>
      </c>
      <c r="AB97" s="4">
        <f>IF(Graphs!$B$8="Yes",H97,$Y$127)</f>
        <v>-100</v>
      </c>
      <c r="AC97" s="4">
        <f>IF(Graphs!$B$8="Yes",I97,$Y$127)</f>
        <v>-100</v>
      </c>
      <c r="AD97" s="4">
        <f>IF(Graphs!$B$8="Yes",J97,$Y$127)</f>
        <v>-100</v>
      </c>
      <c r="AE97" s="4">
        <f>IF(Graphs!$B$8="Yes",K97,$Y$127)</f>
        <v>-100</v>
      </c>
      <c r="AF97" s="4">
        <f>IF(Graphs!$B$8="Yes",L97,$Y$127)</f>
        <v>-100</v>
      </c>
      <c r="AG97" s="4">
        <f>IF(Graphs!$B$8="Yes",M97,$Y$127)</f>
        <v>-100</v>
      </c>
      <c r="AH97" s="27">
        <f>IF(Graphs!$B$8="Yes",N97,$Y$127)</f>
        <v>-100</v>
      </c>
    </row>
    <row r="98" spans="1:34" x14ac:dyDescent="0.25">
      <c r="A98" s="3">
        <v>12</v>
      </c>
      <c r="B98" s="3" t="s">
        <v>39</v>
      </c>
      <c r="C98" s="3">
        <v>880</v>
      </c>
      <c r="D98" s="4">
        <v>0.88</v>
      </c>
      <c r="E98" s="3">
        <f t="shared" si="8"/>
        <v>1320</v>
      </c>
      <c r="F98" s="4">
        <f>((2*C98*'String Lengths'!E18)^2)*E98/1000000000000</f>
        <v>185.50621900799999</v>
      </c>
      <c r="G98" s="4">
        <f t="shared" si="10"/>
        <v>112.8271711272336</v>
      </c>
      <c r="H98" s="4">
        <f>PI()*(D98^2)*E98*'String Lengths'!E18*C98/2000000000</f>
        <v>0.3009687663445198</v>
      </c>
      <c r="I98" s="4">
        <f>4*G98/'String Lengths'!E18</f>
        <v>2.1188201150654198</v>
      </c>
      <c r="J98" s="4">
        <f>_xlfn.XLOOKUP(D98,'Gut E est'!$A$5:$A$74,'Gut E est'!$B$5:$B$74,,-1,1)</f>
        <v>6.1222549688387407</v>
      </c>
      <c r="K98" s="4">
        <f>J98*(PI()^3)*(D98^4)/(0.128*G98*('String Lengths'!E18^2)*$K$127)</f>
        <v>1.3419724534699371</v>
      </c>
      <c r="L98" s="4">
        <f>0.008*('String Lengths'!E18^2)*C98*SQRT('Misc ref'!$B$9*E98/(J98*1000000000))/(PI()*D98)</f>
        <v>12.30704476042661</v>
      </c>
      <c r="M98" s="4">
        <f t="shared" si="9"/>
        <v>10.830199389175418</v>
      </c>
      <c r="N98" s="4">
        <f t="shared" si="11"/>
        <v>3.7236310068070315</v>
      </c>
      <c r="Y98" s="26">
        <f>IF(Graphs!$B$8="Yes",D98,$Y$127)</f>
        <v>-100</v>
      </c>
      <c r="Z98" s="4">
        <f>IF(Graphs!$B$8="Yes",E98,$Y$127)</f>
        <v>-100</v>
      </c>
      <c r="AA98" s="4">
        <f>IF(Graphs!$B$8="Yes",G98,$Y$127)</f>
        <v>-100</v>
      </c>
      <c r="AB98" s="4">
        <f>IF(Graphs!$B$8="Yes",H98,$Y$127)</f>
        <v>-100</v>
      </c>
      <c r="AC98" s="4">
        <f>IF(Graphs!$B$8="Yes",I98,$Y$127)</f>
        <v>-100</v>
      </c>
      <c r="AD98" s="4">
        <f>IF(Graphs!$B$8="Yes",J98,$Y$127)</f>
        <v>-100</v>
      </c>
      <c r="AE98" s="4">
        <f>IF(Graphs!$B$8="Yes",K98,$Y$127)</f>
        <v>-100</v>
      </c>
      <c r="AF98" s="4">
        <f>IF(Graphs!$B$8="Yes",L98,$Y$127)</f>
        <v>-100</v>
      </c>
      <c r="AG98" s="4">
        <f>IF(Graphs!$B$8="Yes",M98,$Y$127)</f>
        <v>-100</v>
      </c>
      <c r="AH98" s="27">
        <f>IF(Graphs!$B$8="Yes",N98,$Y$127)</f>
        <v>-100</v>
      </c>
    </row>
    <row r="99" spans="1:34" x14ac:dyDescent="0.25">
      <c r="A99" s="3">
        <v>13</v>
      </c>
      <c r="B99" s="3" t="s">
        <v>40</v>
      </c>
      <c r="C99" s="3">
        <v>783.99087196349853</v>
      </c>
      <c r="D99" s="4">
        <v>0.9</v>
      </c>
      <c r="E99" s="3">
        <f t="shared" si="8"/>
        <v>1320</v>
      </c>
      <c r="F99" s="4">
        <f>((2*C99*'String Lengths'!E19)^2)*E99/1000000000000</f>
        <v>173.17288600758363</v>
      </c>
      <c r="G99" s="4">
        <f t="shared" si="10"/>
        <v>110.16782996267941</v>
      </c>
      <c r="H99" s="4">
        <f>PI()*(D99^2)*E99*'String Lengths'!E19*C99/2000000000</f>
        <v>0.30415979948275251</v>
      </c>
      <c r="I99" s="4">
        <f>4*G99/'String Lengths'!E19</f>
        <v>1.9076680513018078</v>
      </c>
      <c r="J99" s="4">
        <f>_xlfn.XLOOKUP(D99,'Gut E est'!$A$5:$A$74,'Gut E est'!$B$5:$B$74,,-1,1)</f>
        <v>6.0906528357917518</v>
      </c>
      <c r="K99" s="4">
        <f>J99*(PI()^3)*(D99^4)/(0.128*G99*('String Lengths'!E19^2)*$K$127)</f>
        <v>1.2718313769710519</v>
      </c>
      <c r="L99" s="4">
        <f>0.008*('String Lengths'!E19^2)*C99*SQRT('Misc ref'!$B$9*E99/(J99*1000000000))/(PI()*D99)</f>
        <v>12.641855245205434</v>
      </c>
      <c r="M99" s="4">
        <f t="shared" si="9"/>
        <v>9.9110991169249356</v>
      </c>
      <c r="N99" s="4">
        <f t="shared" si="11"/>
        <v>3.8747059164090651</v>
      </c>
      <c r="Y99" s="26">
        <f>IF(Graphs!$B$8="Yes",D99,$Y$127)</f>
        <v>-100</v>
      </c>
      <c r="Z99" s="4">
        <f>IF(Graphs!$B$8="Yes",E99,$Y$127)</f>
        <v>-100</v>
      </c>
      <c r="AA99" s="4">
        <f>IF(Graphs!$B$8="Yes",G99,$Y$127)</f>
        <v>-100</v>
      </c>
      <c r="AB99" s="4">
        <f>IF(Graphs!$B$8="Yes",H99,$Y$127)</f>
        <v>-100</v>
      </c>
      <c r="AC99" s="4">
        <f>IF(Graphs!$B$8="Yes",I99,$Y$127)</f>
        <v>-100</v>
      </c>
      <c r="AD99" s="4">
        <f>IF(Graphs!$B$8="Yes",J99,$Y$127)</f>
        <v>-100</v>
      </c>
      <c r="AE99" s="4">
        <f>IF(Graphs!$B$8="Yes",K99,$Y$127)</f>
        <v>-100</v>
      </c>
      <c r="AF99" s="4">
        <f>IF(Graphs!$B$8="Yes",L99,$Y$127)</f>
        <v>-100</v>
      </c>
      <c r="AG99" s="4">
        <f>IF(Graphs!$B$8="Yes",M99,$Y$127)</f>
        <v>-100</v>
      </c>
      <c r="AH99" s="27">
        <f>IF(Graphs!$B$8="Yes",N99,$Y$127)</f>
        <v>-100</v>
      </c>
    </row>
    <row r="100" spans="1:34" x14ac:dyDescent="0.25">
      <c r="A100" s="2">
        <v>14</v>
      </c>
      <c r="B100" s="2" t="s">
        <v>41</v>
      </c>
      <c r="C100" s="2">
        <v>698.45646286600777</v>
      </c>
      <c r="D100" s="15">
        <v>0.95</v>
      </c>
      <c r="E100" s="2">
        <f t="shared" si="8"/>
        <v>1320</v>
      </c>
      <c r="F100" s="15">
        <f>((2*C100*'String Lengths'!E20)^2)*E100/1000000000000</f>
        <v>160.98767207136734</v>
      </c>
      <c r="G100" s="15">
        <f t="shared" si="10"/>
        <v>114.11157833197053</v>
      </c>
      <c r="H100" s="15">
        <f>PI()*(D100^2)*E100*'String Lengths'!E20*C100/2000000000</f>
        <v>0.32675358994813031</v>
      </c>
      <c r="I100" s="15">
        <f>4*G100/'String Lengths'!E20</f>
        <v>1.8257852533115286</v>
      </c>
      <c r="J100" s="15">
        <f>_xlfn.XLOOKUP(D100,'Gut E est'!$A$5:$A$74,'Gut E est'!$B$5:$B$74,,-1,1)</f>
        <v>6.0100455160736628</v>
      </c>
      <c r="K100" s="15">
        <f>J100*(PI()^3)*(D100^4)/(0.128*G100*('String Lengths'!E20^2)*$K$127)</f>
        <v>1.2842124000127348</v>
      </c>
      <c r="L100" s="15">
        <f>0.008*('String Lengths'!E20^2)*C100*SQRT('Misc ref'!$B$9*E100/(J100*1000000000))/(PI()*D100)</f>
        <v>12.580767928693307</v>
      </c>
      <c r="M100" s="15">
        <f t="shared" si="9"/>
        <v>8.7871186676132389</v>
      </c>
      <c r="N100" s="15">
        <f t="shared" si="11"/>
        <v>4.2600515360090396</v>
      </c>
      <c r="Y100" s="26">
        <f>IF(Graphs!$B$8="Yes",D100,$Y$127)</f>
        <v>-100</v>
      </c>
      <c r="Z100" s="4">
        <f>IF(Graphs!$B$8="Yes",E100,$Y$127)</f>
        <v>-100</v>
      </c>
      <c r="AA100" s="4">
        <f>IF(Graphs!$B$8="Yes",G100,$Y$127)</f>
        <v>-100</v>
      </c>
      <c r="AB100" s="4">
        <f>IF(Graphs!$B$8="Yes",H100,$Y$127)</f>
        <v>-100</v>
      </c>
      <c r="AC100" s="4">
        <f>IF(Graphs!$B$8="Yes",I100,$Y$127)</f>
        <v>-100</v>
      </c>
      <c r="AD100" s="4">
        <f>IF(Graphs!$B$8="Yes",J100,$Y$127)</f>
        <v>-100</v>
      </c>
      <c r="AE100" s="4">
        <f>IF(Graphs!$B$8="Yes",K100,$Y$127)</f>
        <v>-100</v>
      </c>
      <c r="AF100" s="4">
        <f>IF(Graphs!$B$8="Yes",L100,$Y$127)</f>
        <v>-100</v>
      </c>
      <c r="AG100" s="4">
        <f>IF(Graphs!$B$8="Yes",M100,$Y$127)</f>
        <v>-100</v>
      </c>
      <c r="AH100" s="27">
        <f>IF(Graphs!$B$8="Yes",N100,$Y$127)</f>
        <v>-100</v>
      </c>
    </row>
    <row r="101" spans="1:34" x14ac:dyDescent="0.25">
      <c r="A101" s="3">
        <v>15</v>
      </c>
      <c r="B101" s="3" t="s">
        <v>42</v>
      </c>
      <c r="C101" s="3">
        <v>659.25511382573984</v>
      </c>
      <c r="D101" s="4">
        <v>1</v>
      </c>
      <c r="E101" s="3">
        <f t="shared" si="8"/>
        <v>1320</v>
      </c>
      <c r="F101" s="4">
        <f>((2*C101*'String Lengths'!E21)^2)*E101/1000000000000</f>
        <v>169.77695698084239</v>
      </c>
      <c r="G101" s="4">
        <f t="shared" si="10"/>
        <v>133.3425101999612</v>
      </c>
      <c r="H101" s="4">
        <f>PI()*(D101^2)*E101*'String Lengths'!E21*C101/2000000000</f>
        <v>0.37180585074779093</v>
      </c>
      <c r="I101" s="4">
        <f>4*G101/'String Lengths'!E21</f>
        <v>1.9609192676464882</v>
      </c>
      <c r="J101" s="4">
        <f>_xlfn.XLOOKUP(D101,'Gut E est'!$A$5:$A$74,'Gut E est'!$B$5:$B$74,,-1,1)</f>
        <v>5.9273589894770797</v>
      </c>
      <c r="K101" s="4">
        <f>J101*(PI()^3)*(D101^4)/(0.128*G101*('String Lengths'!E21^2)*$K$127)</f>
        <v>1.1241627820244506</v>
      </c>
      <c r="L101" s="4">
        <f>0.008*('String Lengths'!E21^2)*C101*SQRT('Misc ref'!$B$9*E101/(J101*1000000000))/(PI()*D101)</f>
        <v>13.446553349679885</v>
      </c>
      <c r="M101" s="4">
        <f t="shared" si="9"/>
        <v>8.8647090591070956</v>
      </c>
      <c r="N101" s="4">
        <f t="shared" si="11"/>
        <v>4.6553368641326536</v>
      </c>
      <c r="Y101" s="26">
        <f>IF(Graphs!$B$8="Yes",D101,$Y$127)</f>
        <v>-100</v>
      </c>
      <c r="Z101" s="4">
        <f>IF(Graphs!$B$8="Yes",E101,$Y$127)</f>
        <v>-100</v>
      </c>
      <c r="AA101" s="4">
        <f>IF(Graphs!$B$8="Yes",G101,$Y$127)</f>
        <v>-100</v>
      </c>
      <c r="AB101" s="4">
        <f>IF(Graphs!$B$8="Yes",H101,$Y$127)</f>
        <v>-100</v>
      </c>
      <c r="AC101" s="4">
        <f>IF(Graphs!$B$8="Yes",I101,$Y$127)</f>
        <v>-100</v>
      </c>
      <c r="AD101" s="4">
        <f>IF(Graphs!$B$8="Yes",J101,$Y$127)</f>
        <v>-100</v>
      </c>
      <c r="AE101" s="4">
        <f>IF(Graphs!$B$8="Yes",K101,$Y$127)</f>
        <v>-100</v>
      </c>
      <c r="AF101" s="4">
        <f>IF(Graphs!$B$8="Yes",L101,$Y$127)</f>
        <v>-100</v>
      </c>
      <c r="AG101" s="4">
        <f>IF(Graphs!$B$8="Yes",M101,$Y$127)</f>
        <v>-100</v>
      </c>
      <c r="AH101" s="27">
        <f>IF(Graphs!$B$8="Yes",N101,$Y$127)</f>
        <v>-100</v>
      </c>
    </row>
    <row r="102" spans="1:34" x14ac:dyDescent="0.25">
      <c r="A102" s="3">
        <v>16</v>
      </c>
      <c r="B102" s="3" t="s">
        <v>43</v>
      </c>
      <c r="C102" s="3">
        <v>587.32953583481515</v>
      </c>
      <c r="D102" s="4">
        <v>1.05</v>
      </c>
      <c r="E102" s="3">
        <f t="shared" si="8"/>
        <v>1320</v>
      </c>
      <c r="F102" s="4">
        <f>((2*C102*'String Lengths'!E22)^2)*E102/1000000000000</f>
        <v>156.36258655546604</v>
      </c>
      <c r="G102" s="4">
        <f t="shared" si="10"/>
        <v>135.39459435597317</v>
      </c>
      <c r="H102" s="4">
        <f>PI()*(D102^2)*E102*'String Lengths'!E22*C102/2000000000</f>
        <v>0.39338868851691389</v>
      </c>
      <c r="I102" s="4">
        <f>4*G102/'String Lengths'!E22</f>
        <v>1.8483903666344459</v>
      </c>
      <c r="J102" s="4">
        <f>_xlfn.XLOOKUP(D102,'Gut E est'!$A$5:$A$74,'Gut E est'!$B$5:$B$74,,-1,1)</f>
        <v>5.8428503709650883</v>
      </c>
      <c r="K102" s="4">
        <f>J102*(PI()^3)*(D102^4)/(0.128*G102*('String Lengths'!E22^2)*$K$127)</f>
        <v>1.1431936442600121</v>
      </c>
      <c r="L102" s="4">
        <f>0.008*('String Lengths'!E22^2)*C102*SQRT('Misc ref'!$B$9*E102/(J102*1000000000))/(PI()*D102)</f>
        <v>13.334160554352707</v>
      </c>
      <c r="M102" s="4">
        <f t="shared" si="9"/>
        <v>7.831546329134877</v>
      </c>
      <c r="N102" s="4">
        <f t="shared" si="11"/>
        <v>5.0593327552741929</v>
      </c>
      <c r="Y102" s="26">
        <f>IF(Graphs!$B$8="Yes",D102,$Y$127)</f>
        <v>-100</v>
      </c>
      <c r="Z102" s="4">
        <f>IF(Graphs!$B$8="Yes",E102,$Y$127)</f>
        <v>-100</v>
      </c>
      <c r="AA102" s="4">
        <f>IF(Graphs!$B$8="Yes",G102,$Y$127)</f>
        <v>-100</v>
      </c>
      <c r="AB102" s="4">
        <f>IF(Graphs!$B$8="Yes",H102,$Y$127)</f>
        <v>-100</v>
      </c>
      <c r="AC102" s="4">
        <f>IF(Graphs!$B$8="Yes",I102,$Y$127)</f>
        <v>-100</v>
      </c>
      <c r="AD102" s="4">
        <f>IF(Graphs!$B$8="Yes",J102,$Y$127)</f>
        <v>-100</v>
      </c>
      <c r="AE102" s="4">
        <f>IF(Graphs!$B$8="Yes",K102,$Y$127)</f>
        <v>-100</v>
      </c>
      <c r="AF102" s="4">
        <f>IF(Graphs!$B$8="Yes",L102,$Y$127)</f>
        <v>-100</v>
      </c>
      <c r="AG102" s="4">
        <f>IF(Graphs!$B$8="Yes",M102,$Y$127)</f>
        <v>-100</v>
      </c>
      <c r="AH102" s="27">
        <f>IF(Graphs!$B$8="Yes",N102,$Y$127)</f>
        <v>-100</v>
      </c>
    </row>
    <row r="103" spans="1:34" x14ac:dyDescent="0.25">
      <c r="A103" s="3">
        <v>17</v>
      </c>
      <c r="B103" s="3" t="s">
        <v>44</v>
      </c>
      <c r="C103" s="3">
        <v>523.25113060119736</v>
      </c>
      <c r="D103" s="4">
        <v>1.1000000000000001</v>
      </c>
      <c r="E103" s="3">
        <f t="shared" si="8"/>
        <v>1320</v>
      </c>
      <c r="F103" s="4">
        <f>((2*C103*'String Lengths'!E23)^2)*E103/1000000000000</f>
        <v>143.44168589332384</v>
      </c>
      <c r="G103" s="4">
        <f t="shared" si="10"/>
        <v>136.31719235285277</v>
      </c>
      <c r="H103" s="4">
        <f>PI()*(D103^2)*E103*'String Lengths'!E23*C103/2000000000</f>
        <v>0.41352322650420259</v>
      </c>
      <c r="I103" s="4">
        <f>4*G103/'String Lengths'!E23</f>
        <v>1.731011966385432</v>
      </c>
      <c r="J103" s="4">
        <f>_xlfn.XLOOKUP(D103,'Gut E est'!$A$5:$A$74,'Gut E est'!$B$5:$B$74,,-1,1)</f>
        <v>5.9606258830169283</v>
      </c>
      <c r="K103" s="4">
        <f>J103*(PI()^3)*(D103^4)/(0.128*G103*('String Lengths'!E23^2)*$K$127)</f>
        <v>1.2071612087814825</v>
      </c>
      <c r="L103" s="4">
        <f>0.008*('String Lengths'!E23^2)*C103*SQRT('Misc ref'!$B$9*E103/(J103*1000000000))/(PI()*D103)</f>
        <v>12.976062990353039</v>
      </c>
      <c r="M103" s="4">
        <f t="shared" si="9"/>
        <v>6.7897396304545818</v>
      </c>
      <c r="N103" s="4">
        <f t="shared" si="11"/>
        <v>5.6645721916771548</v>
      </c>
      <c r="Y103" s="26">
        <f>IF(Graphs!$B$8="Yes",D103,$Y$127)</f>
        <v>-100</v>
      </c>
      <c r="Z103" s="4">
        <f>IF(Graphs!$B$8="Yes",E103,$Y$127)</f>
        <v>-100</v>
      </c>
      <c r="AA103" s="4">
        <f>IF(Graphs!$B$8="Yes",G103,$Y$127)</f>
        <v>-100</v>
      </c>
      <c r="AB103" s="4">
        <f>IF(Graphs!$B$8="Yes",H103,$Y$127)</f>
        <v>-100</v>
      </c>
      <c r="AC103" s="4">
        <f>IF(Graphs!$B$8="Yes",I103,$Y$127)</f>
        <v>-100</v>
      </c>
      <c r="AD103" s="4">
        <f>IF(Graphs!$B$8="Yes",J103,$Y$127)</f>
        <v>-100</v>
      </c>
      <c r="AE103" s="4">
        <f>IF(Graphs!$B$8="Yes",K103,$Y$127)</f>
        <v>-100</v>
      </c>
      <c r="AF103" s="4">
        <f>IF(Graphs!$B$8="Yes",L103,$Y$127)</f>
        <v>-100</v>
      </c>
      <c r="AG103" s="4">
        <f>IF(Graphs!$B$8="Yes",M103,$Y$127)</f>
        <v>-100</v>
      </c>
      <c r="AH103" s="27">
        <f>IF(Graphs!$B$8="Yes",N103,$Y$127)</f>
        <v>-100</v>
      </c>
    </row>
    <row r="104" spans="1:34" x14ac:dyDescent="0.25">
      <c r="A104" s="3">
        <v>18</v>
      </c>
      <c r="B104" s="3" t="s">
        <v>45</v>
      </c>
      <c r="C104" s="3">
        <v>493.88330125612413</v>
      </c>
      <c r="D104" s="4">
        <v>1.1499999999999999</v>
      </c>
      <c r="E104" s="3">
        <f t="shared" si="8"/>
        <v>1320</v>
      </c>
      <c r="F104" s="4">
        <f>((2*C104*'String Lengths'!E24)^2)*E104/1000000000000</f>
        <v>149.7584599690453</v>
      </c>
      <c r="G104" s="4">
        <f t="shared" si="10"/>
        <v>155.55247567358464</v>
      </c>
      <c r="H104" s="4">
        <f>PI()*(D104^2)*E104*'String Lengths'!E24*C104/2000000000</f>
        <v>0.46181518655409509</v>
      </c>
      <c r="I104" s="4">
        <f>4*G104/'String Lengths'!E24</f>
        <v>1.8246624712443946</v>
      </c>
      <c r="J104" s="4">
        <f>_xlfn.XLOOKUP(D104,'Gut E est'!$A$5:$A$74,'Gut E est'!$B$5:$B$74,,-1,1)</f>
        <v>5.8860415931918402</v>
      </c>
      <c r="K104" s="4">
        <f>J104*(PI()^3)*(D104^4)/(0.128*G104*('String Lengths'!E24^2)*$K$127)</f>
        <v>1.0648867153045367</v>
      </c>
      <c r="L104" s="4">
        <f>0.008*('String Lengths'!E24^2)*C104*SQRT('Misc ref'!$B$9*E104/(J104*1000000000))/(PI()*D104)</f>
        <v>13.815731237359762</v>
      </c>
      <c r="M104" s="4">
        <f t="shared" si="9"/>
        <v>6.823358952774595</v>
      </c>
      <c r="N104" s="4">
        <f t="shared" si="11"/>
        <v>6.1137670748479316</v>
      </c>
      <c r="Y104" s="26">
        <f>IF(Graphs!$B$8="Yes",D104,$Y$127)</f>
        <v>-100</v>
      </c>
      <c r="Z104" s="4">
        <f>IF(Graphs!$B$8="Yes",E104,$Y$127)</f>
        <v>-100</v>
      </c>
      <c r="AA104" s="4">
        <f>IF(Graphs!$B$8="Yes",G104,$Y$127)</f>
        <v>-100</v>
      </c>
      <c r="AB104" s="4">
        <f>IF(Graphs!$B$8="Yes",H104,$Y$127)</f>
        <v>-100</v>
      </c>
      <c r="AC104" s="4">
        <f>IF(Graphs!$B$8="Yes",I104,$Y$127)</f>
        <v>-100</v>
      </c>
      <c r="AD104" s="4">
        <f>IF(Graphs!$B$8="Yes",J104,$Y$127)</f>
        <v>-100</v>
      </c>
      <c r="AE104" s="4">
        <f>IF(Graphs!$B$8="Yes",K104,$Y$127)</f>
        <v>-100</v>
      </c>
      <c r="AF104" s="4">
        <f>IF(Graphs!$B$8="Yes",L104,$Y$127)</f>
        <v>-100</v>
      </c>
      <c r="AG104" s="4">
        <f>IF(Graphs!$B$8="Yes",M104,$Y$127)</f>
        <v>-100</v>
      </c>
      <c r="AH104" s="27">
        <f>IF(Graphs!$B$8="Yes",N104,$Y$127)</f>
        <v>-100</v>
      </c>
    </row>
    <row r="105" spans="1:34" x14ac:dyDescent="0.25">
      <c r="A105" s="3">
        <v>19</v>
      </c>
      <c r="B105" s="3" t="s">
        <v>46</v>
      </c>
      <c r="C105" s="3">
        <v>440</v>
      </c>
      <c r="D105" s="4">
        <v>1.2</v>
      </c>
      <c r="E105" s="3">
        <f t="shared" si="8"/>
        <v>1320</v>
      </c>
      <c r="F105" s="4">
        <f>((2*C105*'String Lengths'!E25)^2)*E105/1000000000000</f>
        <v>137.68017331199999</v>
      </c>
      <c r="G105" s="4">
        <f t="shared" si="10"/>
        <v>155.71260756790153</v>
      </c>
      <c r="H105" s="4">
        <f>PI()*(D105^2)*E105*'String Lengths'!E25*C105/2000000000</f>
        <v>0.48214208436927652</v>
      </c>
      <c r="I105" s="4">
        <f>4*G105/'String Lengths'!E25</f>
        <v>1.6971401369798531</v>
      </c>
      <c r="J105" s="4">
        <f>_xlfn.XLOOKUP(D105,'Gut E est'!$A$5:$A$74,'Gut E est'!$B$5:$B$74,,-1,1)</f>
        <v>5.8101095372821252</v>
      </c>
      <c r="K105" s="4">
        <f>J105*(PI()^3)*(D105^4)/(0.128*G105*('String Lengths'!E25^2)*$K$127)</f>
        <v>1.0748003640880202</v>
      </c>
      <c r="L105" s="4">
        <f>0.008*('String Lengths'!E25^2)*C105*SQRT('Misc ref'!$B$9*E105/(J105*1000000000))/(PI()*D105)</f>
        <v>13.751867469446346</v>
      </c>
      <c r="M105" s="4">
        <f t="shared" si="9"/>
        <v>6.0508216865563922</v>
      </c>
      <c r="N105" s="4">
        <f t="shared" si="11"/>
        <v>6.5710790779959058</v>
      </c>
      <c r="Y105" s="26">
        <f>IF(Graphs!$B$8="Yes",D105,$Y$127)</f>
        <v>-100</v>
      </c>
      <c r="Z105" s="4">
        <f>IF(Graphs!$B$8="Yes",E105,$Y$127)</f>
        <v>-100</v>
      </c>
      <c r="AA105" s="4">
        <f>IF(Graphs!$B$8="Yes",G105,$Y$127)</f>
        <v>-100</v>
      </c>
      <c r="AB105" s="4">
        <f>IF(Graphs!$B$8="Yes",H105,$Y$127)</f>
        <v>-100</v>
      </c>
      <c r="AC105" s="4">
        <f>IF(Graphs!$B$8="Yes",I105,$Y$127)</f>
        <v>-100</v>
      </c>
      <c r="AD105" s="4">
        <f>IF(Graphs!$B$8="Yes",J105,$Y$127)</f>
        <v>-100</v>
      </c>
      <c r="AE105" s="4">
        <f>IF(Graphs!$B$8="Yes",K105,$Y$127)</f>
        <v>-100</v>
      </c>
      <c r="AF105" s="4">
        <f>IF(Graphs!$B$8="Yes",L105,$Y$127)</f>
        <v>-100</v>
      </c>
      <c r="AG105" s="4">
        <f>IF(Graphs!$B$8="Yes",M105,$Y$127)</f>
        <v>-100</v>
      </c>
      <c r="AH105" s="27">
        <f>IF(Graphs!$B$8="Yes",N105,$Y$127)</f>
        <v>-100</v>
      </c>
    </row>
    <row r="106" spans="1:34" x14ac:dyDescent="0.25">
      <c r="A106" s="3">
        <v>20</v>
      </c>
      <c r="B106" s="3" t="s">
        <v>47</v>
      </c>
      <c r="C106" s="3">
        <v>391.99543598174927</v>
      </c>
      <c r="D106" s="4">
        <v>1.25</v>
      </c>
      <c r="E106" s="3">
        <f t="shared" si="8"/>
        <v>1320</v>
      </c>
      <c r="F106" s="4">
        <f>((2*C106*'String Lengths'!E26)^2)*E106/1000000000000</f>
        <v>127.87244144023371</v>
      </c>
      <c r="G106" s="4">
        <f t="shared" si="10"/>
        <v>156.92309477548019</v>
      </c>
      <c r="H106" s="4">
        <f>PI()*(D106^2)*E106*'String Lengths'!E26*C106/2000000000</f>
        <v>0.50417969541084096</v>
      </c>
      <c r="I106" s="4">
        <f>4*G106/'String Lengths'!E26</f>
        <v>1.581089116125745</v>
      </c>
      <c r="J106" s="4">
        <f>_xlfn.XLOOKUP(D106,'Gut E est'!$A$5:$A$74,'Gut E est'!$B$5:$B$74,,-1,1)</f>
        <v>5.7967197240282875</v>
      </c>
      <c r="K106" s="4">
        <f>J106*(PI()^3)*(D106^4)/(0.128*G106*('String Lengths'!E26^2)*$K$127)</f>
        <v>1.0706040522789437</v>
      </c>
      <c r="L106" s="4">
        <f>0.008*('String Lengths'!E26^2)*C106*SQRT('Misc ref'!$B$9*E106/(J106*1000000000))/(PI()*D106)</f>
        <v>13.778791843331163</v>
      </c>
      <c r="M106" s="4">
        <f t="shared" si="9"/>
        <v>5.4012235159283701</v>
      </c>
      <c r="N106" s="4">
        <f t="shared" si="11"/>
        <v>7.1136453515337195</v>
      </c>
      <c r="Y106" s="26">
        <f>IF(Graphs!$B$8="Yes",D106,$Y$127)</f>
        <v>-100</v>
      </c>
      <c r="Z106" s="4">
        <f>IF(Graphs!$B$8="Yes",E106,$Y$127)</f>
        <v>-100</v>
      </c>
      <c r="AA106" s="4">
        <f>IF(Graphs!$B$8="Yes",G106,$Y$127)</f>
        <v>-100</v>
      </c>
      <c r="AB106" s="4">
        <f>IF(Graphs!$B$8="Yes",H106,$Y$127)</f>
        <v>-100</v>
      </c>
      <c r="AC106" s="4">
        <f>IF(Graphs!$B$8="Yes",I106,$Y$127)</f>
        <v>-100</v>
      </c>
      <c r="AD106" s="4">
        <f>IF(Graphs!$B$8="Yes",J106,$Y$127)</f>
        <v>-100</v>
      </c>
      <c r="AE106" s="4">
        <f>IF(Graphs!$B$8="Yes",K106,$Y$127)</f>
        <v>-100</v>
      </c>
      <c r="AF106" s="4">
        <f>IF(Graphs!$B$8="Yes",L106,$Y$127)</f>
        <v>-100</v>
      </c>
      <c r="AG106" s="4">
        <f>IF(Graphs!$B$8="Yes",M106,$Y$127)</f>
        <v>-100</v>
      </c>
      <c r="AH106" s="27">
        <f>IF(Graphs!$B$8="Yes",N106,$Y$127)</f>
        <v>-100</v>
      </c>
    </row>
    <row r="107" spans="1:34" x14ac:dyDescent="0.25">
      <c r="A107" s="2">
        <v>21</v>
      </c>
      <c r="B107" s="2" t="s">
        <v>48</v>
      </c>
      <c r="C107" s="2">
        <v>349.22823143300388</v>
      </c>
      <c r="D107" s="15">
        <v>1.3</v>
      </c>
      <c r="E107" s="2">
        <f t="shared" si="8"/>
        <v>1320</v>
      </c>
      <c r="F107" s="15">
        <f>((2*C107*'String Lengths'!E27)^2)*E107/1000000000000</f>
        <v>120.73367059595435</v>
      </c>
      <c r="G107" s="15">
        <f t="shared" si="10"/>
        <v>160.25256531723866</v>
      </c>
      <c r="H107" s="15">
        <f>PI()*(D107^2)*E107*'String Lengths'!E27*C107/2000000000</f>
        <v>0.52988027593649489</v>
      </c>
      <c r="I107" s="15">
        <f>4*G107/'String Lengths'!E27</f>
        <v>1.4803932130922741</v>
      </c>
      <c r="J107" s="15">
        <f>_xlfn.XLOOKUP(D107,'Gut E est'!$A$5:$A$74,'Gut E est'!$B$5:$B$74,,-1,1)</f>
        <v>5.7219954899818388</v>
      </c>
      <c r="K107" s="15">
        <f>J107*(PI()^3)*(D107^4)/(0.128*G107*('String Lengths'!E27^2)*$K$127)</f>
        <v>1.0176877426317357</v>
      </c>
      <c r="L107" s="15">
        <f>0.008*('String Lengths'!E27^2)*C107*SQRT('Misc ref'!$B$9*E107/(J107*1000000000))/(PI()*D107)</f>
        <v>14.132477699761846</v>
      </c>
      <c r="M107" s="15">
        <f t="shared" si="9"/>
        <v>4.9354601928541957</v>
      </c>
      <c r="N107" s="15">
        <f t="shared" si="11"/>
        <v>7.5949356254723694</v>
      </c>
      <c r="Y107" s="26">
        <f>IF(Graphs!$B$8="Yes",D107,$Y$127)</f>
        <v>-100</v>
      </c>
      <c r="Z107" s="4">
        <f>IF(Graphs!$B$8="Yes",E107,$Y$127)</f>
        <v>-100</v>
      </c>
      <c r="AA107" s="4">
        <f>IF(Graphs!$B$8="Yes",G107,$Y$127)</f>
        <v>-100</v>
      </c>
      <c r="AB107" s="4">
        <f>IF(Graphs!$B$8="Yes",H107,$Y$127)</f>
        <v>-100</v>
      </c>
      <c r="AC107" s="4">
        <f>IF(Graphs!$B$8="Yes",I107,$Y$127)</f>
        <v>-100</v>
      </c>
      <c r="AD107" s="4">
        <f>IF(Graphs!$B$8="Yes",J107,$Y$127)</f>
        <v>-100</v>
      </c>
      <c r="AE107" s="4">
        <f>IF(Graphs!$B$8="Yes",K107,$Y$127)</f>
        <v>-100</v>
      </c>
      <c r="AF107" s="4">
        <f>IF(Graphs!$B$8="Yes",L107,$Y$127)</f>
        <v>-100</v>
      </c>
      <c r="AG107" s="4">
        <f>IF(Graphs!$B$8="Yes",M107,$Y$127)</f>
        <v>-100</v>
      </c>
      <c r="AH107" s="27">
        <f>IF(Graphs!$B$8="Yes",N107,$Y$127)</f>
        <v>-100</v>
      </c>
    </row>
    <row r="108" spans="1:34" x14ac:dyDescent="0.25">
      <c r="A108" s="3">
        <v>22</v>
      </c>
      <c r="B108" s="3" t="s">
        <v>49</v>
      </c>
      <c r="C108" s="3">
        <v>329.62755691286992</v>
      </c>
      <c r="D108" s="4">
        <v>1.35</v>
      </c>
      <c r="E108" s="3">
        <f t="shared" si="8"/>
        <v>1320</v>
      </c>
      <c r="F108" s="4">
        <f>((2*C108*'String Lengths'!E28)^2)*E108/1000000000000</f>
        <v>125.65293923609163</v>
      </c>
      <c r="G108" s="4">
        <f t="shared" si="10"/>
        <v>179.85812858601571</v>
      </c>
      <c r="H108" s="4">
        <f>PI()*(D108^2)*E108*'String Lengths'!E28*C108/2000000000</f>
        <v>0.58294919904101727</v>
      </c>
      <c r="I108" s="4">
        <f>4*G108/'String Lengths'!E28</f>
        <v>1.5372489622736385</v>
      </c>
      <c r="J108" s="4">
        <f>_xlfn.XLOOKUP(D108,'Gut E est'!$A$5:$A$74,'Gut E est'!$B$5:$B$74,,-1,1)</f>
        <v>5.64635522179017</v>
      </c>
      <c r="K108" s="4">
        <f>J108*(PI()^3)*(D108^4)/(0.128*G108*('String Lengths'!E28^2)*$K$127)</f>
        <v>0.89075014334012315</v>
      </c>
      <c r="L108" s="4">
        <f>0.008*('String Lengths'!E28^2)*C108*SQRT('Misc ref'!$B$9*E108/(J108*1000000000))/(PI()*D108)</f>
        <v>15.105935648592183</v>
      </c>
      <c r="M108" s="4">
        <f t="shared" si="9"/>
        <v>4.9793326627284706</v>
      </c>
      <c r="N108" s="4">
        <f t="shared" si="11"/>
        <v>8.0821259709248459</v>
      </c>
      <c r="Y108" s="26">
        <f>IF(Graphs!$B$8="Yes",D108,$Y$127)</f>
        <v>-100</v>
      </c>
      <c r="Z108" s="4">
        <f>IF(Graphs!$B$8="Yes",E108,$Y$127)</f>
        <v>-100</v>
      </c>
      <c r="AA108" s="4">
        <f>IF(Graphs!$B$8="Yes",G108,$Y$127)</f>
        <v>-100</v>
      </c>
      <c r="AB108" s="4">
        <f>IF(Graphs!$B$8="Yes",H108,$Y$127)</f>
        <v>-100</v>
      </c>
      <c r="AC108" s="4">
        <f>IF(Graphs!$B$8="Yes",I108,$Y$127)</f>
        <v>-100</v>
      </c>
      <c r="AD108" s="4">
        <f>IF(Graphs!$B$8="Yes",J108,$Y$127)</f>
        <v>-100</v>
      </c>
      <c r="AE108" s="4">
        <f>IF(Graphs!$B$8="Yes",K108,$Y$127)</f>
        <v>-100</v>
      </c>
      <c r="AF108" s="4">
        <f>IF(Graphs!$B$8="Yes",L108,$Y$127)</f>
        <v>-100</v>
      </c>
      <c r="AG108" s="4">
        <f>IF(Graphs!$B$8="Yes",M108,$Y$127)</f>
        <v>-100</v>
      </c>
      <c r="AH108" s="27">
        <f>IF(Graphs!$B$8="Yes",N108,$Y$127)</f>
        <v>-100</v>
      </c>
    </row>
    <row r="109" spans="1:34" x14ac:dyDescent="0.25">
      <c r="A109" s="3">
        <v>23</v>
      </c>
      <c r="B109" s="3" t="s">
        <v>50</v>
      </c>
      <c r="C109" s="3">
        <v>293.66476791740757</v>
      </c>
      <c r="D109" s="4">
        <v>1.44</v>
      </c>
      <c r="E109" s="3">
        <f t="shared" si="8"/>
        <v>1320</v>
      </c>
      <c r="F109" s="4">
        <f>((2*C109*'String Lengths'!E29)^2)*E109/1000000000000</f>
        <v>117.04517965117819</v>
      </c>
      <c r="G109" s="4">
        <f t="shared" si="10"/>
        <v>190.61997055327586</v>
      </c>
      <c r="H109" s="4">
        <f>PI()*(D109^2)*E109*'String Lengths'!E29*C109/2000000000</f>
        <v>0.64014535340236201</v>
      </c>
      <c r="I109" s="4">
        <f>4*G109/'String Lengths'!E29</f>
        <v>1.503905093122492</v>
      </c>
      <c r="J109" s="4">
        <f>_xlfn.XLOOKUP(D109,'Gut E est'!$A$5:$A$74,'Gut E est'!$B$5:$B$74,,-1,1)</f>
        <v>5.5083616582621922</v>
      </c>
      <c r="K109" s="4">
        <f>J109*(PI()^3)*(D109^4)/(0.128*G109*('String Lengths'!E29^2)*$K$127)</f>
        <v>0.90440406303987297</v>
      </c>
      <c r="L109" s="4">
        <f>0.008*('String Lengths'!E29^2)*C109*SQRT('Misc ref'!$B$9*E109/(J109*1000000000))/(PI()*D109)</f>
        <v>14.991473739663757</v>
      </c>
      <c r="M109" s="4">
        <f t="shared" si="9"/>
        <v>4.402467656498267</v>
      </c>
      <c r="N109" s="4">
        <f t="shared" si="11"/>
        <v>8.9709267842040816</v>
      </c>
      <c r="Y109" s="26">
        <f>IF(Graphs!$B$8="Yes",D109,$Y$127)</f>
        <v>-100</v>
      </c>
      <c r="Z109" s="4">
        <f>IF(Graphs!$B$8="Yes",E109,$Y$127)</f>
        <v>-100</v>
      </c>
      <c r="AA109" s="4">
        <f>IF(Graphs!$B$8="Yes",G109,$Y$127)</f>
        <v>-100</v>
      </c>
      <c r="AB109" s="4">
        <f>IF(Graphs!$B$8="Yes",H109,$Y$127)</f>
        <v>-100</v>
      </c>
      <c r="AC109" s="4">
        <f>IF(Graphs!$B$8="Yes",I109,$Y$127)</f>
        <v>-100</v>
      </c>
      <c r="AD109" s="4">
        <f>IF(Graphs!$B$8="Yes",J109,$Y$127)</f>
        <v>-100</v>
      </c>
      <c r="AE109" s="4">
        <f>IF(Graphs!$B$8="Yes",K109,$Y$127)</f>
        <v>-100</v>
      </c>
      <c r="AF109" s="4">
        <f>IF(Graphs!$B$8="Yes",L109,$Y$127)</f>
        <v>-100</v>
      </c>
      <c r="AG109" s="4">
        <f>IF(Graphs!$B$8="Yes",M109,$Y$127)</f>
        <v>-100</v>
      </c>
      <c r="AH109" s="27">
        <f>IF(Graphs!$B$8="Yes",N109,$Y$127)</f>
        <v>-100</v>
      </c>
    </row>
    <row r="110" spans="1:34" x14ac:dyDescent="0.25">
      <c r="A110" s="3">
        <v>24</v>
      </c>
      <c r="B110" s="3" t="s">
        <v>51</v>
      </c>
      <c r="C110" s="3">
        <v>261.62556530059868</v>
      </c>
      <c r="D110" s="4">
        <v>1.52</v>
      </c>
      <c r="E110" s="3">
        <f t="shared" si="8"/>
        <v>1320</v>
      </c>
      <c r="F110" s="4">
        <f>((2*C110*'String Lengths'!E30)^2)*E110/1000000000000</f>
        <v>109.32504404819969</v>
      </c>
      <c r="G110" s="4">
        <f t="shared" si="10"/>
        <v>198.37946662385423</v>
      </c>
      <c r="H110" s="4">
        <f>PI()*(D110^2)*E110*'String Lengths'!E30*C110/2000000000</f>
        <v>0.6893247204295162</v>
      </c>
      <c r="I110" s="4">
        <f>4*G110/'String Lengths'!E30</f>
        <v>1.4427597572643944</v>
      </c>
      <c r="J110" s="4">
        <f>_xlfn.XLOOKUP(D110,'Gut E est'!$A$5:$A$74,'Gut E est'!$B$5:$B$74,,-1,1)</f>
        <v>5.3842672460747876</v>
      </c>
      <c r="K110" s="4">
        <f>J110*(PI()^3)*(D110^4)/(0.128*G110*('String Lengths'!E30^2)*$K$127)</f>
        <v>0.89609337978073889</v>
      </c>
      <c r="L110" s="4">
        <f>0.008*('String Lengths'!E30^2)*C110*SQRT('Misc ref'!$B$9*E110/(J110*1000000000))/(PI()*D110)</f>
        <v>15.060831383122828</v>
      </c>
      <c r="M110" s="4">
        <f t="shared" si="9"/>
        <v>3.9402985245065074</v>
      </c>
      <c r="N110" s="4">
        <f t="shared" si="11"/>
        <v>9.7702047480144074</v>
      </c>
      <c r="Y110" s="26">
        <f>IF(Graphs!$B$8="Yes",D110,$Y$127)</f>
        <v>-100</v>
      </c>
      <c r="Z110" s="4">
        <f>IF(Graphs!$B$8="Yes",E110,$Y$127)</f>
        <v>-100</v>
      </c>
      <c r="AA110" s="4">
        <f>IF(Graphs!$B$8="Yes",G110,$Y$127)</f>
        <v>-100</v>
      </c>
      <c r="AB110" s="4">
        <f>IF(Graphs!$B$8="Yes",H110,$Y$127)</f>
        <v>-100</v>
      </c>
      <c r="AC110" s="4">
        <f>IF(Graphs!$B$8="Yes",I110,$Y$127)</f>
        <v>-100</v>
      </c>
      <c r="AD110" s="4">
        <f>IF(Graphs!$B$8="Yes",J110,$Y$127)</f>
        <v>-100</v>
      </c>
      <c r="AE110" s="4">
        <f>IF(Graphs!$B$8="Yes",K110,$Y$127)</f>
        <v>-100</v>
      </c>
      <c r="AF110" s="4">
        <f>IF(Graphs!$B$8="Yes",L110,$Y$127)</f>
        <v>-100</v>
      </c>
      <c r="AG110" s="4">
        <f>IF(Graphs!$B$8="Yes",M110,$Y$127)</f>
        <v>-100</v>
      </c>
      <c r="AH110" s="27">
        <f>IF(Graphs!$B$8="Yes",N110,$Y$127)</f>
        <v>-100</v>
      </c>
    </row>
    <row r="111" spans="1:34" x14ac:dyDescent="0.25">
      <c r="A111" s="3">
        <v>25</v>
      </c>
      <c r="B111" s="3" t="s">
        <v>52</v>
      </c>
      <c r="C111" s="3">
        <v>246.94165062806206</v>
      </c>
      <c r="D111" s="4">
        <v>1.65</v>
      </c>
      <c r="E111" s="3">
        <f t="shared" si="8"/>
        <v>1320</v>
      </c>
      <c r="F111" s="4">
        <f>((2*C111*'String Lengths'!E31)^2)*E111/1000000000000</f>
        <v>115.52507545375734</v>
      </c>
      <c r="G111" s="4">
        <f t="shared" si="10"/>
        <v>247.02108823385208</v>
      </c>
      <c r="H111" s="4">
        <f>PI()*(D111^2)*E111*'String Lengths'!E31*C111/2000000000</f>
        <v>0.83499305987695571</v>
      </c>
      <c r="I111" s="4">
        <f>4*G111/'String Lengths'!E31</f>
        <v>1.6495565157519338</v>
      </c>
      <c r="J111" s="4">
        <f>_xlfn.XLOOKUP(D111,'Gut E est'!$A$5:$A$74,'Gut E est'!$B$5:$B$74,,-1,1)</f>
        <v>5.7567701721263669</v>
      </c>
      <c r="K111" s="4">
        <f>J111*(PI()^3)*(D111^4)/(0.128*G111*('String Lengths'!E31^2)*$K$127)</f>
        <v>0.90074404453312451</v>
      </c>
      <c r="L111" s="4">
        <f>0.008*('String Lengths'!E31^2)*C111*SQRT('Misc ref'!$B$9*E111/(J111*1000000000))/(PI()*D111)</f>
        <v>15.021900500106026</v>
      </c>
      <c r="M111" s="4">
        <f t="shared" si="9"/>
        <v>3.7095329050666934</v>
      </c>
      <c r="N111" s="4">
        <f t="shared" si="11"/>
        <v>12.309393670987513</v>
      </c>
      <c r="Y111" s="26">
        <f>IF(Graphs!$B$8="Yes",D111,$Y$127)</f>
        <v>-100</v>
      </c>
      <c r="Z111" s="4">
        <f>IF(Graphs!$B$8="Yes",E111,$Y$127)</f>
        <v>-100</v>
      </c>
      <c r="AA111" s="4">
        <f>IF(Graphs!$B$8="Yes",G111,$Y$127)</f>
        <v>-100</v>
      </c>
      <c r="AB111" s="4">
        <f>IF(Graphs!$B$8="Yes",H111,$Y$127)</f>
        <v>-100</v>
      </c>
      <c r="AC111" s="4">
        <f>IF(Graphs!$B$8="Yes",I111,$Y$127)</f>
        <v>-100</v>
      </c>
      <c r="AD111" s="4">
        <f>IF(Graphs!$B$8="Yes",J111,$Y$127)</f>
        <v>-100</v>
      </c>
      <c r="AE111" s="4">
        <f>IF(Graphs!$B$8="Yes",K111,$Y$127)</f>
        <v>-100</v>
      </c>
      <c r="AF111" s="4">
        <f>IF(Graphs!$B$8="Yes",L111,$Y$127)</f>
        <v>-100</v>
      </c>
      <c r="AG111" s="4">
        <f>IF(Graphs!$B$8="Yes",M111,$Y$127)</f>
        <v>-100</v>
      </c>
      <c r="AH111" s="27">
        <f>IF(Graphs!$B$8="Yes",N111,$Y$127)</f>
        <v>-100</v>
      </c>
    </row>
    <row r="112" spans="1:34" x14ac:dyDescent="0.25">
      <c r="A112" s="3">
        <v>26</v>
      </c>
      <c r="B112" s="3" t="s">
        <v>53</v>
      </c>
      <c r="C112" s="3">
        <v>220</v>
      </c>
      <c r="D112" s="4">
        <v>1.75</v>
      </c>
      <c r="E112" s="3">
        <f t="shared" si="8"/>
        <v>1320</v>
      </c>
      <c r="F112" s="4">
        <f>((2*C112*'String Lengths'!E32)^2)*E112/1000000000000</f>
        <v>108.969672768</v>
      </c>
      <c r="G112" s="4">
        <f t="shared" si="10"/>
        <v>262.10277887764988</v>
      </c>
      <c r="H112" s="4">
        <f>PI()*(D112^2)*E112*'String Lengths'!E32*C112/2000000000</f>
        <v>0.91223297674248194</v>
      </c>
      <c r="I112" s="4">
        <f>4*G112/'String Lengths'!E32</f>
        <v>1.6055300390667679</v>
      </c>
      <c r="J112" s="4">
        <f>_xlfn.XLOOKUP(D112,'Gut E est'!$A$5:$A$74,'Gut E est'!$B$5:$B$74,,-1,1)</f>
        <v>5.6399700678061322</v>
      </c>
      <c r="K112" s="4">
        <f>J112*(PI()^3)*(D112^4)/(0.128*G112*('String Lengths'!E32^2)*$K$127)</f>
        <v>0.88553435030378547</v>
      </c>
      <c r="L112" s="4">
        <f>0.008*('String Lengths'!E32^2)*C112*SQRT('Misc ref'!$B$9*E112/(J112*1000000000))/(PI()*D112)</f>
        <v>15.150357277752212</v>
      </c>
      <c r="M112" s="4">
        <f t="shared" si="9"/>
        <v>3.3330786011054867</v>
      </c>
      <c r="N112" s="4">
        <f t="shared" si="11"/>
        <v>13.565717781919025</v>
      </c>
      <c r="Y112" s="26">
        <f>IF(Graphs!$B$8="Yes",D112,$Y$127)</f>
        <v>-100</v>
      </c>
      <c r="Z112" s="4">
        <f>IF(Graphs!$B$8="Yes",E112,$Y$127)</f>
        <v>-100</v>
      </c>
      <c r="AA112" s="4">
        <f>IF(Graphs!$B$8="Yes",G112,$Y$127)</f>
        <v>-100</v>
      </c>
      <c r="AB112" s="4">
        <f>IF(Graphs!$B$8="Yes",H112,$Y$127)</f>
        <v>-100</v>
      </c>
      <c r="AC112" s="4">
        <f>IF(Graphs!$B$8="Yes",I112,$Y$127)</f>
        <v>-100</v>
      </c>
      <c r="AD112" s="4">
        <f>IF(Graphs!$B$8="Yes",J112,$Y$127)</f>
        <v>-100</v>
      </c>
      <c r="AE112" s="4">
        <f>IF(Graphs!$B$8="Yes",K112,$Y$127)</f>
        <v>-100</v>
      </c>
      <c r="AF112" s="4">
        <f>IF(Graphs!$B$8="Yes",L112,$Y$127)</f>
        <v>-100</v>
      </c>
      <c r="AG112" s="4">
        <f>IF(Graphs!$B$8="Yes",M112,$Y$127)</f>
        <v>-100</v>
      </c>
      <c r="AH112" s="27">
        <f>IF(Graphs!$B$8="Yes",N112,$Y$127)</f>
        <v>-100</v>
      </c>
    </row>
    <row r="113" spans="1:34" x14ac:dyDescent="0.25">
      <c r="A113" s="3">
        <v>27</v>
      </c>
      <c r="B113" s="3" t="s">
        <v>54</v>
      </c>
      <c r="C113" s="3">
        <v>195.99771799087463</v>
      </c>
      <c r="D113" s="4">
        <v>1.8</v>
      </c>
      <c r="E113" s="3">
        <f t="shared" si="8"/>
        <v>1320</v>
      </c>
      <c r="F113" s="4">
        <f>((2*C113*'String Lengths'!E33)^2)*E113/1000000000000</f>
        <v>103.40281829791665</v>
      </c>
      <c r="G113" s="4">
        <f t="shared" si="10"/>
        <v>263.12812280342433</v>
      </c>
      <c r="H113" s="4">
        <f>PI()*(D113^2)*E113*'String Lengths'!E33*C113/2000000000</f>
        <v>0.94013028931032594</v>
      </c>
      <c r="I113" s="4">
        <f>4*G113/'String Lengths'!E33</f>
        <v>1.4741071305513969</v>
      </c>
      <c r="J113" s="4">
        <f>_xlfn.XLOOKUP(D113,'Gut E est'!$A$5:$A$74,'Gut E est'!$B$5:$B$74,,-1,1)</f>
        <v>5.5808568416690871</v>
      </c>
      <c r="K113" s="4">
        <f>J113*(PI()^3)*(D113^4)/(0.128*G113*('String Lengths'!E33^2)*$K$127)</f>
        <v>0.81714968611244299</v>
      </c>
      <c r="L113" s="4">
        <f>0.008*('String Lengths'!E33^2)*C113*SQRT('Misc ref'!$B$9*E113/(J113*1000000000))/(PI()*D113)</f>
        <v>15.771564326173797</v>
      </c>
      <c r="M113" s="4">
        <f t="shared" si="9"/>
        <v>3.0911906170763506</v>
      </c>
      <c r="N113" s="4">
        <f t="shared" si="11"/>
        <v>14.201550872164391</v>
      </c>
      <c r="Y113" s="26">
        <f>IF(Graphs!$B$8="Yes",D113,$Y$127)</f>
        <v>-100</v>
      </c>
      <c r="Z113" s="4">
        <f>IF(Graphs!$B$8="Yes",E113,$Y$127)</f>
        <v>-100</v>
      </c>
      <c r="AA113" s="4">
        <f>IF(Graphs!$B$8="Yes",G113,$Y$127)</f>
        <v>-100</v>
      </c>
      <c r="AB113" s="4">
        <f>IF(Graphs!$B$8="Yes",H113,$Y$127)</f>
        <v>-100</v>
      </c>
      <c r="AC113" s="4">
        <f>IF(Graphs!$B$8="Yes",I113,$Y$127)</f>
        <v>-100</v>
      </c>
      <c r="AD113" s="4">
        <f>IF(Graphs!$B$8="Yes",J113,$Y$127)</f>
        <v>-100</v>
      </c>
      <c r="AE113" s="4">
        <f>IF(Graphs!$B$8="Yes",K113,$Y$127)</f>
        <v>-100</v>
      </c>
      <c r="AF113" s="4">
        <f>IF(Graphs!$B$8="Yes",L113,$Y$127)</f>
        <v>-100</v>
      </c>
      <c r="AG113" s="4">
        <f>IF(Graphs!$B$8="Yes",M113,$Y$127)</f>
        <v>-100</v>
      </c>
      <c r="AH113" s="27">
        <f>IF(Graphs!$B$8="Yes",N113,$Y$127)</f>
        <v>-100</v>
      </c>
    </row>
    <row r="114" spans="1:34" x14ac:dyDescent="0.25">
      <c r="A114" s="2">
        <v>28</v>
      </c>
      <c r="B114" s="2" t="s">
        <v>55</v>
      </c>
      <c r="C114" s="2">
        <v>174.61411571650194</v>
      </c>
      <c r="D114" s="15">
        <v>1.9</v>
      </c>
      <c r="E114" s="2">
        <f t="shared" si="8"/>
        <v>1320</v>
      </c>
      <c r="F114" s="15">
        <f>((2*C114*'String Lengths'!E34)^2)*E114/1000000000000</f>
        <v>96.693220537865017</v>
      </c>
      <c r="G114" s="15">
        <f t="shared" si="10"/>
        <v>274.15306694255924</v>
      </c>
      <c r="H114" s="15">
        <f>PI()*(D114^2)*E114*'String Lengths'!E34*C114/2000000000</f>
        <v>1.012936128839204</v>
      </c>
      <c r="I114" s="15">
        <f>4*G114/'String Lengths'!E34</f>
        <v>1.4149835713164347</v>
      </c>
      <c r="J114" s="15">
        <f>_xlfn.XLOOKUP(D114,'Gut E est'!$A$5:$A$74,'Gut E est'!$B$5:$B$74,,-1,1)</f>
        <v>5.6627799799063521</v>
      </c>
      <c r="K114" s="15">
        <f>J114*(PI()^3)*(D114^4)/(0.128*G114*('String Lengths'!E34^2)*$K$127)</f>
        <v>0.83853652545771606</v>
      </c>
      <c r="L114" s="15">
        <f>0.008*('String Lengths'!E34^2)*C114*SQRT('Misc ref'!$B$9*E114/(J114*1000000000))/(PI()*D114)</f>
        <v>15.569138728093153</v>
      </c>
      <c r="M114" s="15">
        <f t="shared" si="9"/>
        <v>2.7185913914735296</v>
      </c>
      <c r="N114" s="15">
        <f t="shared" si="11"/>
        <v>16.055608555351661</v>
      </c>
      <c r="Y114" s="26">
        <f>IF(Graphs!$B$8="Yes",D114,$Y$127)</f>
        <v>-100</v>
      </c>
      <c r="Z114" s="4">
        <f>IF(Graphs!$B$8="Yes",E114,$Y$127)</f>
        <v>-100</v>
      </c>
      <c r="AA114" s="4">
        <f>IF(Graphs!$B$8="Yes",G114,$Y$127)</f>
        <v>-100</v>
      </c>
      <c r="AB114" s="4">
        <f>IF(Graphs!$B$8="Yes",H114,$Y$127)</f>
        <v>-100</v>
      </c>
      <c r="AC114" s="4">
        <f>IF(Graphs!$B$8="Yes",I114,$Y$127)</f>
        <v>-100</v>
      </c>
      <c r="AD114" s="4">
        <f>IF(Graphs!$B$8="Yes",J114,$Y$127)</f>
        <v>-100</v>
      </c>
      <c r="AE114" s="4">
        <f>IF(Graphs!$B$8="Yes",K114,$Y$127)</f>
        <v>-100</v>
      </c>
      <c r="AF114" s="4">
        <f>IF(Graphs!$B$8="Yes",L114,$Y$127)</f>
        <v>-100</v>
      </c>
      <c r="AG114" s="4">
        <f>IF(Graphs!$B$8="Yes",M114,$Y$127)</f>
        <v>-100</v>
      </c>
      <c r="AH114" s="27">
        <f>IF(Graphs!$B$8="Yes",N114,$Y$127)</f>
        <v>-100</v>
      </c>
    </row>
    <row r="115" spans="1:34" x14ac:dyDescent="0.25">
      <c r="A115" s="3">
        <v>29</v>
      </c>
      <c r="B115" s="3" t="s">
        <v>56</v>
      </c>
      <c r="C115" s="3">
        <v>164.81377845643496</v>
      </c>
      <c r="D115" s="4">
        <v>2</v>
      </c>
      <c r="E115" s="3">
        <f t="shared" si="8"/>
        <v>1320</v>
      </c>
      <c r="F115" s="4">
        <f>((2*C115*'String Lengths'!E35)^2)*E115/1000000000000</f>
        <v>101.92391657442712</v>
      </c>
      <c r="G115" s="4">
        <f t="shared" si="10"/>
        <v>320.20342753531918</v>
      </c>
      <c r="H115" s="4">
        <f>PI()*(D115^2)*E115*'String Lengths'!E35*C115/2000000000</f>
        <v>1.1523247506631904</v>
      </c>
      <c r="I115" s="4">
        <f>4*G115/'String Lengths'!E35</f>
        <v>1.5193519693253579</v>
      </c>
      <c r="J115" s="4">
        <f>_xlfn.XLOOKUP(D115,'Gut E est'!$A$5:$A$74,'Gut E est'!$B$5:$B$74,,-1,1)</f>
        <v>5.5550879956275407</v>
      </c>
      <c r="K115" s="4">
        <f>J115*(PI()^3)*(D115^4)/(0.128*G115*('String Lengths'!E35^2)*$K$127)</f>
        <v>0.73080953711965202</v>
      </c>
      <c r="L115" s="4">
        <f>0.008*('String Lengths'!E35^2)*C115*SQRT('Misc ref'!$B$9*E115/(J115*1000000000))/(PI()*D115)</f>
        <v>16.677213077117521</v>
      </c>
      <c r="M115" s="4">
        <f t="shared" si="9"/>
        <v>2.7486345013628068</v>
      </c>
      <c r="N115" s="4">
        <f t="shared" si="11"/>
        <v>17.45182363710833</v>
      </c>
      <c r="Y115" s="26">
        <f>IF(Graphs!$B$8="Yes",D115,$Y$127)</f>
        <v>-100</v>
      </c>
      <c r="Z115" s="4">
        <f>IF(Graphs!$B$8="Yes",E115,$Y$127)</f>
        <v>-100</v>
      </c>
      <c r="AA115" s="4">
        <f>IF(Graphs!$B$8="Yes",G115,$Y$127)</f>
        <v>-100</v>
      </c>
      <c r="AB115" s="4">
        <f>IF(Graphs!$B$8="Yes",H115,$Y$127)</f>
        <v>-100</v>
      </c>
      <c r="AC115" s="4">
        <f>IF(Graphs!$B$8="Yes",I115,$Y$127)</f>
        <v>-100</v>
      </c>
      <c r="AD115" s="4">
        <f>IF(Graphs!$B$8="Yes",J115,$Y$127)</f>
        <v>-100</v>
      </c>
      <c r="AE115" s="4">
        <f>IF(Graphs!$B$8="Yes",K115,$Y$127)</f>
        <v>-100</v>
      </c>
      <c r="AF115" s="4">
        <f>IF(Graphs!$B$8="Yes",L115,$Y$127)</f>
        <v>-100</v>
      </c>
      <c r="AG115" s="4">
        <f>IF(Graphs!$B$8="Yes",M115,$Y$127)</f>
        <v>-100</v>
      </c>
      <c r="AH115" s="27">
        <f>IF(Graphs!$B$8="Yes",N115,$Y$127)</f>
        <v>-100</v>
      </c>
    </row>
    <row r="116" spans="1:34" x14ac:dyDescent="0.25">
      <c r="A116" s="3">
        <v>30</v>
      </c>
      <c r="B116" s="3" t="s">
        <v>57</v>
      </c>
      <c r="C116" s="3">
        <v>146.83238395870379</v>
      </c>
      <c r="D116" s="4">
        <v>2.1</v>
      </c>
      <c r="E116" s="3">
        <f t="shared" si="8"/>
        <v>1320</v>
      </c>
      <c r="F116" s="4">
        <f>((2*C116*'String Lengths'!E36)^2)*E116/1000000000000</f>
        <v>93.646639351701481</v>
      </c>
      <c r="G116" s="4">
        <f t="shared" si="10"/>
        <v>324.3550526282977</v>
      </c>
      <c r="H116" s="4">
        <f>PI()*(D116^2)*E116*'String Lengths'!E36*C116/2000000000</f>
        <v>1.2177595238390477</v>
      </c>
      <c r="I116" s="4">
        <f>4*G116/'String Lengths'!E36</f>
        <v>1.430452271789626</v>
      </c>
      <c r="J116" s="4">
        <f>_xlfn.XLOOKUP(D116,'Gut E est'!$A$5:$A$74,'Gut E est'!$B$5:$B$74,,-1,1)</f>
        <v>5.4462033126940943</v>
      </c>
      <c r="K116" s="4">
        <f>J116*(PI()^3)*(D116^4)/(0.128*G116*('String Lengths'!E36^2)*$K$127)</f>
        <v>0.74269447606652295</v>
      </c>
      <c r="L116" s="4">
        <f>0.008*('String Lengths'!E36^2)*C116*SQRT('Misc ref'!$B$9*E116/(J116*1000000000))/(PI()*D116)</f>
        <v>16.543236706641938</v>
      </c>
      <c r="M116" s="4">
        <f t="shared" si="9"/>
        <v>2.4290828840293717</v>
      </c>
      <c r="N116" s="4">
        <f t="shared" si="11"/>
        <v>18.863501929620568</v>
      </c>
      <c r="Y116" s="26">
        <f>IF(Graphs!$B$8="Yes",D116,$Y$127)</f>
        <v>-100</v>
      </c>
      <c r="Z116" s="4">
        <f>IF(Graphs!$B$8="Yes",E116,$Y$127)</f>
        <v>-100</v>
      </c>
      <c r="AA116" s="4">
        <f>IF(Graphs!$B$8="Yes",G116,$Y$127)</f>
        <v>-100</v>
      </c>
      <c r="AB116" s="4">
        <f>IF(Graphs!$B$8="Yes",H116,$Y$127)</f>
        <v>-100</v>
      </c>
      <c r="AC116" s="4">
        <f>IF(Graphs!$B$8="Yes",I116,$Y$127)</f>
        <v>-100</v>
      </c>
      <c r="AD116" s="4">
        <f>IF(Graphs!$B$8="Yes",J116,$Y$127)</f>
        <v>-100</v>
      </c>
      <c r="AE116" s="4">
        <f>IF(Graphs!$B$8="Yes",K116,$Y$127)</f>
        <v>-100</v>
      </c>
      <c r="AF116" s="4">
        <f>IF(Graphs!$B$8="Yes",L116,$Y$127)</f>
        <v>-100</v>
      </c>
      <c r="AG116" s="4">
        <f>IF(Graphs!$B$8="Yes",M116,$Y$127)</f>
        <v>-100</v>
      </c>
      <c r="AH116" s="27">
        <f>IF(Graphs!$B$8="Yes",N116,$Y$127)</f>
        <v>-100</v>
      </c>
    </row>
    <row r="117" spans="1:34" x14ac:dyDescent="0.25">
      <c r="A117" s="3">
        <v>31</v>
      </c>
      <c r="B117" s="3" t="s">
        <v>58</v>
      </c>
      <c r="C117" s="3">
        <v>130.81278265029934</v>
      </c>
      <c r="D117" s="4">
        <v>2.2000000000000002</v>
      </c>
      <c r="E117" s="3">
        <f t="shared" si="8"/>
        <v>1320</v>
      </c>
      <c r="F117" s="4">
        <f>((2*C117*'String Lengths'!E37)^2)*E117/1000000000000</f>
        <v>84.137367060979159</v>
      </c>
      <c r="G117" s="4">
        <f t="shared" si="10"/>
        <v>319.83365444390364</v>
      </c>
      <c r="H117" s="4">
        <f>PI()*(D117^2)*E117*'String Lengths'!E37*C117/2000000000</f>
        <v>1.2668251224652556</v>
      </c>
      <c r="I117" s="4">
        <f>4*G117/'String Lengths'!E37</f>
        <v>1.3257353552078908</v>
      </c>
      <c r="J117" s="4">
        <f>_xlfn.XLOOKUP(D117,'Gut E est'!$A$5:$A$74,'Gut E est'!$B$5:$B$74,,-1,1)</f>
        <v>5.3901585119837225</v>
      </c>
      <c r="K117" s="4">
        <f>J117*(PI()^3)*(D117^4)/(0.128*G117*('String Lengths'!E37^2)*$K$127)</f>
        <v>0.79320945016885791</v>
      </c>
      <c r="L117" s="4">
        <f>0.008*('String Lengths'!E37^2)*C117*SQRT('Misc ref'!$B$9*E117/(J117*1000000000))/(PI()*D117)</f>
        <v>16.00779967773147</v>
      </c>
      <c r="M117" s="4">
        <f t="shared" si="9"/>
        <v>2.0940248199526188</v>
      </c>
      <c r="N117" s="4">
        <f t="shared" si="11"/>
        <v>20.489755683348392</v>
      </c>
      <c r="Y117" s="26">
        <f>IF(Graphs!$B$8="Yes",D117,$Y$127)</f>
        <v>-100</v>
      </c>
      <c r="Z117" s="4">
        <f>IF(Graphs!$B$8="Yes",E117,$Y$127)</f>
        <v>-100</v>
      </c>
      <c r="AA117" s="4">
        <f>IF(Graphs!$B$8="Yes",G117,$Y$127)</f>
        <v>-100</v>
      </c>
      <c r="AB117" s="4">
        <f>IF(Graphs!$B$8="Yes",H117,$Y$127)</f>
        <v>-100</v>
      </c>
      <c r="AC117" s="4">
        <f>IF(Graphs!$B$8="Yes",I117,$Y$127)</f>
        <v>-100</v>
      </c>
      <c r="AD117" s="4">
        <f>IF(Graphs!$B$8="Yes",J117,$Y$127)</f>
        <v>-100</v>
      </c>
      <c r="AE117" s="4">
        <f>IF(Graphs!$B$8="Yes",K117,$Y$127)</f>
        <v>-100</v>
      </c>
      <c r="AF117" s="4">
        <f>IF(Graphs!$B$8="Yes",L117,$Y$127)</f>
        <v>-100</v>
      </c>
      <c r="AG117" s="4">
        <f>IF(Graphs!$B$8="Yes",M117,$Y$127)</f>
        <v>-100</v>
      </c>
      <c r="AH117" s="27">
        <f>IF(Graphs!$B$8="Yes",N117,$Y$127)</f>
        <v>-100</v>
      </c>
    </row>
    <row r="118" spans="1:34" x14ac:dyDescent="0.25">
      <c r="A118" s="3">
        <v>32</v>
      </c>
      <c r="B118" s="3" t="s">
        <v>59</v>
      </c>
      <c r="C118" s="3">
        <v>123.47082531403103</v>
      </c>
      <c r="D118" s="4">
        <v>2.35</v>
      </c>
      <c r="E118" s="3">
        <f t="shared" si="8"/>
        <v>1320</v>
      </c>
      <c r="F118" s="4">
        <f>((2*C118*'String Lengths'!E38)^2)*E118/1000000000000</f>
        <v>83.417694135843831</v>
      </c>
      <c r="G118" s="4">
        <f t="shared" si="10"/>
        <v>361.81268306508582</v>
      </c>
      <c r="H118" s="4">
        <f>PI()*(D118^2)*E118*'String Lengths'!E38*C118/2000000000</f>
        <v>1.4392679744132966</v>
      </c>
      <c r="I118" s="4">
        <f>4*G118/'String Lengths'!E38</f>
        <v>1.421660837190907</v>
      </c>
      <c r="J118" s="4">
        <f>_xlfn.XLOOKUP(D118,'Gut E est'!$A$5:$A$74,'Gut E est'!$B$5:$B$74,,-1,1)</f>
        <v>5.2287233105619642</v>
      </c>
      <c r="K118" s="4">
        <f>J118*(PI()^3)*(D118^4)/(0.128*G118*('String Lengths'!E38^2)*$K$127)</f>
        <v>0.79572348076956756</v>
      </c>
      <c r="L118" s="4">
        <f>0.008*('String Lengths'!E38^2)*C118*SQRT('Misc ref'!$B$9*E118/(J118*1000000000))/(PI()*D118)</f>
        <v>15.982491931633653</v>
      </c>
      <c r="M118" s="4">
        <f t="shared" si="9"/>
        <v>1.9733714693736493</v>
      </c>
      <c r="N118" s="4">
        <f t="shared" si="11"/>
        <v>22.67886243557151</v>
      </c>
      <c r="Y118" s="26">
        <f>IF(Graphs!$B$8="Yes",D118,$Y$127)</f>
        <v>-100</v>
      </c>
      <c r="Z118" s="4">
        <f>IF(Graphs!$B$8="Yes",E118,$Y$127)</f>
        <v>-100</v>
      </c>
      <c r="AA118" s="4">
        <f>IF(Graphs!$B$8="Yes",G118,$Y$127)</f>
        <v>-100</v>
      </c>
      <c r="AB118" s="4">
        <f>IF(Graphs!$B$8="Yes",H118,$Y$127)</f>
        <v>-100</v>
      </c>
      <c r="AC118" s="4">
        <f>IF(Graphs!$B$8="Yes",I118,$Y$127)</f>
        <v>-100</v>
      </c>
      <c r="AD118" s="4">
        <f>IF(Graphs!$B$8="Yes",J118,$Y$127)</f>
        <v>-100</v>
      </c>
      <c r="AE118" s="4">
        <f>IF(Graphs!$B$8="Yes",K118,$Y$127)</f>
        <v>-100</v>
      </c>
      <c r="AF118" s="4">
        <f>IF(Graphs!$B$8="Yes",L118,$Y$127)</f>
        <v>-100</v>
      </c>
      <c r="AG118" s="4">
        <f>IF(Graphs!$B$8="Yes",M118,$Y$127)</f>
        <v>-100</v>
      </c>
      <c r="AH118" s="27">
        <f>IF(Graphs!$B$8="Yes",N118,$Y$127)</f>
        <v>-100</v>
      </c>
    </row>
    <row r="119" spans="1:34" x14ac:dyDescent="0.25">
      <c r="A119" s="3">
        <v>33</v>
      </c>
      <c r="B119" s="3" t="s">
        <v>60</v>
      </c>
      <c r="C119" s="3">
        <v>110</v>
      </c>
      <c r="D119" s="4">
        <v>2.5</v>
      </c>
      <c r="E119" s="3">
        <f t="shared" si="8"/>
        <v>1320</v>
      </c>
      <c r="F119" s="4">
        <f>((2*C119*'String Lengths'!E39)^2)*E119/1000000000000</f>
        <v>72.735785231999998</v>
      </c>
      <c r="G119" s="4">
        <f t="shared" si="10"/>
        <v>357.04095084052523</v>
      </c>
      <c r="H119" s="4">
        <f>PI()*(D119^2)*E119*'String Lengths'!E39*C119/2000000000</f>
        <v>1.5210060102263152</v>
      </c>
      <c r="I119" s="4">
        <f>4*G119/'String Lengths'!E39</f>
        <v>1.3384852889991574</v>
      </c>
      <c r="J119" s="4">
        <f>_xlfn.XLOOKUP(D119,'Gut E est'!$A$5:$A$74,'Gut E est'!$B$5:$B$74,,-1,1)</f>
        <v>5.0669619872467386</v>
      </c>
      <c r="K119" s="4">
        <f>J119*(PI()^3)*(D119^4)/(0.128*G119*('String Lengths'!E39^2)*$K$127)</f>
        <v>0.91103532759382289</v>
      </c>
      <c r="L119" s="4">
        <f>0.008*('String Lengths'!E39^2)*C119*SQRT('Misc ref'!$B$9*E119/(J119*1000000000))/(PI()*D119)</f>
        <v>14.936813954171392</v>
      </c>
      <c r="M119" s="4">
        <f t="shared" si="9"/>
        <v>1.643049534958853</v>
      </c>
      <c r="N119" s="4">
        <f t="shared" si="11"/>
        <v>24.872391492426708</v>
      </c>
      <c r="Y119" s="28">
        <f>IF(Graphs!$B$8="Yes",D119,$Y$127)</f>
        <v>-100</v>
      </c>
      <c r="Z119" s="15">
        <f>IF(Graphs!$B$8="Yes",E119,$Y$127)</f>
        <v>-100</v>
      </c>
      <c r="AA119" s="15">
        <f>IF(Graphs!$B$8="Yes",G119,$Y$127)</f>
        <v>-100</v>
      </c>
      <c r="AB119" s="15">
        <f>IF(Graphs!$B$8="Yes",H119,$Y$127)</f>
        <v>-100</v>
      </c>
      <c r="AC119" s="15">
        <f>IF(Graphs!$B$8="Yes",I119,$Y$127)</f>
        <v>-100</v>
      </c>
      <c r="AD119" s="15">
        <f>IF(Graphs!$B$8="Yes",J119,$Y$127)</f>
        <v>-100</v>
      </c>
      <c r="AE119" s="15">
        <f>IF(Graphs!$B$8="Yes",K119,$Y$127)</f>
        <v>-100</v>
      </c>
      <c r="AF119" s="15">
        <f>IF(Graphs!$B$8="Yes",L119,$Y$127)</f>
        <v>-100</v>
      </c>
      <c r="AG119" s="15">
        <f>IF(Graphs!$B$8="Yes",M119,$Y$127)</f>
        <v>-100</v>
      </c>
      <c r="AH119" s="29">
        <f>IF(Graphs!$B$8="Yes",N119,$Y$127)</f>
        <v>-100</v>
      </c>
    </row>
    <row r="121" spans="1:34" x14ac:dyDescent="0.25">
      <c r="D121" s="3" t="s">
        <v>9</v>
      </c>
    </row>
    <row r="127" spans="1:34" x14ac:dyDescent="0.25">
      <c r="E127" s="21">
        <v>1320</v>
      </c>
      <c r="K127" s="47">
        <f>$J$25*(PI()^3)*($D$25^4)/(0.128*$G$25*('String Lengths'!$E$25^2))</f>
        <v>1.2946883554665936E-4</v>
      </c>
      <c r="Y127" s="21">
        <v>-100</v>
      </c>
    </row>
    <row r="128" spans="1:34" x14ac:dyDescent="0.25">
      <c r="J128" s="3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4448-6037-4136-A202-6DC8A498EA36}">
  <dimension ref="A1:AH130"/>
  <sheetViews>
    <sheetView zoomScale="75" zoomScaleNormal="75" workbookViewId="0"/>
  </sheetViews>
  <sheetFormatPr defaultRowHeight="15" x14ac:dyDescent="0.25"/>
  <cols>
    <col min="1" max="6" width="9.140625" style="3"/>
    <col min="7" max="8" width="13.85546875" bestFit="1" customWidth="1"/>
    <col min="9" max="9" width="11.42578125" bestFit="1" customWidth="1"/>
    <col min="11" max="11" width="14.28515625" bestFit="1" customWidth="1"/>
    <col min="12" max="12" width="13.85546875" bestFit="1" customWidth="1"/>
    <col min="13" max="13" width="10.5703125" bestFit="1" customWidth="1"/>
    <col min="14" max="14" width="11" bestFit="1" customWidth="1"/>
  </cols>
  <sheetData>
    <row r="1" spans="1:34" x14ac:dyDescent="0.25">
      <c r="E1" s="30" t="s">
        <v>23</v>
      </c>
    </row>
    <row r="2" spans="1:34" x14ac:dyDescent="0.25">
      <c r="A2" s="3" t="s">
        <v>20</v>
      </c>
      <c r="B2" s="3" t="s">
        <v>21</v>
      </c>
      <c r="C2" s="3" t="s">
        <v>22</v>
      </c>
      <c r="D2" s="3" t="s">
        <v>87</v>
      </c>
      <c r="E2" s="30" t="s">
        <v>70</v>
      </c>
      <c r="F2" s="3" t="s">
        <v>62</v>
      </c>
      <c r="G2" s="3" t="s">
        <v>66</v>
      </c>
      <c r="H2" s="3" t="s">
        <v>68</v>
      </c>
      <c r="I2" s="3" t="s">
        <v>71</v>
      </c>
      <c r="J2" s="3" t="s">
        <v>73</v>
      </c>
      <c r="K2" s="3" t="s">
        <v>75</v>
      </c>
      <c r="L2" s="3" t="s">
        <v>77</v>
      </c>
      <c r="M2" s="3" t="s">
        <v>79</v>
      </c>
      <c r="N2" s="3" t="s">
        <v>80</v>
      </c>
      <c r="O2" s="3" t="s">
        <v>82</v>
      </c>
      <c r="W2" s="7" t="s">
        <v>66</v>
      </c>
      <c r="Y2" s="9" t="s">
        <v>70</v>
      </c>
      <c r="Z2" s="24" t="s">
        <v>62</v>
      </c>
      <c r="AA2" s="24" t="s">
        <v>68</v>
      </c>
      <c r="AB2" s="24" t="s">
        <v>71</v>
      </c>
      <c r="AC2" s="24" t="s">
        <v>73</v>
      </c>
      <c r="AD2" s="24" t="s">
        <v>75</v>
      </c>
      <c r="AE2" s="24" t="s">
        <v>77</v>
      </c>
      <c r="AF2" s="24" t="s">
        <v>79</v>
      </c>
      <c r="AG2" s="24" t="s">
        <v>80</v>
      </c>
      <c r="AH2" s="10" t="s">
        <v>82</v>
      </c>
    </row>
    <row r="3" spans="1:34" x14ac:dyDescent="0.25">
      <c r="A3" s="3" t="s">
        <v>61</v>
      </c>
      <c r="C3" s="3" t="s">
        <v>25</v>
      </c>
      <c r="E3" s="30" t="s">
        <v>8</v>
      </c>
      <c r="F3" s="3" t="s">
        <v>63</v>
      </c>
      <c r="G3" s="3" t="s">
        <v>67</v>
      </c>
      <c r="H3" s="3" t="s">
        <v>69</v>
      </c>
      <c r="I3" s="3" t="s">
        <v>72</v>
      </c>
      <c r="J3" s="3" t="s">
        <v>74</v>
      </c>
      <c r="K3" s="3" t="s">
        <v>76</v>
      </c>
      <c r="L3" s="3" t="s">
        <v>78</v>
      </c>
      <c r="N3" s="3" t="s">
        <v>81</v>
      </c>
      <c r="O3" s="3" t="s">
        <v>83</v>
      </c>
      <c r="W3" s="8" t="s">
        <v>67</v>
      </c>
      <c r="Y3" s="11" t="s">
        <v>8</v>
      </c>
      <c r="Z3" s="3" t="s">
        <v>63</v>
      </c>
      <c r="AA3" s="3" t="s">
        <v>69</v>
      </c>
      <c r="AB3" s="3" t="s">
        <v>72</v>
      </c>
      <c r="AC3" s="3" t="s">
        <v>74</v>
      </c>
      <c r="AD3" s="3" t="s">
        <v>76</v>
      </c>
      <c r="AE3" s="3" t="s">
        <v>78</v>
      </c>
      <c r="AG3" s="3" t="s">
        <v>81</v>
      </c>
      <c r="AH3" s="12" t="s">
        <v>83</v>
      </c>
    </row>
    <row r="4" spans="1:34" x14ac:dyDescent="0.25">
      <c r="W4" s="46"/>
      <c r="Y4" s="25"/>
      <c r="AH4" s="17"/>
    </row>
    <row r="5" spans="1:34" x14ac:dyDescent="0.25">
      <c r="A5" s="1">
        <v>-1</v>
      </c>
      <c r="B5" s="3" t="s">
        <v>26</v>
      </c>
      <c r="C5" s="3">
        <v>3135.9634878539941</v>
      </c>
      <c r="D5" s="3" t="str">
        <f>IF(E5&lt;$E$127,"No","Yes")</f>
        <v>No</v>
      </c>
      <c r="E5" s="4">
        <v>0.45</v>
      </c>
      <c r="F5" s="3">
        <f>$F$127</f>
        <v>1770</v>
      </c>
      <c r="G5" s="4">
        <f>((2*C5*'String Lengths'!E5)^2)*F5/1000000000000</f>
        <v>371.04020650103922</v>
      </c>
      <c r="H5" s="4">
        <f t="shared" ref="H5:H39" si="0">G5*PI()*(E5^2)/4</f>
        <v>59.011395088336556</v>
      </c>
      <c r="I5" s="4">
        <f>PI()*(E5^2)*F5*'String Lengths'!E5*C5/2000000000</f>
        <v>0.12888786465684918</v>
      </c>
      <c r="J5" s="4">
        <f>4*H5/'String Lengths'!E5</f>
        <v>3.2335011007307704</v>
      </c>
      <c r="K5" s="4">
        <f>IF(D5="No",$K$127+($K$128*G5),$K$129+($K$130*G5))</f>
        <v>18.463660920514691</v>
      </c>
      <c r="L5" s="4">
        <f>K5*(PI()^3)*(E5^4)/(0.128*H5*('String Lengths'!E5^2)*$L$127)</f>
        <v>4.5046460820491188</v>
      </c>
      <c r="M5" s="4">
        <f>0.008*('String Lengths'!E5^2)*C5*SQRT('Misc ref'!$B$9*F5/(K5*1000000000))/(PI()*E5)</f>
        <v>6.7173077088170166</v>
      </c>
      <c r="N5" s="4">
        <f t="shared" ref="N5:N39" si="1">M5*C5/1000</f>
        <v>21.065231711530334</v>
      </c>
      <c r="O5" s="4">
        <f t="shared" ref="O5:O39" si="2">K5*PI()*(E5^2)/4</f>
        <v>2.9365183887545094</v>
      </c>
      <c r="W5" s="36">
        <f>IF(OR(Graphs!$B$10="Yes",Graphs!$B$11="Yes",Graphs!$B$12="Yes"),G5,$Y$127)</f>
        <v>371.04020650103922</v>
      </c>
      <c r="Y5" s="26">
        <f>IF(Graphs!$B$10="Yes",E5,$Y$127)</f>
        <v>0.45</v>
      </c>
      <c r="Z5" s="4">
        <f>IF(Graphs!$B$10="Yes",F5,$Y$127)</f>
        <v>1770</v>
      </c>
      <c r="AA5" s="4">
        <f>IF(Graphs!$B$10="Yes",H5,$Y$127)</f>
        <v>59.011395088336556</v>
      </c>
      <c r="AB5" s="4">
        <f>IF(Graphs!$B$10="Yes",I5,$Y$127)</f>
        <v>0.12888786465684918</v>
      </c>
      <c r="AC5" s="4">
        <f>IF(Graphs!$B$10="Yes",J5,$Y$127)</f>
        <v>3.2335011007307704</v>
      </c>
      <c r="AD5" s="4">
        <f>IF(Graphs!$B$10="Yes",K5,$Y$127)</f>
        <v>18.463660920514691</v>
      </c>
      <c r="AE5" s="4">
        <f>IF(Graphs!$B$10="Yes",L5,$Y$127)</f>
        <v>4.5046460820491188</v>
      </c>
      <c r="AF5" s="4">
        <f>IF(Graphs!$B$10="Yes",M5,$Y$127)</f>
        <v>6.7173077088170166</v>
      </c>
      <c r="AG5" s="4">
        <f>IF(Graphs!$B$10="Yes",N5,$Y$127)</f>
        <v>21.065231711530334</v>
      </c>
      <c r="AH5" s="27">
        <f>IF(Graphs!$B$10="Yes",O5,$Y$127)</f>
        <v>2.9365183887545094</v>
      </c>
    </row>
    <row r="6" spans="1:34" x14ac:dyDescent="0.25">
      <c r="A6" s="2">
        <v>0</v>
      </c>
      <c r="B6" s="2" t="s">
        <v>27</v>
      </c>
      <c r="C6" s="2">
        <v>2793.8258514640311</v>
      </c>
      <c r="D6" s="2" t="str">
        <f t="shared" ref="D6:D39" si="3">IF(E6&lt;$E$127,"No","Yes")</f>
        <v>No</v>
      </c>
      <c r="E6" s="15">
        <v>0.47</v>
      </c>
      <c r="F6" s="2">
        <f t="shared" ref="F6:F39" si="4">$F$127</f>
        <v>1770</v>
      </c>
      <c r="G6" s="15">
        <f>((2*C6*'String Lengths'!E6)^2)*F6/1000000000000</f>
        <v>362.57842543216998</v>
      </c>
      <c r="H6" s="15">
        <f t="shared" si="0"/>
        <v>62.905346059312059</v>
      </c>
      <c r="I6" s="15">
        <f>PI()*(E6^2)*F6*'String Lengths'!E6*C6/2000000000</f>
        <v>0.13898668920287732</v>
      </c>
      <c r="J6" s="15">
        <f>4*H6/'String Lengths'!E6</f>
        <v>3.1064368424351634</v>
      </c>
      <c r="K6" s="15">
        <f t="shared" ref="K6:K39" si="5">IF(D6="No",$K$127+($K$128*G6),$K$129+($K$130*G6))</f>
        <v>18.116647086681844</v>
      </c>
      <c r="L6" s="15">
        <f>K6*(PI()^3)*(E6^4)/(0.128*H6*('String Lengths'!E6^2)*$L$127)</f>
        <v>4.0076156966946916</v>
      </c>
      <c r="M6" s="15">
        <f>0.008*('String Lengths'!E6^2)*C6*SQRT('Misc ref'!$B$9*F6/(K6*1000000000))/(PI()*E6)</f>
        <v>7.1216814876754535</v>
      </c>
      <c r="N6" s="15">
        <f t="shared" si="1"/>
        <v>19.896737846160502</v>
      </c>
      <c r="O6" s="15">
        <f t="shared" si="2"/>
        <v>3.1431377999498431</v>
      </c>
      <c r="W6" s="36">
        <f>IF(OR(Graphs!$B$10="Yes",Graphs!$B$11="Yes",Graphs!$B$12="Yes"),G6,$Y$127)</f>
        <v>362.57842543216998</v>
      </c>
      <c r="Y6" s="26">
        <f>IF(Graphs!$B$10="Yes",E6,$Y$127)</f>
        <v>0.47</v>
      </c>
      <c r="Z6" s="4">
        <f>IF(Graphs!$B$10="Yes",F6,$Y$127)</f>
        <v>1770</v>
      </c>
      <c r="AA6" s="4">
        <f>IF(Graphs!$B$10="Yes",H6,$Y$127)</f>
        <v>62.905346059312059</v>
      </c>
      <c r="AB6" s="4">
        <f>IF(Graphs!$B$10="Yes",I6,$Y$127)</f>
        <v>0.13898668920287732</v>
      </c>
      <c r="AC6" s="4">
        <f>IF(Graphs!$B$10="Yes",J6,$Y$127)</f>
        <v>3.1064368424351634</v>
      </c>
      <c r="AD6" s="4">
        <f>IF(Graphs!$B$10="Yes",K6,$Y$127)</f>
        <v>18.116647086681844</v>
      </c>
      <c r="AE6" s="4">
        <f>IF(Graphs!$B$10="Yes",L6,$Y$127)</f>
        <v>4.0076156966946916</v>
      </c>
      <c r="AF6" s="4">
        <f>IF(Graphs!$B$10="Yes",M6,$Y$127)</f>
        <v>7.1216814876754535</v>
      </c>
      <c r="AG6" s="4">
        <f>IF(Graphs!$B$10="Yes",N6,$Y$127)</f>
        <v>19.896737846160502</v>
      </c>
      <c r="AH6" s="27">
        <f>IF(Graphs!$B$10="Yes",O6,$Y$127)</f>
        <v>3.1431377999498431</v>
      </c>
    </row>
    <row r="7" spans="1:34" x14ac:dyDescent="0.25">
      <c r="A7" s="3">
        <v>1</v>
      </c>
      <c r="B7" s="3" t="s">
        <v>28</v>
      </c>
      <c r="C7" s="3">
        <v>2637.0204553029594</v>
      </c>
      <c r="D7" s="3" t="str">
        <f t="shared" si="3"/>
        <v>No</v>
      </c>
      <c r="E7" s="4">
        <v>0.47</v>
      </c>
      <c r="F7" s="3">
        <f t="shared" si="4"/>
        <v>1770</v>
      </c>
      <c r="G7" s="4">
        <f>((2*C7*'String Lengths'!E7)^2)*F7/1000000000000</f>
        <v>372.64797035177997</v>
      </c>
      <c r="H7" s="4">
        <f t="shared" si="0"/>
        <v>64.652356260133715</v>
      </c>
      <c r="I7" s="4">
        <f>PI()*(E7^2)*F7*'String Lengths'!E7*C7/2000000000</f>
        <v>0.14090344468721588</v>
      </c>
      <c r="J7" s="4">
        <f>4*H7/'String Lengths'!E7</f>
        <v>2.9725221269026996</v>
      </c>
      <c r="K7" s="4">
        <f t="shared" si="5"/>
        <v>18.529594592539837</v>
      </c>
      <c r="L7" s="4">
        <f>K7*(PI()^3)*(E7^4)/(0.128*H7*('String Lengths'!E7^2)*$L$127)</f>
        <v>3.4570757293375598</v>
      </c>
      <c r="M7" s="4">
        <f>0.008*('String Lengths'!E7^2)*C7*SQRT('Misc ref'!$B$9*F7/(K7*1000000000))/(PI()*E7)</f>
        <v>7.6678063128194358</v>
      </c>
      <c r="N7" s="4">
        <f t="shared" si="1"/>
        <v>20.220162094206014</v>
      </c>
      <c r="O7" s="4">
        <f t="shared" si="2"/>
        <v>3.2147819021309489</v>
      </c>
      <c r="W7" s="36">
        <f>IF(OR(Graphs!$B$10="Yes",Graphs!$B$11="Yes",Graphs!$B$12="Yes"),G7,$Y$127)</f>
        <v>372.64797035177997</v>
      </c>
      <c r="Y7" s="26">
        <f>IF(Graphs!$B$10="Yes",E7,$Y$127)</f>
        <v>0.47</v>
      </c>
      <c r="Z7" s="4">
        <f>IF(Graphs!$B$10="Yes",F7,$Y$127)</f>
        <v>1770</v>
      </c>
      <c r="AA7" s="4">
        <f>IF(Graphs!$B$10="Yes",H7,$Y$127)</f>
        <v>64.652356260133715</v>
      </c>
      <c r="AB7" s="4">
        <f>IF(Graphs!$B$10="Yes",I7,$Y$127)</f>
        <v>0.14090344468721588</v>
      </c>
      <c r="AC7" s="4">
        <f>IF(Graphs!$B$10="Yes",J7,$Y$127)</f>
        <v>2.9725221269026996</v>
      </c>
      <c r="AD7" s="4">
        <f>IF(Graphs!$B$10="Yes",K7,$Y$127)</f>
        <v>18.529594592539837</v>
      </c>
      <c r="AE7" s="4">
        <f>IF(Graphs!$B$10="Yes",L7,$Y$127)</f>
        <v>3.4570757293375598</v>
      </c>
      <c r="AF7" s="4">
        <f>IF(Graphs!$B$10="Yes",M7,$Y$127)</f>
        <v>7.6678063128194358</v>
      </c>
      <c r="AG7" s="4">
        <f>IF(Graphs!$B$10="Yes",N7,$Y$127)</f>
        <v>20.220162094206014</v>
      </c>
      <c r="AH7" s="27">
        <f>IF(Graphs!$B$10="Yes",O7,$Y$127)</f>
        <v>3.2147819021309489</v>
      </c>
    </row>
    <row r="8" spans="1:34" x14ac:dyDescent="0.25">
      <c r="A8" s="3">
        <v>2</v>
      </c>
      <c r="B8" s="3" t="s">
        <v>29</v>
      </c>
      <c r="C8" s="3">
        <v>2349.3181433392606</v>
      </c>
      <c r="D8" s="3" t="str">
        <f t="shared" si="3"/>
        <v>No</v>
      </c>
      <c r="E8" s="4">
        <v>0.52</v>
      </c>
      <c r="F8" s="3">
        <f t="shared" si="4"/>
        <v>1770</v>
      </c>
      <c r="G8" s="4">
        <f>((2*C8*'String Lengths'!E8)^2)*F8/1000000000000</f>
        <v>352.66643981079579</v>
      </c>
      <c r="H8" s="4">
        <f t="shared" si="0"/>
        <v>74.896358441862986</v>
      </c>
      <c r="I8" s="4">
        <f>PI()*(E8^2)*F8*'String Lengths'!E8*C8/2000000000</f>
        <v>0.16778968882436587</v>
      </c>
      <c r="J8" s="4">
        <f>4*H8/'String Lengths'!E8</f>
        <v>3.1535308817626522</v>
      </c>
      <c r="K8" s="4">
        <f t="shared" si="5"/>
        <v>17.71016101674282</v>
      </c>
      <c r="L8" s="4">
        <f>K8*(PI()^3)*(E8^4)/(0.128*H8*('String Lengths'!E8^2)*$L$127)</f>
        <v>3.5842837056373802</v>
      </c>
      <c r="M8" s="4">
        <f>0.008*('String Lengths'!E8^2)*C8*SQRT('Misc ref'!$B$9*F8/(K8*1000000000))/(PI()*E8)</f>
        <v>7.5305100379775833</v>
      </c>
      <c r="N8" s="4">
        <f t="shared" si="1"/>
        <v>17.691563860819162</v>
      </c>
      <c r="O8" s="4">
        <f t="shared" si="2"/>
        <v>3.7611363539005915</v>
      </c>
      <c r="W8" s="36">
        <f>IF(OR(Graphs!$B$10="Yes",Graphs!$B$11="Yes",Graphs!$B$12="Yes"),G8,$Y$127)</f>
        <v>352.66643981079579</v>
      </c>
      <c r="Y8" s="26">
        <f>IF(Graphs!$B$10="Yes",E8,$Y$127)</f>
        <v>0.52</v>
      </c>
      <c r="Z8" s="4">
        <f>IF(Graphs!$B$10="Yes",F8,$Y$127)</f>
        <v>1770</v>
      </c>
      <c r="AA8" s="4">
        <f>IF(Graphs!$B$10="Yes",H8,$Y$127)</f>
        <v>74.896358441862986</v>
      </c>
      <c r="AB8" s="4">
        <f>IF(Graphs!$B$10="Yes",I8,$Y$127)</f>
        <v>0.16778968882436587</v>
      </c>
      <c r="AC8" s="4">
        <f>IF(Graphs!$B$10="Yes",J8,$Y$127)</f>
        <v>3.1535308817626522</v>
      </c>
      <c r="AD8" s="4">
        <f>IF(Graphs!$B$10="Yes",K8,$Y$127)</f>
        <v>17.71016101674282</v>
      </c>
      <c r="AE8" s="4">
        <f>IF(Graphs!$B$10="Yes",L8,$Y$127)</f>
        <v>3.5842837056373802</v>
      </c>
      <c r="AF8" s="4">
        <f>IF(Graphs!$B$10="Yes",M8,$Y$127)</f>
        <v>7.5305100379775833</v>
      </c>
      <c r="AG8" s="4">
        <f>IF(Graphs!$B$10="Yes",N8,$Y$127)</f>
        <v>17.691563860819162</v>
      </c>
      <c r="AH8" s="27">
        <f>IF(Graphs!$B$10="Yes",O8,$Y$127)</f>
        <v>3.7611363539005915</v>
      </c>
    </row>
    <row r="9" spans="1:34" x14ac:dyDescent="0.25">
      <c r="A9" s="3">
        <v>3</v>
      </c>
      <c r="B9" s="3" t="s">
        <v>30</v>
      </c>
      <c r="C9" s="3">
        <v>2093.0045224047894</v>
      </c>
      <c r="D9" s="3" t="str">
        <f t="shared" si="3"/>
        <v>No</v>
      </c>
      <c r="E9" s="4">
        <v>0.55000000000000004</v>
      </c>
      <c r="F9" s="3">
        <f t="shared" si="4"/>
        <v>1770</v>
      </c>
      <c r="G9" s="4">
        <f>((2*C9*'String Lengths'!E9)^2)*F9/1000000000000</f>
        <v>329.0395030317473</v>
      </c>
      <c r="H9" s="4">
        <f t="shared" si="0"/>
        <v>78.174173963318907</v>
      </c>
      <c r="I9" s="4">
        <f>PI()*(E9^2)*F9*'String Lengths'!E9*C9/2000000000</f>
        <v>0.18131173502640974</v>
      </c>
      <c r="J9" s="4">
        <f>4*H9/'String Lengths'!E9</f>
        <v>3.0358902510026762</v>
      </c>
      <c r="K9" s="4">
        <f t="shared" si="5"/>
        <v>16.741230971555591</v>
      </c>
      <c r="L9" s="4">
        <f>K9*(PI()^3)*(E9^4)/(0.128*H9*('String Lengths'!E9^2)*$L$127)</f>
        <v>3.4560085032900565</v>
      </c>
      <c r="M9" s="4">
        <f>0.008*('String Lengths'!E9^2)*C9*SQRT('Misc ref'!$B$9*F9/(K9*1000000000))/(PI()*E9)</f>
        <v>7.6689901425117339</v>
      </c>
      <c r="N9" s="4">
        <f t="shared" si="1"/>
        <v>16.051231050554811</v>
      </c>
      <c r="O9" s="4">
        <f t="shared" si="2"/>
        <v>3.977430947566853</v>
      </c>
      <c r="W9" s="36">
        <f>IF(OR(Graphs!$B$10="Yes",Graphs!$B$11="Yes",Graphs!$B$12="Yes"),G9,$Y$127)</f>
        <v>329.0395030317473</v>
      </c>
      <c r="Y9" s="26">
        <f>IF(Graphs!$B$10="Yes",E9,$Y$127)</f>
        <v>0.55000000000000004</v>
      </c>
      <c r="Z9" s="4">
        <f>IF(Graphs!$B$10="Yes",F9,$Y$127)</f>
        <v>1770</v>
      </c>
      <c r="AA9" s="4">
        <f>IF(Graphs!$B$10="Yes",H9,$Y$127)</f>
        <v>78.174173963318907</v>
      </c>
      <c r="AB9" s="4">
        <f>IF(Graphs!$B$10="Yes",I9,$Y$127)</f>
        <v>0.18131173502640974</v>
      </c>
      <c r="AC9" s="4">
        <f>IF(Graphs!$B$10="Yes",J9,$Y$127)</f>
        <v>3.0358902510026762</v>
      </c>
      <c r="AD9" s="4">
        <f>IF(Graphs!$B$10="Yes",K9,$Y$127)</f>
        <v>16.741230971555591</v>
      </c>
      <c r="AE9" s="4">
        <f>IF(Graphs!$B$10="Yes",L9,$Y$127)</f>
        <v>3.4560085032900565</v>
      </c>
      <c r="AF9" s="4">
        <f>IF(Graphs!$B$10="Yes",M9,$Y$127)</f>
        <v>7.6689901425117339</v>
      </c>
      <c r="AG9" s="4">
        <f>IF(Graphs!$B$10="Yes",N9,$Y$127)</f>
        <v>16.051231050554811</v>
      </c>
      <c r="AH9" s="27">
        <f>IF(Graphs!$B$10="Yes",O9,$Y$127)</f>
        <v>3.977430947566853</v>
      </c>
    </row>
    <row r="10" spans="1:34" x14ac:dyDescent="0.25">
      <c r="A10" s="3">
        <v>4</v>
      </c>
      <c r="B10" s="3" t="s">
        <v>31</v>
      </c>
      <c r="C10" s="3">
        <v>1975.5332050244965</v>
      </c>
      <c r="D10" s="3" t="str">
        <f t="shared" si="3"/>
        <v>No</v>
      </c>
      <c r="E10" s="4">
        <v>0.55000000000000004</v>
      </c>
      <c r="F10" s="3">
        <f t="shared" si="4"/>
        <v>1770</v>
      </c>
      <c r="G10" s="4">
        <f>((2*C10*'String Lengths'!E10)^2)*F10/1000000000000</f>
        <v>352.82456289768163</v>
      </c>
      <c r="H10" s="4">
        <f t="shared" si="0"/>
        <v>83.825098519657374</v>
      </c>
      <c r="I10" s="4">
        <f>PI()*(E10^2)*F10*'String Lengths'!E10*C10/2000000000</f>
        <v>0.18775058532569996</v>
      </c>
      <c r="J10" s="4">
        <f>4*H10/'String Lengths'!E10</f>
        <v>2.9672601245896417</v>
      </c>
      <c r="K10" s="4">
        <f t="shared" si="5"/>
        <v>17.716645573380617</v>
      </c>
      <c r="L10" s="4">
        <f>K10*(PI()^3)*(E10^4)/(0.128*H10*('String Lengths'!E10^2)*$L$127)</f>
        <v>2.8338424529852819</v>
      </c>
      <c r="M10" s="4">
        <f>0.008*('String Lengths'!E10^2)*C10*SQRT('Misc ref'!$B$9*F10/(K10*1000000000))/(PI()*E10)</f>
        <v>8.4691091422103515</v>
      </c>
      <c r="N10" s="4">
        <f t="shared" si="1"/>
        <v>16.73100632741308</v>
      </c>
      <c r="O10" s="4">
        <f t="shared" si="2"/>
        <v>4.2091728207062431</v>
      </c>
      <c r="W10" s="36">
        <f>IF(OR(Graphs!$B$10="Yes",Graphs!$B$11="Yes",Graphs!$B$12="Yes"),G10,$Y$127)</f>
        <v>352.82456289768163</v>
      </c>
      <c r="Y10" s="26">
        <f>IF(Graphs!$B$10="Yes",E10,$Y$127)</f>
        <v>0.55000000000000004</v>
      </c>
      <c r="Z10" s="4">
        <f>IF(Graphs!$B$10="Yes",F10,$Y$127)</f>
        <v>1770</v>
      </c>
      <c r="AA10" s="4">
        <f>IF(Graphs!$B$10="Yes",H10,$Y$127)</f>
        <v>83.825098519657374</v>
      </c>
      <c r="AB10" s="4">
        <f>IF(Graphs!$B$10="Yes",I10,$Y$127)</f>
        <v>0.18775058532569996</v>
      </c>
      <c r="AC10" s="4">
        <f>IF(Graphs!$B$10="Yes",J10,$Y$127)</f>
        <v>2.9672601245896417</v>
      </c>
      <c r="AD10" s="4">
        <f>IF(Graphs!$B$10="Yes",K10,$Y$127)</f>
        <v>17.716645573380617</v>
      </c>
      <c r="AE10" s="4">
        <f>IF(Graphs!$B$10="Yes",L10,$Y$127)</f>
        <v>2.8338424529852819</v>
      </c>
      <c r="AF10" s="4">
        <f>IF(Graphs!$B$10="Yes",M10,$Y$127)</f>
        <v>8.4691091422103515</v>
      </c>
      <c r="AG10" s="4">
        <f>IF(Graphs!$B$10="Yes",N10,$Y$127)</f>
        <v>16.73100632741308</v>
      </c>
      <c r="AH10" s="27">
        <f>IF(Graphs!$B$10="Yes",O10,$Y$127)</f>
        <v>4.2091728207062431</v>
      </c>
    </row>
    <row r="11" spans="1:34" x14ac:dyDescent="0.25">
      <c r="A11" s="3">
        <v>5</v>
      </c>
      <c r="B11" s="3" t="s">
        <v>32</v>
      </c>
      <c r="C11" s="3">
        <v>1760</v>
      </c>
      <c r="D11" s="3" t="str">
        <f t="shared" si="3"/>
        <v>No</v>
      </c>
      <c r="E11" s="4">
        <v>0.56999999999999995</v>
      </c>
      <c r="F11" s="3">
        <f t="shared" si="4"/>
        <v>1770</v>
      </c>
      <c r="G11" s="4">
        <f>((2*C11*'String Lengths'!E11)^2)*F11/1000000000000</f>
        <v>326.421123072</v>
      </c>
      <c r="H11" s="4">
        <f t="shared" si="0"/>
        <v>83.294791875280893</v>
      </c>
      <c r="I11" s="4">
        <f>PI()*(E11^2)*F11*'String Lengths'!E11*C11/2000000000</f>
        <v>0.19396141923267723</v>
      </c>
      <c r="J11" s="4">
        <f>4*H11/'String Lengths'!E11</f>
        <v>2.7309767827960947</v>
      </c>
      <c r="K11" s="4">
        <f t="shared" si="5"/>
        <v>16.633852387677337</v>
      </c>
      <c r="L11" s="4">
        <f>K11*(PI()^3)*(E11^4)/(0.128*H11*('String Lengths'!E11^2)*$L$127)</f>
        <v>2.6498980379890531</v>
      </c>
      <c r="M11" s="4">
        <f>0.008*('String Lengths'!E11^2)*C11*SQRT('Misc ref'!$B$9*F11/(K11*1000000000))/(PI()*E11)</f>
        <v>8.7581221680474872</v>
      </c>
      <c r="N11" s="4">
        <f t="shared" si="1"/>
        <v>15.414295015763576</v>
      </c>
      <c r="O11" s="4">
        <f t="shared" si="2"/>
        <v>4.2445576428279121</v>
      </c>
      <c r="W11" s="36">
        <f>IF(OR(Graphs!$B$10="Yes",Graphs!$B$11="Yes",Graphs!$B$12="Yes"),G11,$Y$127)</f>
        <v>326.421123072</v>
      </c>
      <c r="Y11" s="26">
        <f>IF(Graphs!$B$10="Yes",E11,$Y$127)</f>
        <v>0.56999999999999995</v>
      </c>
      <c r="Z11" s="4">
        <f>IF(Graphs!$B$10="Yes",F11,$Y$127)</f>
        <v>1770</v>
      </c>
      <c r="AA11" s="4">
        <f>IF(Graphs!$B$10="Yes",H11,$Y$127)</f>
        <v>83.294791875280893</v>
      </c>
      <c r="AB11" s="4">
        <f>IF(Graphs!$B$10="Yes",I11,$Y$127)</f>
        <v>0.19396141923267723</v>
      </c>
      <c r="AC11" s="4">
        <f>IF(Graphs!$B$10="Yes",J11,$Y$127)</f>
        <v>2.7309767827960947</v>
      </c>
      <c r="AD11" s="4">
        <f>IF(Graphs!$B$10="Yes",K11,$Y$127)</f>
        <v>16.633852387677337</v>
      </c>
      <c r="AE11" s="4">
        <f>IF(Graphs!$B$10="Yes",L11,$Y$127)</f>
        <v>2.6498980379890531</v>
      </c>
      <c r="AF11" s="4">
        <f>IF(Graphs!$B$10="Yes",M11,$Y$127)</f>
        <v>8.7581221680474872</v>
      </c>
      <c r="AG11" s="4">
        <f>IF(Graphs!$B$10="Yes",N11,$Y$127)</f>
        <v>15.414295015763576</v>
      </c>
      <c r="AH11" s="27">
        <f>IF(Graphs!$B$10="Yes",O11,$Y$127)</f>
        <v>4.2445576428279121</v>
      </c>
    </row>
    <row r="12" spans="1:34" x14ac:dyDescent="0.25">
      <c r="A12" s="3">
        <v>6</v>
      </c>
      <c r="B12" s="3" t="s">
        <v>33</v>
      </c>
      <c r="C12" s="3">
        <v>1567.9817439269971</v>
      </c>
      <c r="D12" s="3" t="str">
        <f t="shared" si="3"/>
        <v>No</v>
      </c>
      <c r="E12" s="4">
        <v>0.62</v>
      </c>
      <c r="F12" s="3">
        <f t="shared" si="4"/>
        <v>1770</v>
      </c>
      <c r="G12" s="4">
        <f>((2*C12*'String Lengths'!E12)^2)*F12/1000000000000</f>
        <v>307.90627757538385</v>
      </c>
      <c r="H12" s="4">
        <f t="shared" si="0"/>
        <v>92.959077173963038</v>
      </c>
      <c r="I12" s="4">
        <f>PI()*(E12^2)*F12*'String Lengths'!E12*C12/2000000000</f>
        <v>0.22287900754792309</v>
      </c>
      <c r="J12" s="4">
        <f>4*H12/'String Lengths'!E12</f>
        <v>2.7957617195176852</v>
      </c>
      <c r="K12" s="4">
        <f t="shared" si="5"/>
        <v>15.874566905541583</v>
      </c>
      <c r="L12" s="4">
        <f>K12*(PI()^3)*(E12^4)/(0.128*H12*('String Lengths'!E12^2)*$L$127)</f>
        <v>2.6689962549957325</v>
      </c>
      <c r="M12" s="4">
        <f>0.008*('String Lengths'!E12^2)*C12*SQRT('Misc ref'!$B$9*F12/(K12*1000000000))/(PI()*E12)</f>
        <v>8.7267311888642229</v>
      </c>
      <c r="N12" s="4">
        <f t="shared" si="1"/>
        <v>13.68335518829744</v>
      </c>
      <c r="O12" s="4">
        <f t="shared" si="2"/>
        <v>4.7926437281363699</v>
      </c>
      <c r="W12" s="36">
        <f>IF(OR(Graphs!$B$10="Yes",Graphs!$B$11="Yes",Graphs!$B$12="Yes"),G12,$Y$127)</f>
        <v>307.90627757538385</v>
      </c>
      <c r="Y12" s="26">
        <f>IF(Graphs!$B$10="Yes",E12,$Y$127)</f>
        <v>0.62</v>
      </c>
      <c r="Z12" s="4">
        <f>IF(Graphs!$B$10="Yes",F12,$Y$127)</f>
        <v>1770</v>
      </c>
      <c r="AA12" s="4">
        <f>IF(Graphs!$B$10="Yes",H12,$Y$127)</f>
        <v>92.959077173963038</v>
      </c>
      <c r="AB12" s="4">
        <f>IF(Graphs!$B$10="Yes",I12,$Y$127)</f>
        <v>0.22287900754792309</v>
      </c>
      <c r="AC12" s="4">
        <f>IF(Graphs!$B$10="Yes",J12,$Y$127)</f>
        <v>2.7957617195176852</v>
      </c>
      <c r="AD12" s="4">
        <f>IF(Graphs!$B$10="Yes",K12,$Y$127)</f>
        <v>15.874566905541583</v>
      </c>
      <c r="AE12" s="4">
        <f>IF(Graphs!$B$10="Yes",L12,$Y$127)</f>
        <v>2.6689962549957325</v>
      </c>
      <c r="AF12" s="4">
        <f>IF(Graphs!$B$10="Yes",M12,$Y$127)</f>
        <v>8.7267311888642229</v>
      </c>
      <c r="AG12" s="4">
        <f>IF(Graphs!$B$10="Yes",N12,$Y$127)</f>
        <v>13.68335518829744</v>
      </c>
      <c r="AH12" s="27">
        <f>IF(Graphs!$B$10="Yes",O12,$Y$127)</f>
        <v>4.7926437281363699</v>
      </c>
    </row>
    <row r="13" spans="1:34" x14ac:dyDescent="0.25">
      <c r="A13" s="2">
        <v>7</v>
      </c>
      <c r="B13" s="2" t="s">
        <v>34</v>
      </c>
      <c r="C13" s="2">
        <v>1396.9129257320155</v>
      </c>
      <c r="D13" s="2" t="str">
        <f t="shared" si="3"/>
        <v>No</v>
      </c>
      <c r="E13" s="15">
        <v>0.62</v>
      </c>
      <c r="F13" s="2">
        <f t="shared" si="4"/>
        <v>1770</v>
      </c>
      <c r="G13" s="15">
        <f>((2*C13*'String Lengths'!E13)^2)*F13/1000000000000</f>
        <v>286.48171885998619</v>
      </c>
      <c r="H13" s="15">
        <f t="shared" si="0"/>
        <v>86.490851768733506</v>
      </c>
      <c r="I13" s="15">
        <f>PI()*(E13^2)*F13*'String Lengths'!E13*C13/2000000000</f>
        <v>0.21498509463140106</v>
      </c>
      <c r="J13" s="15">
        <f>4*H13/'String Lengths'!E13</f>
        <v>2.4025236602425974</v>
      </c>
      <c r="K13" s="15">
        <f t="shared" si="5"/>
        <v>14.995955393674548</v>
      </c>
      <c r="L13" s="15">
        <f>K13*(PI()^3)*(E13^4)/(0.128*H13*('String Lengths'!E13^2)*$L$127)</f>
        <v>2.311639709088642</v>
      </c>
      <c r="M13" s="15">
        <f>0.008*('String Lengths'!E13^2)*C13*SQRT('Misc ref'!$B$9*F13/(K13*1000000000))/(PI()*E13)</f>
        <v>9.3770343660025581</v>
      </c>
      <c r="N13" s="15">
        <f t="shared" si="1"/>
        <v>13.09890051090229</v>
      </c>
      <c r="O13" s="15">
        <f t="shared" si="2"/>
        <v>4.5273847149693394</v>
      </c>
      <c r="W13" s="36">
        <f>IF(OR(Graphs!$B$10="Yes",Graphs!$B$11="Yes",Graphs!$B$12="Yes"),G13,$Y$127)</f>
        <v>286.48171885998619</v>
      </c>
      <c r="Y13" s="26">
        <f>IF(Graphs!$B$10="Yes",E13,$Y$127)</f>
        <v>0.62</v>
      </c>
      <c r="Z13" s="4">
        <f>IF(Graphs!$B$10="Yes",F13,$Y$127)</f>
        <v>1770</v>
      </c>
      <c r="AA13" s="4">
        <f>IF(Graphs!$B$10="Yes",H13,$Y$127)</f>
        <v>86.490851768733506</v>
      </c>
      <c r="AB13" s="4">
        <f>IF(Graphs!$B$10="Yes",I13,$Y$127)</f>
        <v>0.21498509463140106</v>
      </c>
      <c r="AC13" s="4">
        <f>IF(Graphs!$B$10="Yes",J13,$Y$127)</f>
        <v>2.4025236602425974</v>
      </c>
      <c r="AD13" s="4">
        <f>IF(Graphs!$B$10="Yes",K13,$Y$127)</f>
        <v>14.995955393674548</v>
      </c>
      <c r="AE13" s="4">
        <f>IF(Graphs!$B$10="Yes",L13,$Y$127)</f>
        <v>2.311639709088642</v>
      </c>
      <c r="AF13" s="4">
        <f>IF(Graphs!$B$10="Yes",M13,$Y$127)</f>
        <v>9.3770343660025581</v>
      </c>
      <c r="AG13" s="4">
        <f>IF(Graphs!$B$10="Yes",N13,$Y$127)</f>
        <v>13.09890051090229</v>
      </c>
      <c r="AH13" s="27">
        <f>IF(Graphs!$B$10="Yes",O13,$Y$127)</f>
        <v>4.5273847149693394</v>
      </c>
    </row>
    <row r="14" spans="1:34" x14ac:dyDescent="0.25">
      <c r="A14" s="3">
        <v>8</v>
      </c>
      <c r="B14" s="3" t="s">
        <v>35</v>
      </c>
      <c r="C14" s="3">
        <v>1318.5102276514797</v>
      </c>
      <c r="D14" s="3" t="str">
        <f t="shared" si="3"/>
        <v>No</v>
      </c>
      <c r="E14" s="4">
        <v>0.66</v>
      </c>
      <c r="F14" s="3">
        <f t="shared" si="4"/>
        <v>1770</v>
      </c>
      <c r="G14" s="4">
        <f>((2*C14*'String Lengths'!E14)^2)*F14/1000000000000</f>
        <v>291.90511510314485</v>
      </c>
      <c r="H14" s="4">
        <f t="shared" si="0"/>
        <v>99.866414505196872</v>
      </c>
      <c r="I14" s="4">
        <f>PI()*(E14^2)*F14*'String Lengths'!E14*C14/2000000000</f>
        <v>0.24591512355113862</v>
      </c>
      <c r="J14" s="4">
        <f>4*H14/'String Lengths'!E14</f>
        <v>2.593932844290828</v>
      </c>
      <c r="K14" s="4">
        <f t="shared" si="5"/>
        <v>15.218366433078174</v>
      </c>
      <c r="L14" s="4">
        <f>K14*(PI()^3)*(E14^4)/(0.128*H14*('String Lengths'!E14^2)*$L$127)</f>
        <v>2.2811680816063045</v>
      </c>
      <c r="M14" s="4">
        <f>0.008*('String Lengths'!E14^2)*C14*SQRT('Misc ref'!$B$9*F14/(K14*1000000000))/(PI()*E14)</f>
        <v>9.4394553731325868</v>
      </c>
      <c r="N14" s="4">
        <f t="shared" si="1"/>
        <v>12.44601845293503</v>
      </c>
      <c r="O14" s="4">
        <f t="shared" si="2"/>
        <v>5.2064990014331736</v>
      </c>
      <c r="W14" s="36">
        <f>IF(OR(Graphs!$B$10="Yes",Graphs!$B$11="Yes",Graphs!$B$12="Yes"),G14,$Y$127)</f>
        <v>291.90511510314485</v>
      </c>
      <c r="Y14" s="26">
        <f>IF(Graphs!$B$10="Yes",E14,$Y$127)</f>
        <v>0.66</v>
      </c>
      <c r="Z14" s="4">
        <f>IF(Graphs!$B$10="Yes",F14,$Y$127)</f>
        <v>1770</v>
      </c>
      <c r="AA14" s="4">
        <f>IF(Graphs!$B$10="Yes",H14,$Y$127)</f>
        <v>99.866414505196872</v>
      </c>
      <c r="AB14" s="4">
        <f>IF(Graphs!$B$10="Yes",I14,$Y$127)</f>
        <v>0.24591512355113862</v>
      </c>
      <c r="AC14" s="4">
        <f>IF(Graphs!$B$10="Yes",J14,$Y$127)</f>
        <v>2.593932844290828</v>
      </c>
      <c r="AD14" s="4">
        <f>IF(Graphs!$B$10="Yes",K14,$Y$127)</f>
        <v>15.218366433078174</v>
      </c>
      <c r="AE14" s="4">
        <f>IF(Graphs!$B$10="Yes",L14,$Y$127)</f>
        <v>2.2811680816063045</v>
      </c>
      <c r="AF14" s="4">
        <f>IF(Graphs!$B$10="Yes",M14,$Y$127)</f>
        <v>9.4394553731325868</v>
      </c>
      <c r="AG14" s="4">
        <f>IF(Graphs!$B$10="Yes",N14,$Y$127)</f>
        <v>12.44601845293503</v>
      </c>
      <c r="AH14" s="27">
        <f>IF(Graphs!$B$10="Yes",O14,$Y$127)</f>
        <v>5.2064990014331736</v>
      </c>
    </row>
    <row r="15" spans="1:34" x14ac:dyDescent="0.25">
      <c r="A15" s="3">
        <v>9</v>
      </c>
      <c r="B15" s="3" t="s">
        <v>36</v>
      </c>
      <c r="C15" s="3">
        <v>1174.6590716696303</v>
      </c>
      <c r="D15" s="3" t="str">
        <f t="shared" si="3"/>
        <v>No</v>
      </c>
      <c r="E15" s="4">
        <v>0.69</v>
      </c>
      <c r="F15" s="3">
        <f t="shared" si="4"/>
        <v>1770</v>
      </c>
      <c r="G15" s="4">
        <f>((2*C15*'String Lengths'!E15)^2)*F15/1000000000000</f>
        <v>279.01679189573798</v>
      </c>
      <c r="H15" s="4">
        <f t="shared" si="0"/>
        <v>104.33220926168445</v>
      </c>
      <c r="I15" s="4">
        <f>PI()*(E15^2)*F15*'String Lengths'!E15*C15/2000000000</f>
        <v>0.26277852253052814</v>
      </c>
      <c r="J15" s="4">
        <f>4*H15/'String Lengths'!E15</f>
        <v>2.469401402643419</v>
      </c>
      <c r="K15" s="4">
        <f t="shared" si="5"/>
        <v>14.689822098087861</v>
      </c>
      <c r="L15" s="4">
        <f>K15*(PI()^3)*(E15^4)/(0.128*H15*('String Lengths'!E15^2)*$L$127)</f>
        <v>2.0907181656382066</v>
      </c>
      <c r="M15" s="4">
        <f>0.008*('String Lengths'!E15^2)*C15*SQRT('Misc ref'!$B$9*F15/(K15*1000000000))/(PI()*E15)</f>
        <v>9.8600208741569322</v>
      </c>
      <c r="N15" s="4">
        <f t="shared" si="1"/>
        <v>11.582162966680359</v>
      </c>
      <c r="O15" s="4">
        <f t="shared" si="2"/>
        <v>5.4929367610510109</v>
      </c>
      <c r="W15" s="36">
        <f>IF(OR(Graphs!$B$10="Yes",Graphs!$B$11="Yes",Graphs!$B$12="Yes"),G15,$Y$127)</f>
        <v>279.01679189573798</v>
      </c>
      <c r="Y15" s="26">
        <f>IF(Graphs!$B$10="Yes",E15,$Y$127)</f>
        <v>0.69</v>
      </c>
      <c r="Z15" s="4">
        <f>IF(Graphs!$B$10="Yes",F15,$Y$127)</f>
        <v>1770</v>
      </c>
      <c r="AA15" s="4">
        <f>IF(Graphs!$B$10="Yes",H15,$Y$127)</f>
        <v>104.33220926168445</v>
      </c>
      <c r="AB15" s="4">
        <f>IF(Graphs!$B$10="Yes",I15,$Y$127)</f>
        <v>0.26277852253052814</v>
      </c>
      <c r="AC15" s="4">
        <f>IF(Graphs!$B$10="Yes",J15,$Y$127)</f>
        <v>2.469401402643419</v>
      </c>
      <c r="AD15" s="4">
        <f>IF(Graphs!$B$10="Yes",K15,$Y$127)</f>
        <v>14.689822098087861</v>
      </c>
      <c r="AE15" s="4">
        <f>IF(Graphs!$B$10="Yes",L15,$Y$127)</f>
        <v>2.0907181656382066</v>
      </c>
      <c r="AF15" s="4">
        <f>IF(Graphs!$B$10="Yes",M15,$Y$127)</f>
        <v>9.8600208741569322</v>
      </c>
      <c r="AG15" s="4">
        <f>IF(Graphs!$B$10="Yes",N15,$Y$127)</f>
        <v>11.582162966680359</v>
      </c>
      <c r="AH15" s="27">
        <f>IF(Graphs!$B$10="Yes",O15,$Y$127)</f>
        <v>5.4929367610510109</v>
      </c>
    </row>
    <row r="16" spans="1:34" x14ac:dyDescent="0.25">
      <c r="A16" s="3">
        <v>10</v>
      </c>
      <c r="B16" s="3" t="s">
        <v>37</v>
      </c>
      <c r="C16" s="3">
        <v>1046.5022612023947</v>
      </c>
      <c r="D16" s="3" t="str">
        <f t="shared" si="3"/>
        <v>No</v>
      </c>
      <c r="E16" s="4">
        <v>0.74</v>
      </c>
      <c r="F16" s="3">
        <f t="shared" si="4"/>
        <v>1770</v>
      </c>
      <c r="G16" s="4">
        <f>((2*C16*'String Lengths'!E16)^2)*F16/1000000000000</f>
        <v>256.83628283588462</v>
      </c>
      <c r="H16" s="4">
        <f t="shared" si="0"/>
        <v>110.46118467062273</v>
      </c>
      <c r="I16" s="4">
        <f>PI()*(E16^2)*F16*'String Lengths'!E16*C16/2000000000</f>
        <v>0.28998006435503615</v>
      </c>
      <c r="J16" s="4">
        <f>4*H16/'String Lengths'!E16</f>
        <v>2.4277183444092909</v>
      </c>
      <c r="K16" s="4">
        <f t="shared" si="5"/>
        <v>13.780209402772352</v>
      </c>
      <c r="L16" s="4">
        <f>K16*(PI()^3)*(E16^4)/(0.128*H16*('String Lengths'!E16^2)*$L$127)</f>
        <v>2.1130249735495341</v>
      </c>
      <c r="M16" s="4">
        <f>0.008*('String Lengths'!E16^2)*C16*SQRT('Misc ref'!$B$9*F16/(K16*1000000000))/(PI()*E16)</f>
        <v>9.807837591928239</v>
      </c>
      <c r="N16" s="4">
        <f t="shared" si="1"/>
        <v>10.263924217458753</v>
      </c>
      <c r="O16" s="4">
        <f t="shared" si="2"/>
        <v>5.9266480531185017</v>
      </c>
      <c r="W16" s="36">
        <f>IF(OR(Graphs!$B$10="Yes",Graphs!$B$11="Yes",Graphs!$B$12="Yes"),G16,$Y$127)</f>
        <v>256.83628283588462</v>
      </c>
      <c r="Y16" s="26">
        <f>IF(Graphs!$B$10="Yes",E16,$Y$127)</f>
        <v>0.74</v>
      </c>
      <c r="Z16" s="4">
        <f>IF(Graphs!$B$10="Yes",F16,$Y$127)</f>
        <v>1770</v>
      </c>
      <c r="AA16" s="4">
        <f>IF(Graphs!$B$10="Yes",H16,$Y$127)</f>
        <v>110.46118467062273</v>
      </c>
      <c r="AB16" s="4">
        <f>IF(Graphs!$B$10="Yes",I16,$Y$127)</f>
        <v>0.28998006435503615</v>
      </c>
      <c r="AC16" s="4">
        <f>IF(Graphs!$B$10="Yes",J16,$Y$127)</f>
        <v>2.4277183444092909</v>
      </c>
      <c r="AD16" s="4">
        <f>IF(Graphs!$B$10="Yes",K16,$Y$127)</f>
        <v>13.780209402772352</v>
      </c>
      <c r="AE16" s="4">
        <f>IF(Graphs!$B$10="Yes",L16,$Y$127)</f>
        <v>2.1130249735495341</v>
      </c>
      <c r="AF16" s="4">
        <f>IF(Graphs!$B$10="Yes",M16,$Y$127)</f>
        <v>9.807837591928239</v>
      </c>
      <c r="AG16" s="4">
        <f>IF(Graphs!$B$10="Yes",N16,$Y$127)</f>
        <v>10.263924217458753</v>
      </c>
      <c r="AH16" s="27">
        <f>IF(Graphs!$B$10="Yes",O16,$Y$127)</f>
        <v>5.9266480531185017</v>
      </c>
    </row>
    <row r="17" spans="1:34" x14ac:dyDescent="0.25">
      <c r="A17" s="3">
        <v>11</v>
      </c>
      <c r="B17" s="3" t="s">
        <v>38</v>
      </c>
      <c r="C17" s="3">
        <v>987.76660251224826</v>
      </c>
      <c r="D17" s="3" t="str">
        <f t="shared" si="3"/>
        <v>No</v>
      </c>
      <c r="E17" s="4">
        <v>0.77</v>
      </c>
      <c r="F17" s="3">
        <f t="shared" si="4"/>
        <v>1770</v>
      </c>
      <c r="G17" s="4">
        <f>((2*C17*'String Lengths'!E17)^2)*F17/1000000000000</f>
        <v>268.08615517065016</v>
      </c>
      <c r="H17" s="4">
        <f t="shared" si="0"/>
        <v>124.83768828727365</v>
      </c>
      <c r="I17" s="4">
        <f>PI()*(E17^2)*F17*'String Lengths'!E17*C17/2000000000</f>
        <v>0.32077104427415598</v>
      </c>
      <c r="J17" s="4">
        <f>4*H17/'String Lengths'!E17</f>
        <v>2.5347753966959119</v>
      </c>
      <c r="K17" s="4">
        <f t="shared" si="5"/>
        <v>14.241561604778536</v>
      </c>
      <c r="L17" s="4">
        <f>K17*(PI()^3)*(E17^4)/(0.128*H17*('String Lengths'!E17^2)*$L$127)</f>
        <v>1.9333778992091246</v>
      </c>
      <c r="M17" s="4">
        <f>0.008*('String Lengths'!E17^2)*C17*SQRT('Misc ref'!$B$9*F17/(K17*1000000000))/(PI()*E17)</f>
        <v>10.253383607276072</v>
      </c>
      <c r="N17" s="4">
        <f t="shared" si="1"/>
        <v>10.127949890013866</v>
      </c>
      <c r="O17" s="4">
        <f t="shared" si="2"/>
        <v>6.631762193051844</v>
      </c>
      <c r="W17" s="36">
        <f>IF(OR(Graphs!$B$10="Yes",Graphs!$B$11="Yes",Graphs!$B$12="Yes"),G17,$Y$127)</f>
        <v>268.08615517065016</v>
      </c>
      <c r="Y17" s="26">
        <f>IF(Graphs!$B$10="Yes",E17,$Y$127)</f>
        <v>0.77</v>
      </c>
      <c r="Z17" s="4">
        <f>IF(Graphs!$B$10="Yes",F17,$Y$127)</f>
        <v>1770</v>
      </c>
      <c r="AA17" s="4">
        <f>IF(Graphs!$B$10="Yes",H17,$Y$127)</f>
        <v>124.83768828727365</v>
      </c>
      <c r="AB17" s="4">
        <f>IF(Graphs!$B$10="Yes",I17,$Y$127)</f>
        <v>0.32077104427415598</v>
      </c>
      <c r="AC17" s="4">
        <f>IF(Graphs!$B$10="Yes",J17,$Y$127)</f>
        <v>2.5347753966959119</v>
      </c>
      <c r="AD17" s="4">
        <f>IF(Graphs!$B$10="Yes",K17,$Y$127)</f>
        <v>14.241561604778536</v>
      </c>
      <c r="AE17" s="4">
        <f>IF(Graphs!$B$10="Yes",L17,$Y$127)</f>
        <v>1.9333778992091246</v>
      </c>
      <c r="AF17" s="4">
        <f>IF(Graphs!$B$10="Yes",M17,$Y$127)</f>
        <v>10.253383607276072</v>
      </c>
      <c r="AG17" s="4">
        <f>IF(Graphs!$B$10="Yes",N17,$Y$127)</f>
        <v>10.127949890013866</v>
      </c>
      <c r="AH17" s="27">
        <f>IF(Graphs!$B$10="Yes",O17,$Y$127)</f>
        <v>6.631762193051844</v>
      </c>
    </row>
    <row r="18" spans="1:34" x14ac:dyDescent="0.25">
      <c r="A18" s="3">
        <v>12</v>
      </c>
      <c r="B18" s="3" t="s">
        <v>39</v>
      </c>
      <c r="C18" s="3">
        <v>880</v>
      </c>
      <c r="D18" s="3" t="str">
        <f t="shared" si="3"/>
        <v>No</v>
      </c>
      <c r="E18" s="4">
        <v>0.81</v>
      </c>
      <c r="F18" s="3">
        <f t="shared" si="4"/>
        <v>1770</v>
      </c>
      <c r="G18" s="4">
        <f>((2*C18*'String Lengths'!E18)^2)*F18/1000000000000</f>
        <v>248.746975488</v>
      </c>
      <c r="H18" s="4">
        <f t="shared" si="0"/>
        <v>128.17925055227803</v>
      </c>
      <c r="I18" s="4">
        <f>PI()*(E18^2)*F18*'String Lengths'!E18*C18/2000000000</f>
        <v>0.3419207494458974</v>
      </c>
      <c r="J18" s="4">
        <f>4*H18/'String Lengths'!E18</f>
        <v>2.4071220760991179</v>
      </c>
      <c r="K18" s="4">
        <f t="shared" si="5"/>
        <v>13.448470548623911</v>
      </c>
      <c r="L18" s="4">
        <f>K18*(PI()^3)*(E18^4)/(0.128*H18*('String Lengths'!E18^2)*$L$127)</f>
        <v>1.8625607354339619</v>
      </c>
      <c r="M18" s="4">
        <f>0.008*('String Lengths'!E18^2)*C18*SQRT('Misc ref'!$B$9*F18/(K18*1000000000))/(PI()*E18)</f>
        <v>10.446489186205689</v>
      </c>
      <c r="N18" s="4">
        <f t="shared" si="1"/>
        <v>9.1929104838610058</v>
      </c>
      <c r="O18" s="4">
        <f t="shared" si="2"/>
        <v>6.9299933099293352</v>
      </c>
      <c r="W18" s="36">
        <f>IF(OR(Graphs!$B$10="Yes",Graphs!$B$11="Yes",Graphs!$B$12="Yes"),G18,$Y$127)</f>
        <v>248.746975488</v>
      </c>
      <c r="Y18" s="26">
        <f>IF(Graphs!$B$10="Yes",E18,$Y$127)</f>
        <v>0.81</v>
      </c>
      <c r="Z18" s="4">
        <f>IF(Graphs!$B$10="Yes",F18,$Y$127)</f>
        <v>1770</v>
      </c>
      <c r="AA18" s="4">
        <f>IF(Graphs!$B$10="Yes",H18,$Y$127)</f>
        <v>128.17925055227803</v>
      </c>
      <c r="AB18" s="4">
        <f>IF(Graphs!$B$10="Yes",I18,$Y$127)</f>
        <v>0.3419207494458974</v>
      </c>
      <c r="AC18" s="4">
        <f>IF(Graphs!$B$10="Yes",J18,$Y$127)</f>
        <v>2.4071220760991179</v>
      </c>
      <c r="AD18" s="4">
        <f>IF(Graphs!$B$10="Yes",K18,$Y$127)</f>
        <v>13.448470548623911</v>
      </c>
      <c r="AE18" s="4">
        <f>IF(Graphs!$B$10="Yes",L18,$Y$127)</f>
        <v>1.8625607354339619</v>
      </c>
      <c r="AF18" s="4">
        <f>IF(Graphs!$B$10="Yes",M18,$Y$127)</f>
        <v>10.446489186205689</v>
      </c>
      <c r="AG18" s="4">
        <f>IF(Graphs!$B$10="Yes",N18,$Y$127)</f>
        <v>9.1929104838610058</v>
      </c>
      <c r="AH18" s="27">
        <f>IF(Graphs!$B$10="Yes",O18,$Y$127)</f>
        <v>6.9299933099293352</v>
      </c>
    </row>
    <row r="19" spans="1:34" x14ac:dyDescent="0.25">
      <c r="A19" s="3">
        <v>13</v>
      </c>
      <c r="B19" s="3" t="s">
        <v>40</v>
      </c>
      <c r="C19" s="3">
        <v>783.99087196349853</v>
      </c>
      <c r="D19" s="3" t="str">
        <f t="shared" si="3"/>
        <v>No</v>
      </c>
      <c r="E19" s="4">
        <v>0.86</v>
      </c>
      <c r="F19" s="3">
        <f t="shared" si="4"/>
        <v>1770</v>
      </c>
      <c r="G19" s="4">
        <f>((2*C19*'String Lengths'!E19)^2)*F19/1000000000000</f>
        <v>232.2090971465326</v>
      </c>
      <c r="H19" s="4">
        <f t="shared" si="0"/>
        <v>134.88573219369985</v>
      </c>
      <c r="I19" s="4">
        <f>PI()*(E19^2)*F19*'String Lengths'!E19*C19/2000000000</f>
        <v>0.37240288086838325</v>
      </c>
      <c r="J19" s="4">
        <f>4*H19/'String Lengths'!E19</f>
        <v>2.3356836743497809</v>
      </c>
      <c r="K19" s="4">
        <f t="shared" si="5"/>
        <v>12.770259599885586</v>
      </c>
      <c r="L19" s="4">
        <f>K19*(PI()^3)*(E19^4)/(0.128*H19*('String Lengths'!E19^2)*$L$127)</f>
        <v>1.8158416104641597</v>
      </c>
      <c r="M19" s="4">
        <f>0.008*('String Lengths'!E19^2)*C19*SQRT('Misc ref'!$B$9*F19/(K19*1000000000))/(PI()*E19)</f>
        <v>10.580022682913762</v>
      </c>
      <c r="N19" s="4">
        <f t="shared" si="1"/>
        <v>8.2946412085711536</v>
      </c>
      <c r="O19" s="4">
        <f t="shared" si="2"/>
        <v>7.4179945471611468</v>
      </c>
      <c r="W19" s="36">
        <f>IF(OR(Graphs!$B$10="Yes",Graphs!$B$11="Yes",Graphs!$B$12="Yes"),G19,$Y$127)</f>
        <v>232.2090971465326</v>
      </c>
      <c r="Y19" s="26">
        <f>IF(Graphs!$B$10="Yes",E19,$Y$127)</f>
        <v>0.86</v>
      </c>
      <c r="Z19" s="4">
        <f>IF(Graphs!$B$10="Yes",F19,$Y$127)</f>
        <v>1770</v>
      </c>
      <c r="AA19" s="4">
        <f>IF(Graphs!$B$10="Yes",H19,$Y$127)</f>
        <v>134.88573219369985</v>
      </c>
      <c r="AB19" s="4">
        <f>IF(Graphs!$B$10="Yes",I19,$Y$127)</f>
        <v>0.37240288086838325</v>
      </c>
      <c r="AC19" s="4">
        <f>IF(Graphs!$B$10="Yes",J19,$Y$127)</f>
        <v>2.3356836743497809</v>
      </c>
      <c r="AD19" s="4">
        <f>IF(Graphs!$B$10="Yes",K19,$Y$127)</f>
        <v>12.770259599885586</v>
      </c>
      <c r="AE19" s="4">
        <f>IF(Graphs!$B$10="Yes",L19,$Y$127)</f>
        <v>1.8158416104641597</v>
      </c>
      <c r="AF19" s="4">
        <f>IF(Graphs!$B$10="Yes",M19,$Y$127)</f>
        <v>10.580022682913762</v>
      </c>
      <c r="AG19" s="4">
        <f>IF(Graphs!$B$10="Yes",N19,$Y$127)</f>
        <v>8.2946412085711536</v>
      </c>
      <c r="AH19" s="27">
        <f>IF(Graphs!$B$10="Yes",O19,$Y$127)</f>
        <v>7.4179945471611468</v>
      </c>
    </row>
    <row r="20" spans="1:34" x14ac:dyDescent="0.25">
      <c r="A20" s="2">
        <v>14</v>
      </c>
      <c r="B20" s="2" t="s">
        <v>41</v>
      </c>
      <c r="C20" s="2">
        <v>698.45646286600777</v>
      </c>
      <c r="D20" s="2" t="str">
        <f t="shared" si="3"/>
        <v>No</v>
      </c>
      <c r="E20" s="15">
        <v>0.91</v>
      </c>
      <c r="F20" s="2">
        <f t="shared" si="4"/>
        <v>1770</v>
      </c>
      <c r="G20" s="15">
        <f>((2*C20*'String Lengths'!E20)^2)*F20/1000000000000</f>
        <v>215.86983300478803</v>
      </c>
      <c r="H20" s="15">
        <f t="shared" si="0"/>
        <v>140.39919624743348</v>
      </c>
      <c r="I20" s="15">
        <f>PI()*(E20^2)*F20*'String Lengths'!E20*C20/2000000000</f>
        <v>0.40202705168286978</v>
      </c>
      <c r="J20" s="15">
        <f>4*H20/'String Lengths'!E20</f>
        <v>2.2463871399589355</v>
      </c>
      <c r="K20" s="15">
        <f t="shared" si="5"/>
        <v>12.100193730101505</v>
      </c>
      <c r="L20" s="15">
        <f>K20*(PI()^3)*(E20^4)/(0.128*H20*('String Lengths'!E20^2)*$L$127)</f>
        <v>1.7692437109425623</v>
      </c>
      <c r="M20" s="15">
        <f>0.008*('String Lengths'!E20^2)*C20*SQRT('Misc ref'!$B$9*F20/(K20*1000000000))/(PI()*E20)</f>
        <v>10.7184441778194</v>
      </c>
      <c r="N20" s="15">
        <f t="shared" si="1"/>
        <v>7.4863666078664926</v>
      </c>
      <c r="O20" s="15">
        <f t="shared" si="2"/>
        <v>7.8698234509997729</v>
      </c>
      <c r="W20" s="36">
        <f>IF(OR(Graphs!$B$10="Yes",Graphs!$B$11="Yes",Graphs!$B$12="Yes"),G20,$Y$127)</f>
        <v>215.86983300478803</v>
      </c>
      <c r="Y20" s="26">
        <f>IF(Graphs!$B$10="Yes",E20,$Y$127)</f>
        <v>0.91</v>
      </c>
      <c r="Z20" s="4">
        <f>IF(Graphs!$B$10="Yes",F20,$Y$127)</f>
        <v>1770</v>
      </c>
      <c r="AA20" s="4">
        <f>IF(Graphs!$B$10="Yes",H20,$Y$127)</f>
        <v>140.39919624743348</v>
      </c>
      <c r="AB20" s="4">
        <f>IF(Graphs!$B$10="Yes",I20,$Y$127)</f>
        <v>0.40202705168286978</v>
      </c>
      <c r="AC20" s="4">
        <f>IF(Graphs!$B$10="Yes",J20,$Y$127)</f>
        <v>2.2463871399589355</v>
      </c>
      <c r="AD20" s="4">
        <f>IF(Graphs!$B$10="Yes",K20,$Y$127)</f>
        <v>12.100193730101505</v>
      </c>
      <c r="AE20" s="4">
        <f>IF(Graphs!$B$10="Yes",L20,$Y$127)</f>
        <v>1.7692437109425623</v>
      </c>
      <c r="AF20" s="4">
        <f>IF(Graphs!$B$10="Yes",M20,$Y$127)</f>
        <v>10.7184441778194</v>
      </c>
      <c r="AG20" s="4">
        <f>IF(Graphs!$B$10="Yes",N20,$Y$127)</f>
        <v>7.4863666078664926</v>
      </c>
      <c r="AH20" s="27">
        <f>IF(Graphs!$B$10="Yes",O20,$Y$127)</f>
        <v>7.8698234509997729</v>
      </c>
    </row>
    <row r="21" spans="1:34" x14ac:dyDescent="0.25">
      <c r="A21" s="3">
        <v>15</v>
      </c>
      <c r="B21" s="3" t="s">
        <v>42</v>
      </c>
      <c r="C21" s="3">
        <v>659.25511382573984</v>
      </c>
      <c r="D21" s="3" t="str">
        <f t="shared" si="3"/>
        <v>No</v>
      </c>
      <c r="E21" s="4">
        <v>0.91</v>
      </c>
      <c r="F21" s="3">
        <f t="shared" si="4"/>
        <v>1770</v>
      </c>
      <c r="G21" s="4">
        <f>((2*C21*'String Lengths'!E21)^2)*F21/1000000000000</f>
        <v>227.65546504249318</v>
      </c>
      <c r="H21" s="4">
        <f t="shared" si="0"/>
        <v>148.06443247951555</v>
      </c>
      <c r="I21" s="4">
        <f>PI()*(E21^2)*F21*'String Lengths'!E21*C21/2000000000</f>
        <v>0.41285575171023864</v>
      </c>
      <c r="J21" s="4">
        <f>4*H21/'String Lengths'!E21</f>
        <v>2.1774181246987578</v>
      </c>
      <c r="K21" s="4">
        <f t="shared" si="5"/>
        <v>12.583517196433377</v>
      </c>
      <c r="L21" s="4">
        <f>K21*(PI()^3)*(E21^4)/(0.128*H21*('String Lengths'!E21^2)*$L$127)</f>
        <v>1.4738506195023149</v>
      </c>
      <c r="M21" s="4">
        <f>0.008*('String Lengths'!E21^2)*C21*SQRT('Misc ref'!$B$9*F21/(K21*1000000000))/(PI()*E21)</f>
        <v>11.743535002322099</v>
      </c>
      <c r="N21" s="4">
        <f t="shared" si="1"/>
        <v>7.7419855046724164</v>
      </c>
      <c r="O21" s="4">
        <f t="shared" si="2"/>
        <v>8.1841713395211535</v>
      </c>
      <c r="W21" s="36">
        <f>IF(OR(Graphs!$B$10="Yes",Graphs!$B$11="Yes",Graphs!$B$12="Yes"),G21,$Y$127)</f>
        <v>227.65546504249318</v>
      </c>
      <c r="Y21" s="26">
        <f>IF(Graphs!$B$10="Yes",E21,$Y$127)</f>
        <v>0.91</v>
      </c>
      <c r="Z21" s="4">
        <f>IF(Graphs!$B$10="Yes",F21,$Y$127)</f>
        <v>1770</v>
      </c>
      <c r="AA21" s="4">
        <f>IF(Graphs!$B$10="Yes",H21,$Y$127)</f>
        <v>148.06443247951555</v>
      </c>
      <c r="AB21" s="4">
        <f>IF(Graphs!$B$10="Yes",I21,$Y$127)</f>
        <v>0.41285575171023864</v>
      </c>
      <c r="AC21" s="4">
        <f>IF(Graphs!$B$10="Yes",J21,$Y$127)</f>
        <v>2.1774181246987578</v>
      </c>
      <c r="AD21" s="4">
        <f>IF(Graphs!$B$10="Yes",K21,$Y$127)</f>
        <v>12.583517196433377</v>
      </c>
      <c r="AE21" s="4">
        <f>IF(Graphs!$B$10="Yes",L21,$Y$127)</f>
        <v>1.4738506195023149</v>
      </c>
      <c r="AF21" s="4">
        <f>IF(Graphs!$B$10="Yes",M21,$Y$127)</f>
        <v>11.743535002322099</v>
      </c>
      <c r="AG21" s="4">
        <f>IF(Graphs!$B$10="Yes",N21,$Y$127)</f>
        <v>7.7419855046724164</v>
      </c>
      <c r="AH21" s="27">
        <f>IF(Graphs!$B$10="Yes",O21,$Y$127)</f>
        <v>8.1841713395211535</v>
      </c>
    </row>
    <row r="22" spans="1:34" x14ac:dyDescent="0.25">
      <c r="A22" s="3">
        <v>16</v>
      </c>
      <c r="B22" s="3" t="s">
        <v>43</v>
      </c>
      <c r="C22" s="3">
        <v>587.32953583481515</v>
      </c>
      <c r="D22" s="3" t="str">
        <f t="shared" si="3"/>
        <v>No</v>
      </c>
      <c r="E22" s="4">
        <v>0.95</v>
      </c>
      <c r="F22" s="3">
        <f t="shared" si="4"/>
        <v>1770</v>
      </c>
      <c r="G22" s="4">
        <f>((2*C22*'String Lengths'!E22)^2)*F22/1000000000000</f>
        <v>209.66801379028399</v>
      </c>
      <c r="H22" s="4">
        <f t="shared" si="0"/>
        <v>148.6172678410571</v>
      </c>
      <c r="I22" s="4">
        <f>PI()*(E22^2)*F22*'String Lengths'!E22*C22/2000000000</f>
        <v>0.43180713650390379</v>
      </c>
      <c r="J22" s="4">
        <f>4*H22/'String Lengths'!E22</f>
        <v>2.0289046804239876</v>
      </c>
      <c r="K22" s="4">
        <f t="shared" si="5"/>
        <v>11.845859914933341</v>
      </c>
      <c r="L22" s="4">
        <f>K22*(PI()^3)*(E22^4)/(0.128*H22*('String Lengths'!E22^2)*$L$127)</f>
        <v>1.4149168104864764</v>
      </c>
      <c r="M22" s="4">
        <f>0.008*('String Lengths'!E22^2)*C22*SQRT('Misc ref'!$B$9*F22/(K22*1000000000))/(PI()*E22)</f>
        <v>11.98560959804092</v>
      </c>
      <c r="N22" s="4">
        <f t="shared" si="1"/>
        <v>7.0395025219146792</v>
      </c>
      <c r="O22" s="4">
        <f t="shared" si="2"/>
        <v>8.396604250499518</v>
      </c>
      <c r="W22" s="36">
        <f>IF(OR(Graphs!$B$10="Yes",Graphs!$B$11="Yes",Graphs!$B$12="Yes"),G22,$Y$127)</f>
        <v>209.66801379028399</v>
      </c>
      <c r="Y22" s="26">
        <f>IF(Graphs!$B$10="Yes",E22,$Y$127)</f>
        <v>0.95</v>
      </c>
      <c r="Z22" s="4">
        <f>IF(Graphs!$B$10="Yes",F22,$Y$127)</f>
        <v>1770</v>
      </c>
      <c r="AA22" s="4">
        <f>IF(Graphs!$B$10="Yes",H22,$Y$127)</f>
        <v>148.6172678410571</v>
      </c>
      <c r="AB22" s="4">
        <f>IF(Graphs!$B$10="Yes",I22,$Y$127)</f>
        <v>0.43180713650390379</v>
      </c>
      <c r="AC22" s="4">
        <f>IF(Graphs!$B$10="Yes",J22,$Y$127)</f>
        <v>2.0289046804239876</v>
      </c>
      <c r="AD22" s="4">
        <f>IF(Graphs!$B$10="Yes",K22,$Y$127)</f>
        <v>11.845859914933341</v>
      </c>
      <c r="AE22" s="4">
        <f>IF(Graphs!$B$10="Yes",L22,$Y$127)</f>
        <v>1.4149168104864764</v>
      </c>
      <c r="AF22" s="4">
        <f>IF(Graphs!$B$10="Yes",M22,$Y$127)</f>
        <v>11.98560959804092</v>
      </c>
      <c r="AG22" s="4">
        <f>IF(Graphs!$B$10="Yes",N22,$Y$127)</f>
        <v>7.0395025219146792</v>
      </c>
      <c r="AH22" s="27">
        <f>IF(Graphs!$B$10="Yes",O22,$Y$127)</f>
        <v>8.396604250499518</v>
      </c>
    </row>
    <row r="23" spans="1:34" x14ac:dyDescent="0.25">
      <c r="A23" s="3">
        <v>17</v>
      </c>
      <c r="B23" s="3" t="s">
        <v>44</v>
      </c>
      <c r="C23" s="3">
        <v>523.25113060119736</v>
      </c>
      <c r="D23" s="3" t="str">
        <f t="shared" si="3"/>
        <v>Yes</v>
      </c>
      <c r="E23" s="4">
        <v>1.01</v>
      </c>
      <c r="F23" s="3">
        <f t="shared" si="4"/>
        <v>1770</v>
      </c>
      <c r="G23" s="4">
        <f>((2*C23*'String Lengths'!E23)^2)*F23/1000000000000</f>
        <v>192.34226062968426</v>
      </c>
      <c r="H23" s="4">
        <f t="shared" si="0"/>
        <v>154.10166993293691</v>
      </c>
      <c r="I23" s="4">
        <f>PI()*(E23^2)*F23*'String Lengths'!E23*C23/2000000000</f>
        <v>0.46747309462921266</v>
      </c>
      <c r="J23" s="4">
        <f>4*H23/'String Lengths'!E23</f>
        <v>1.9568466023230084</v>
      </c>
      <c r="K23" s="4">
        <f t="shared" si="5"/>
        <v>9.4537620802583628</v>
      </c>
      <c r="L23" s="4">
        <f>K23*(PI()^3)*(E23^4)/(0.128*H23*('String Lengths'!E23^2)*$L$127)</f>
        <v>1.2037494935112771</v>
      </c>
      <c r="M23" s="4">
        <f>0.008*('String Lengths'!E23^2)*C23*SQRT('Misc ref'!$B$9*F23/(K23*1000000000))/(PI()*E23)</f>
        <v>12.994438619361405</v>
      </c>
      <c r="N23" s="4">
        <f t="shared" si="1"/>
        <v>6.7993546991087177</v>
      </c>
      <c r="O23" s="4">
        <f t="shared" si="2"/>
        <v>7.5742092192694885</v>
      </c>
      <c r="W23" s="36">
        <f>IF(OR(Graphs!$B$10="Yes",Graphs!$B$11="Yes",Graphs!$B$12="Yes"),G23,$Y$127)</f>
        <v>192.34226062968426</v>
      </c>
      <c r="Y23" s="26">
        <f>IF(Graphs!$B$10="Yes",E23,$Y$127)</f>
        <v>1.01</v>
      </c>
      <c r="Z23" s="4">
        <f>IF(Graphs!$B$10="Yes",F23,$Y$127)</f>
        <v>1770</v>
      </c>
      <c r="AA23" s="4">
        <f>IF(Graphs!$B$10="Yes",H23,$Y$127)</f>
        <v>154.10166993293691</v>
      </c>
      <c r="AB23" s="4">
        <f>IF(Graphs!$B$10="Yes",I23,$Y$127)</f>
        <v>0.46747309462921266</v>
      </c>
      <c r="AC23" s="4">
        <f>IF(Graphs!$B$10="Yes",J23,$Y$127)</f>
        <v>1.9568466023230084</v>
      </c>
      <c r="AD23" s="4">
        <f>IF(Graphs!$B$10="Yes",K23,$Y$127)</f>
        <v>9.4537620802583628</v>
      </c>
      <c r="AE23" s="4">
        <f>IF(Graphs!$B$10="Yes",L23,$Y$127)</f>
        <v>1.2037494935112771</v>
      </c>
      <c r="AF23" s="4">
        <f>IF(Graphs!$B$10="Yes",M23,$Y$127)</f>
        <v>12.994438619361405</v>
      </c>
      <c r="AG23" s="4">
        <f>IF(Graphs!$B$10="Yes",N23,$Y$127)</f>
        <v>6.7993546991087177</v>
      </c>
      <c r="AH23" s="27">
        <f>IF(Graphs!$B$10="Yes",O23,$Y$127)</f>
        <v>7.5742092192694885</v>
      </c>
    </row>
    <row r="24" spans="1:34" x14ac:dyDescent="0.25">
      <c r="A24" s="3">
        <v>18</v>
      </c>
      <c r="B24" s="3" t="s">
        <v>45</v>
      </c>
      <c r="C24" s="3">
        <v>493.88330125612413</v>
      </c>
      <c r="D24" s="3" t="str">
        <f t="shared" si="3"/>
        <v>Yes</v>
      </c>
      <c r="E24" s="4">
        <v>1.05</v>
      </c>
      <c r="F24" s="3">
        <f t="shared" si="4"/>
        <v>1770</v>
      </c>
      <c r="G24" s="4">
        <f>((2*C24*'String Lengths'!E24)^2)*F24/1000000000000</f>
        <v>200.81248041303803</v>
      </c>
      <c r="H24" s="4">
        <f t="shared" si="0"/>
        <v>173.88382301731394</v>
      </c>
      <c r="I24" s="4">
        <f>PI()*(E24^2)*F24*'String Lengths'!E24*C24/2000000000</f>
        <v>0.51623858648182686</v>
      </c>
      <c r="J24" s="4">
        <f>4*H24/'String Lengths'!E24</f>
        <v>2.0396929386195186</v>
      </c>
      <c r="K24" s="4">
        <f t="shared" si="5"/>
        <v>9.7298220435000662</v>
      </c>
      <c r="L24" s="4">
        <f>K24*(PI()^3)*(E24^4)/(0.128*H24*('String Lengths'!E24^2)*$L$127)</f>
        <v>1.0943810439850308</v>
      </c>
      <c r="M24" s="4">
        <f>0.008*('String Lengths'!E24^2)*C24*SQRT('Misc ref'!$B$9*F24/(K24*1000000000))/(PI()*E24)</f>
        <v>13.628287906776013</v>
      </c>
      <c r="N24" s="4">
        <f t="shared" si="1"/>
        <v>6.7307838218674503</v>
      </c>
      <c r="O24" s="4">
        <f t="shared" si="2"/>
        <v>8.425067260371728</v>
      </c>
      <c r="W24" s="36">
        <f>IF(OR(Graphs!$B$10="Yes",Graphs!$B$11="Yes",Graphs!$B$12="Yes"),G24,$Y$127)</f>
        <v>200.81248041303803</v>
      </c>
      <c r="Y24" s="26">
        <f>IF(Graphs!$B$10="Yes",E24,$Y$127)</f>
        <v>1.05</v>
      </c>
      <c r="Z24" s="4">
        <f>IF(Graphs!$B$10="Yes",F24,$Y$127)</f>
        <v>1770</v>
      </c>
      <c r="AA24" s="4">
        <f>IF(Graphs!$B$10="Yes",H24,$Y$127)</f>
        <v>173.88382301731394</v>
      </c>
      <c r="AB24" s="4">
        <f>IF(Graphs!$B$10="Yes",I24,$Y$127)</f>
        <v>0.51623858648182686</v>
      </c>
      <c r="AC24" s="4">
        <f>IF(Graphs!$B$10="Yes",J24,$Y$127)</f>
        <v>2.0396929386195186</v>
      </c>
      <c r="AD24" s="4">
        <f>IF(Graphs!$B$10="Yes",K24,$Y$127)</f>
        <v>9.7298220435000662</v>
      </c>
      <c r="AE24" s="4">
        <f>IF(Graphs!$B$10="Yes",L24,$Y$127)</f>
        <v>1.0943810439850308</v>
      </c>
      <c r="AF24" s="4">
        <f>IF(Graphs!$B$10="Yes",M24,$Y$127)</f>
        <v>13.628287906776013</v>
      </c>
      <c r="AG24" s="4">
        <f>IF(Graphs!$B$10="Yes",N24,$Y$127)</f>
        <v>6.7307838218674503</v>
      </c>
      <c r="AH24" s="27">
        <f>IF(Graphs!$B$10="Yes",O24,$Y$127)</f>
        <v>8.425067260371728</v>
      </c>
    </row>
    <row r="25" spans="1:34" x14ac:dyDescent="0.25">
      <c r="A25" s="3">
        <v>19</v>
      </c>
      <c r="B25" s="3" t="s">
        <v>46</v>
      </c>
      <c r="C25" s="3">
        <v>440</v>
      </c>
      <c r="D25" s="3" t="str">
        <f t="shared" si="3"/>
        <v>Yes</v>
      </c>
      <c r="E25" s="4">
        <v>1.08</v>
      </c>
      <c r="F25" s="3">
        <f t="shared" si="4"/>
        <v>1770</v>
      </c>
      <c r="G25" s="4">
        <f>((2*C25*'String Lengths'!E25)^2)*F25/1000000000000</f>
        <v>184.61659603199999</v>
      </c>
      <c r="H25" s="4">
        <f t="shared" si="0"/>
        <v>169.12512535613669</v>
      </c>
      <c r="I25" s="4">
        <f>PI()*(E25^2)*F25*'String Lengths'!E25*C25/2000000000</f>
        <v>0.52367205027290287</v>
      </c>
      <c r="J25" s="4">
        <f>4*H25/'String Lengths'!E25</f>
        <v>1.8433256169606178</v>
      </c>
      <c r="K25" s="4">
        <f t="shared" si="5"/>
        <v>9.2019685330536198</v>
      </c>
      <c r="L25" s="4">
        <f>K25*(PI()^3)*(E25^4)/(0.128*H25*('String Lengths'!E25^2)*$L$127)</f>
        <v>1.0282765038029698</v>
      </c>
      <c r="M25" s="4">
        <f>0.008*('String Lengths'!E25^2)*C25*SQRT('Misc ref'!$B$9*F25/(K25*1000000000))/(PI()*E25)</f>
        <v>14.059524231756647</v>
      </c>
      <c r="N25" s="4">
        <f t="shared" si="1"/>
        <v>6.1861906619729252</v>
      </c>
      <c r="O25" s="4">
        <f t="shared" si="2"/>
        <v>8.4298167939688611</v>
      </c>
      <c r="W25" s="36">
        <f>IF(OR(Graphs!$B$10="Yes",Graphs!$B$11="Yes",Graphs!$B$12="Yes"),G25,$Y$127)</f>
        <v>184.61659603199999</v>
      </c>
      <c r="Y25" s="26">
        <f>IF(Graphs!$B$10="Yes",E25,$Y$127)</f>
        <v>1.08</v>
      </c>
      <c r="Z25" s="4">
        <f>IF(Graphs!$B$10="Yes",F25,$Y$127)</f>
        <v>1770</v>
      </c>
      <c r="AA25" s="4">
        <f>IF(Graphs!$B$10="Yes",H25,$Y$127)</f>
        <v>169.12512535613669</v>
      </c>
      <c r="AB25" s="4">
        <f>IF(Graphs!$B$10="Yes",I25,$Y$127)</f>
        <v>0.52367205027290287</v>
      </c>
      <c r="AC25" s="4">
        <f>IF(Graphs!$B$10="Yes",J25,$Y$127)</f>
        <v>1.8433256169606178</v>
      </c>
      <c r="AD25" s="4">
        <f>IF(Graphs!$B$10="Yes",K25,$Y$127)</f>
        <v>9.2019685330536198</v>
      </c>
      <c r="AE25" s="4">
        <f>IF(Graphs!$B$10="Yes",L25,$Y$127)</f>
        <v>1.0282765038029698</v>
      </c>
      <c r="AF25" s="4">
        <f>IF(Graphs!$B$10="Yes",M25,$Y$127)</f>
        <v>14.059524231756647</v>
      </c>
      <c r="AG25" s="4">
        <f>IF(Graphs!$B$10="Yes",N25,$Y$127)</f>
        <v>6.1861906619729252</v>
      </c>
      <c r="AH25" s="27">
        <f>IF(Graphs!$B$10="Yes",O25,$Y$127)</f>
        <v>8.4298167939688611</v>
      </c>
    </row>
    <row r="26" spans="1:34" x14ac:dyDescent="0.25">
      <c r="A26" s="3">
        <v>20</v>
      </c>
      <c r="B26" s="3" t="s">
        <v>47</v>
      </c>
      <c r="C26" s="3">
        <v>391.99543598174927</v>
      </c>
      <c r="D26" s="3" t="str">
        <f t="shared" si="3"/>
        <v>Yes</v>
      </c>
      <c r="E26" s="4">
        <v>1.1599999999999999</v>
      </c>
      <c r="F26" s="3">
        <f t="shared" si="4"/>
        <v>1770</v>
      </c>
      <c r="G26" s="4">
        <f>((2*C26*'String Lengths'!E26)^2)*F26/1000000000000</f>
        <v>171.46531920394975</v>
      </c>
      <c r="H26" s="4">
        <f t="shared" si="0"/>
        <v>181.20999655946591</v>
      </c>
      <c r="I26" s="4">
        <f>PI()*(E26^2)*F26*'String Lengths'!E26*C26/2000000000</f>
        <v>0.5822113118624701</v>
      </c>
      <c r="J26" s="4">
        <f>4*H26/'String Lengths'!E26</f>
        <v>1.8257934162162812</v>
      </c>
      <c r="K26" s="4">
        <f t="shared" si="5"/>
        <v>8.7733443543908649</v>
      </c>
      <c r="L26" s="4">
        <f>K26*(PI()^3)*(E26^4)/(0.128*H26*('String Lengths'!E26^2)*$L$127)</f>
        <v>1.0406588299244879</v>
      </c>
      <c r="M26" s="4">
        <f>0.008*('String Lengths'!E26^2)*C26*SQRT('Misc ref'!$B$9*F26/(K26*1000000000))/(PI()*E26)</f>
        <v>13.975629987855825</v>
      </c>
      <c r="N26" s="4">
        <f t="shared" si="1"/>
        <v>5.4783831702091534</v>
      </c>
      <c r="O26" s="4">
        <f t="shared" si="2"/>
        <v>9.2719490311808563</v>
      </c>
      <c r="W26" s="36">
        <f>IF(OR(Graphs!$B$10="Yes",Graphs!$B$11="Yes",Graphs!$B$12="Yes"),G26,$Y$127)</f>
        <v>171.46531920394975</v>
      </c>
      <c r="Y26" s="26">
        <f>IF(Graphs!$B$10="Yes",E26,$Y$127)</f>
        <v>1.1599999999999999</v>
      </c>
      <c r="Z26" s="4">
        <f>IF(Graphs!$B$10="Yes",F26,$Y$127)</f>
        <v>1770</v>
      </c>
      <c r="AA26" s="4">
        <f>IF(Graphs!$B$10="Yes",H26,$Y$127)</f>
        <v>181.20999655946591</v>
      </c>
      <c r="AB26" s="4">
        <f>IF(Graphs!$B$10="Yes",I26,$Y$127)</f>
        <v>0.5822113118624701</v>
      </c>
      <c r="AC26" s="4">
        <f>IF(Graphs!$B$10="Yes",J26,$Y$127)</f>
        <v>1.8257934162162812</v>
      </c>
      <c r="AD26" s="4">
        <f>IF(Graphs!$B$10="Yes",K26,$Y$127)</f>
        <v>8.7733443543908649</v>
      </c>
      <c r="AE26" s="4">
        <f>IF(Graphs!$B$10="Yes",L26,$Y$127)</f>
        <v>1.0406588299244879</v>
      </c>
      <c r="AF26" s="4">
        <f>IF(Graphs!$B$10="Yes",M26,$Y$127)</f>
        <v>13.975629987855825</v>
      </c>
      <c r="AG26" s="4">
        <f>IF(Graphs!$B$10="Yes",N26,$Y$127)</f>
        <v>5.4783831702091534</v>
      </c>
      <c r="AH26" s="27">
        <f>IF(Graphs!$B$10="Yes",O26,$Y$127)</f>
        <v>9.2719490311808563</v>
      </c>
    </row>
    <row r="27" spans="1:34" x14ac:dyDescent="0.25">
      <c r="A27" s="2">
        <v>21</v>
      </c>
      <c r="B27" s="2" t="s">
        <v>48</v>
      </c>
      <c r="C27" s="2">
        <v>349.22823143300388</v>
      </c>
      <c r="D27" s="2" t="str">
        <f t="shared" si="3"/>
        <v>Yes</v>
      </c>
      <c r="E27" s="15">
        <v>1.25</v>
      </c>
      <c r="F27" s="2">
        <f t="shared" si="4"/>
        <v>1770</v>
      </c>
      <c r="G27" s="15">
        <f>((2*C27*'String Lengths'!E27)^2)*F27/1000000000000</f>
        <v>161.89287648093878</v>
      </c>
      <c r="H27" s="15">
        <f t="shared" si="0"/>
        <v>198.6724497738426</v>
      </c>
      <c r="I27" s="15">
        <f>PI()*(E27^2)*F27*'String Lengths'!E27*C27/2000000000</f>
        <v>0.65691686307014019</v>
      </c>
      <c r="J27" s="15">
        <f>4*H27/'String Lengths'!E27</f>
        <v>1.8353113143080149</v>
      </c>
      <c r="K27" s="15">
        <f t="shared" si="5"/>
        <v>8.461360928477756</v>
      </c>
      <c r="L27" s="15">
        <f>K27*(PI()^3)*(E27^4)/(0.128*H27*('String Lengths'!E27^2)*$L$127)</f>
        <v>1.0376269417741748</v>
      </c>
      <c r="M27" s="15">
        <f>0.008*('String Lengths'!E27^2)*C27*SQRT('Misc ref'!$B$9*F27/(K27*1000000000))/(PI()*E27)</f>
        <v>13.996033100878128</v>
      </c>
      <c r="N27" s="15">
        <f t="shared" si="1"/>
        <v>4.8878098868974504</v>
      </c>
      <c r="O27" s="15">
        <f t="shared" si="2"/>
        <v>10.38365208292087</v>
      </c>
      <c r="W27" s="36">
        <f>IF(OR(Graphs!$B$10="Yes",Graphs!$B$11="Yes",Graphs!$B$12="Yes"),G27,$Y$127)</f>
        <v>161.89287648093878</v>
      </c>
      <c r="Y27" s="26">
        <f>IF(Graphs!$B$10="Yes",E27,$Y$127)</f>
        <v>1.25</v>
      </c>
      <c r="Z27" s="4">
        <f>IF(Graphs!$B$10="Yes",F27,$Y$127)</f>
        <v>1770</v>
      </c>
      <c r="AA27" s="4">
        <f>IF(Graphs!$B$10="Yes",H27,$Y$127)</f>
        <v>198.6724497738426</v>
      </c>
      <c r="AB27" s="4">
        <f>IF(Graphs!$B$10="Yes",I27,$Y$127)</f>
        <v>0.65691686307014019</v>
      </c>
      <c r="AC27" s="4">
        <f>IF(Graphs!$B$10="Yes",J27,$Y$127)</f>
        <v>1.8353113143080149</v>
      </c>
      <c r="AD27" s="4">
        <f>IF(Graphs!$B$10="Yes",K27,$Y$127)</f>
        <v>8.461360928477756</v>
      </c>
      <c r="AE27" s="4">
        <f>IF(Graphs!$B$10="Yes",L27,$Y$127)</f>
        <v>1.0376269417741748</v>
      </c>
      <c r="AF27" s="4">
        <f>IF(Graphs!$B$10="Yes",M27,$Y$127)</f>
        <v>13.996033100878128</v>
      </c>
      <c r="AG27" s="4">
        <f>IF(Graphs!$B$10="Yes",N27,$Y$127)</f>
        <v>4.8878098868974504</v>
      </c>
      <c r="AH27" s="27">
        <f>IF(Graphs!$B$10="Yes",O27,$Y$127)</f>
        <v>10.38365208292087</v>
      </c>
    </row>
    <row r="28" spans="1:34" x14ac:dyDescent="0.25">
      <c r="A28" s="3">
        <v>22</v>
      </c>
      <c r="B28" s="3" t="s">
        <v>49</v>
      </c>
      <c r="C28" s="3">
        <v>329.62755691286992</v>
      </c>
      <c r="D28" s="3" t="str">
        <f t="shared" si="3"/>
        <v>Yes</v>
      </c>
      <c r="E28" s="4">
        <v>1.25</v>
      </c>
      <c r="F28" s="3">
        <f t="shared" si="4"/>
        <v>1770</v>
      </c>
      <c r="G28" s="4">
        <f>((2*C28*'String Lengths'!E28)^2)*F28/1000000000000</f>
        <v>168.48916852112285</v>
      </c>
      <c r="H28" s="4">
        <f t="shared" si="0"/>
        <v>206.76731798258291</v>
      </c>
      <c r="I28" s="4">
        <f>PI()*(E28^2)*F28*'String Lengths'!E28*C28/2000000000</f>
        <v>0.67016622130681847</v>
      </c>
      <c r="J28" s="4">
        <f>4*H28/'String Lengths'!E28</f>
        <v>1.7672420340391701</v>
      </c>
      <c r="K28" s="4">
        <f t="shared" si="5"/>
        <v>8.6763461572817882</v>
      </c>
      <c r="L28" s="4">
        <f>K28*(PI()^3)*(E28^4)/(0.128*H28*('String Lengths'!E28^2)*$L$127)</f>
        <v>0.87514039075585348</v>
      </c>
      <c r="M28" s="4">
        <f>0.008*('String Lengths'!E28^2)*C28*SQRT('Misc ref'!$B$9*F28/(K28*1000000000))/(PI()*E28)</f>
        <v>15.240061391481179</v>
      </c>
      <c r="N28" s="4">
        <f t="shared" si="1"/>
        <v>5.023544203676094</v>
      </c>
      <c r="O28" s="4">
        <f t="shared" si="2"/>
        <v>10.647478651452538</v>
      </c>
      <c r="W28" s="36">
        <f>IF(OR(Graphs!$B$10="Yes",Graphs!$B$11="Yes",Graphs!$B$12="Yes"),G28,$Y$127)</f>
        <v>168.48916852112285</v>
      </c>
      <c r="Y28" s="26">
        <f>IF(Graphs!$B$10="Yes",E28,$Y$127)</f>
        <v>1.25</v>
      </c>
      <c r="Z28" s="4">
        <f>IF(Graphs!$B$10="Yes",F28,$Y$127)</f>
        <v>1770</v>
      </c>
      <c r="AA28" s="4">
        <f>IF(Graphs!$B$10="Yes",H28,$Y$127)</f>
        <v>206.76731798258291</v>
      </c>
      <c r="AB28" s="4">
        <f>IF(Graphs!$B$10="Yes",I28,$Y$127)</f>
        <v>0.67016622130681847</v>
      </c>
      <c r="AC28" s="4">
        <f>IF(Graphs!$B$10="Yes",J28,$Y$127)</f>
        <v>1.7672420340391701</v>
      </c>
      <c r="AD28" s="4">
        <f>IF(Graphs!$B$10="Yes",K28,$Y$127)</f>
        <v>8.6763461572817882</v>
      </c>
      <c r="AE28" s="4">
        <f>IF(Graphs!$B$10="Yes",L28,$Y$127)</f>
        <v>0.87514039075585348</v>
      </c>
      <c r="AF28" s="4">
        <f>IF(Graphs!$B$10="Yes",M28,$Y$127)</f>
        <v>15.240061391481179</v>
      </c>
      <c r="AG28" s="4">
        <f>IF(Graphs!$B$10="Yes",N28,$Y$127)</f>
        <v>5.023544203676094</v>
      </c>
      <c r="AH28" s="27">
        <f>IF(Graphs!$B$10="Yes",O28,$Y$127)</f>
        <v>10.647478651452538</v>
      </c>
    </row>
    <row r="29" spans="1:34" x14ac:dyDescent="0.25">
      <c r="A29" s="3">
        <v>23</v>
      </c>
      <c r="B29" s="3" t="s">
        <v>50</v>
      </c>
      <c r="C29" s="3">
        <v>293.66476791740757</v>
      </c>
      <c r="D29" s="3" t="str">
        <f t="shared" si="3"/>
        <v>Yes</v>
      </c>
      <c r="E29" s="4">
        <v>1.32</v>
      </c>
      <c r="F29" s="3">
        <f t="shared" si="4"/>
        <v>1770</v>
      </c>
      <c r="G29" s="4">
        <f>((2*C29*'String Lengths'!E29)^2)*F29/1000000000000</f>
        <v>156.94694544135257</v>
      </c>
      <c r="H29" s="4">
        <f t="shared" si="0"/>
        <v>214.77840432131256</v>
      </c>
      <c r="I29" s="4">
        <f>PI()*(E29^2)*F29*'String Lengths'!E29*C29/2000000000</f>
        <v>0.72127488603842538</v>
      </c>
      <c r="J29" s="4">
        <f>4*H29/'String Lengths'!E29</f>
        <v>1.6945041761050301</v>
      </c>
      <c r="K29" s="4">
        <f t="shared" si="5"/>
        <v>8.300163984843838</v>
      </c>
      <c r="L29" s="4">
        <f>K29*(PI()^3)*(E29^4)/(0.128*H29*('String Lengths'!E29^2)*$L$127)</f>
        <v>0.85398506173115896</v>
      </c>
      <c r="M29" s="4">
        <f>0.008*('String Lengths'!E29^2)*C29*SQRT('Misc ref'!$B$9*F29/(K29*1000000000))/(PI()*E29)</f>
        <v>15.427673662540224</v>
      </c>
      <c r="N29" s="4">
        <f t="shared" si="1"/>
        <v>4.5305642056153763</v>
      </c>
      <c r="O29" s="4">
        <f t="shared" si="2"/>
        <v>11.358589816812579</v>
      </c>
      <c r="W29" s="36">
        <f>IF(OR(Graphs!$B$10="Yes",Graphs!$B$11="Yes",Graphs!$B$12="Yes"),G29,$Y$127)</f>
        <v>156.94694544135257</v>
      </c>
      <c r="Y29" s="26">
        <f>IF(Graphs!$B$10="Yes",E29,$Y$127)</f>
        <v>1.32</v>
      </c>
      <c r="Z29" s="4">
        <f>IF(Graphs!$B$10="Yes",F29,$Y$127)</f>
        <v>1770</v>
      </c>
      <c r="AA29" s="4">
        <f>IF(Graphs!$B$10="Yes",H29,$Y$127)</f>
        <v>214.77840432131256</v>
      </c>
      <c r="AB29" s="4">
        <f>IF(Graphs!$B$10="Yes",I29,$Y$127)</f>
        <v>0.72127488603842538</v>
      </c>
      <c r="AC29" s="4">
        <f>IF(Graphs!$B$10="Yes",J29,$Y$127)</f>
        <v>1.6945041761050301</v>
      </c>
      <c r="AD29" s="4">
        <f>IF(Graphs!$B$10="Yes",K29,$Y$127)</f>
        <v>8.300163984843838</v>
      </c>
      <c r="AE29" s="4">
        <f>IF(Graphs!$B$10="Yes",L29,$Y$127)</f>
        <v>0.85398506173115896</v>
      </c>
      <c r="AF29" s="4">
        <f>IF(Graphs!$B$10="Yes",M29,$Y$127)</f>
        <v>15.427673662540224</v>
      </c>
      <c r="AG29" s="4">
        <f>IF(Graphs!$B$10="Yes",N29,$Y$127)</f>
        <v>4.5305642056153763</v>
      </c>
      <c r="AH29" s="27">
        <f>IF(Graphs!$B$10="Yes",O29,$Y$127)</f>
        <v>11.358589816812579</v>
      </c>
    </row>
    <row r="30" spans="1:34" x14ac:dyDescent="0.25">
      <c r="A30" s="3">
        <v>24</v>
      </c>
      <c r="B30" s="3" t="s">
        <v>51</v>
      </c>
      <c r="C30" s="3">
        <v>261.62556530059868</v>
      </c>
      <c r="D30" s="3" t="str">
        <f t="shared" si="3"/>
        <v>Yes</v>
      </c>
      <c r="E30" s="4">
        <v>1.4</v>
      </c>
      <c r="F30" s="3">
        <f t="shared" si="4"/>
        <v>1770</v>
      </c>
      <c r="G30" s="4">
        <f>((2*C30*'String Lengths'!E30)^2)*F30/1000000000000</f>
        <v>146.59494542826778</v>
      </c>
      <c r="H30" s="4">
        <f t="shared" si="0"/>
        <v>225.66538576931288</v>
      </c>
      <c r="I30" s="4">
        <f>PI()*(E30^2)*F30*'String Lengths'!E30*C30/2000000000</f>
        <v>0.7841372476870323</v>
      </c>
      <c r="J30" s="4">
        <f>4*H30/'String Lengths'!E30</f>
        <v>1.6412028055950028</v>
      </c>
      <c r="K30" s="4">
        <f t="shared" si="5"/>
        <v>7.9627733602573807</v>
      </c>
      <c r="L30" s="4">
        <f>K30*(PI()^3)*(E30^4)/(0.128*H30*('String Lengths'!E30^2)*$L$127)</f>
        <v>0.83841796634319143</v>
      </c>
      <c r="M30" s="4">
        <f>0.008*('String Lengths'!E30^2)*C30*SQRT('Misc ref'!$B$9*F30/(K30*1000000000))/(PI()*E30)</f>
        <v>15.570239490556034</v>
      </c>
      <c r="N30" s="4">
        <f t="shared" si="1"/>
        <v>4.0735727085824278</v>
      </c>
      <c r="O30" s="4">
        <f t="shared" si="2"/>
        <v>12.257737242484696</v>
      </c>
      <c r="W30" s="36">
        <f>IF(OR(Graphs!$B$10="Yes",Graphs!$B$11="Yes",Graphs!$B$12="Yes"),G30,$Y$127)</f>
        <v>146.59494542826778</v>
      </c>
      <c r="Y30" s="26">
        <f>IF(Graphs!$B$10="Yes",E30,$Y$127)</f>
        <v>1.4</v>
      </c>
      <c r="Z30" s="4">
        <f>IF(Graphs!$B$10="Yes",F30,$Y$127)</f>
        <v>1770</v>
      </c>
      <c r="AA30" s="4">
        <f>IF(Graphs!$B$10="Yes",H30,$Y$127)</f>
        <v>225.66538576931288</v>
      </c>
      <c r="AB30" s="4">
        <f>IF(Graphs!$B$10="Yes",I30,$Y$127)</f>
        <v>0.7841372476870323</v>
      </c>
      <c r="AC30" s="4">
        <f>IF(Graphs!$B$10="Yes",J30,$Y$127)</f>
        <v>1.6412028055950028</v>
      </c>
      <c r="AD30" s="4">
        <f>IF(Graphs!$B$10="Yes",K30,$Y$127)</f>
        <v>7.9627733602573807</v>
      </c>
      <c r="AE30" s="4">
        <f>IF(Graphs!$B$10="Yes",L30,$Y$127)</f>
        <v>0.83841796634319143</v>
      </c>
      <c r="AF30" s="4">
        <f>IF(Graphs!$B$10="Yes",M30,$Y$127)</f>
        <v>15.570239490556034</v>
      </c>
      <c r="AG30" s="4">
        <f>IF(Graphs!$B$10="Yes",N30,$Y$127)</f>
        <v>4.0735727085824278</v>
      </c>
      <c r="AH30" s="27">
        <f>IF(Graphs!$B$10="Yes",O30,$Y$127)</f>
        <v>12.257737242484696</v>
      </c>
    </row>
    <row r="31" spans="1:34" x14ac:dyDescent="0.25">
      <c r="A31" s="3">
        <v>25</v>
      </c>
      <c r="B31" s="3" t="s">
        <v>52</v>
      </c>
      <c r="C31" s="3">
        <v>246.94165062806206</v>
      </c>
      <c r="D31" s="3" t="str">
        <f t="shared" si="3"/>
        <v>Yes</v>
      </c>
      <c r="E31" s="4">
        <v>1.45</v>
      </c>
      <c r="F31" s="3">
        <f t="shared" si="4"/>
        <v>1770</v>
      </c>
      <c r="G31" s="4">
        <f>((2*C31*'String Lengths'!E31)^2)*F31/1000000000000</f>
        <v>154.90862390390188</v>
      </c>
      <c r="H31" s="4">
        <f t="shared" si="0"/>
        <v>255.80055465972762</v>
      </c>
      <c r="I31" s="4">
        <f>PI()*(E31^2)*F31*'String Lengths'!E31*C31/2000000000</f>
        <v>0.8646698522004066</v>
      </c>
      <c r="J31" s="4">
        <f>4*H31/'String Lengths'!E31</f>
        <v>1.7081840044055268</v>
      </c>
      <c r="K31" s="4">
        <f t="shared" si="5"/>
        <v>8.2337313558099066</v>
      </c>
      <c r="L31" s="4">
        <f>K31*(PI()^3)*(E31^4)/(0.128*H31*('String Lengths'!E31^2)*$L$127)</f>
        <v>0.74197279506296354</v>
      </c>
      <c r="M31" s="4">
        <f>0.008*('String Lengths'!E31^2)*C31*SQRT('Misc ref'!$B$9*F31/(K31*1000000000))/(PI()*E31)</f>
        <v>16.551280153822134</v>
      </c>
      <c r="N31" s="4">
        <f t="shared" si="1"/>
        <v>4.0872004411923228</v>
      </c>
      <c r="O31" s="4">
        <f t="shared" si="2"/>
        <v>13.596357611710175</v>
      </c>
      <c r="W31" s="36">
        <f>IF(OR(Graphs!$B$10="Yes",Graphs!$B$11="Yes",Graphs!$B$12="Yes"),G31,$Y$127)</f>
        <v>154.90862390390188</v>
      </c>
      <c r="Y31" s="26">
        <f>IF(Graphs!$B$10="Yes",E31,$Y$127)</f>
        <v>1.45</v>
      </c>
      <c r="Z31" s="4">
        <f>IF(Graphs!$B$10="Yes",F31,$Y$127)</f>
        <v>1770</v>
      </c>
      <c r="AA31" s="4">
        <f>IF(Graphs!$B$10="Yes",H31,$Y$127)</f>
        <v>255.80055465972762</v>
      </c>
      <c r="AB31" s="4">
        <f>IF(Graphs!$B$10="Yes",I31,$Y$127)</f>
        <v>0.8646698522004066</v>
      </c>
      <c r="AC31" s="4">
        <f>IF(Graphs!$B$10="Yes",J31,$Y$127)</f>
        <v>1.7081840044055268</v>
      </c>
      <c r="AD31" s="4">
        <f>IF(Graphs!$B$10="Yes",K31,$Y$127)</f>
        <v>8.2337313558099066</v>
      </c>
      <c r="AE31" s="4">
        <f>IF(Graphs!$B$10="Yes",L31,$Y$127)</f>
        <v>0.74197279506296354</v>
      </c>
      <c r="AF31" s="4">
        <f>IF(Graphs!$B$10="Yes",M31,$Y$127)</f>
        <v>16.551280153822134</v>
      </c>
      <c r="AG31" s="4">
        <f>IF(Graphs!$B$10="Yes",N31,$Y$127)</f>
        <v>4.0872004411923228</v>
      </c>
      <c r="AH31" s="27">
        <f>IF(Graphs!$B$10="Yes",O31,$Y$127)</f>
        <v>13.596357611710175</v>
      </c>
    </row>
    <row r="32" spans="1:34" x14ac:dyDescent="0.25">
      <c r="A32" s="3">
        <v>26</v>
      </c>
      <c r="B32" s="3" t="s">
        <v>53</v>
      </c>
      <c r="C32" s="3">
        <v>220</v>
      </c>
      <c r="D32" s="3" t="str">
        <f t="shared" si="3"/>
        <v>Yes</v>
      </c>
      <c r="E32" s="4">
        <v>1.5</v>
      </c>
      <c r="F32" s="3">
        <f t="shared" si="4"/>
        <v>1770</v>
      </c>
      <c r="G32" s="4">
        <f>((2*C32*'String Lengths'!E32)^2)*F32/1000000000000</f>
        <v>146.11842484799999</v>
      </c>
      <c r="H32" s="4">
        <f t="shared" si="0"/>
        <v>258.21257065683136</v>
      </c>
      <c r="I32" s="4">
        <f>PI()*(E32^2)*F32*'String Lengths'!E32*C32/2000000000</f>
        <v>0.89869334072404061</v>
      </c>
      <c r="J32" s="4">
        <f>4*H32/'String Lengths'!E32</f>
        <v>1.5817002796743116</v>
      </c>
      <c r="K32" s="4">
        <f t="shared" si="5"/>
        <v>7.9472426825137914</v>
      </c>
      <c r="L32" s="4">
        <f>K32*(PI()^3)*(E32^4)/(0.128*H32*('String Lengths'!E32^2)*$L$127)</f>
        <v>0.68367889563035278</v>
      </c>
      <c r="M32" s="4">
        <f>0.008*('String Lengths'!E32^2)*C32*SQRT('Misc ref'!$B$9*F32/(K32*1000000000))/(PI()*E32)</f>
        <v>17.242470584159271</v>
      </c>
      <c r="N32" s="4">
        <f t="shared" si="1"/>
        <v>3.7933435285150394</v>
      </c>
      <c r="O32" s="4">
        <f t="shared" si="2"/>
        <v>14.043937065570319</v>
      </c>
      <c r="W32" s="36">
        <f>IF(OR(Graphs!$B$10="Yes",Graphs!$B$11="Yes",Graphs!$B$12="Yes"),G32,$Y$127)</f>
        <v>146.11842484799999</v>
      </c>
      <c r="Y32" s="26">
        <f>IF(Graphs!$B$10="Yes",E32,$Y$127)</f>
        <v>1.5</v>
      </c>
      <c r="Z32" s="4">
        <f>IF(Graphs!$B$10="Yes",F32,$Y$127)</f>
        <v>1770</v>
      </c>
      <c r="AA32" s="4">
        <f>IF(Graphs!$B$10="Yes",H32,$Y$127)</f>
        <v>258.21257065683136</v>
      </c>
      <c r="AB32" s="4">
        <f>IF(Graphs!$B$10="Yes",I32,$Y$127)</f>
        <v>0.89869334072404061</v>
      </c>
      <c r="AC32" s="4">
        <f>IF(Graphs!$B$10="Yes",J32,$Y$127)</f>
        <v>1.5817002796743116</v>
      </c>
      <c r="AD32" s="4">
        <f>IF(Graphs!$B$10="Yes",K32,$Y$127)</f>
        <v>7.9472426825137914</v>
      </c>
      <c r="AE32" s="4">
        <f>IF(Graphs!$B$10="Yes",L32,$Y$127)</f>
        <v>0.68367889563035278</v>
      </c>
      <c r="AF32" s="4">
        <f>IF(Graphs!$B$10="Yes",M32,$Y$127)</f>
        <v>17.242470584159271</v>
      </c>
      <c r="AG32" s="4">
        <f>IF(Graphs!$B$10="Yes",N32,$Y$127)</f>
        <v>3.7933435285150394</v>
      </c>
      <c r="AH32" s="27">
        <f>IF(Graphs!$B$10="Yes",O32,$Y$127)</f>
        <v>14.043937065570319</v>
      </c>
    </row>
    <row r="33" spans="1:34" x14ac:dyDescent="0.25">
      <c r="A33" s="3">
        <v>27</v>
      </c>
      <c r="B33" s="3" t="s">
        <v>54</v>
      </c>
      <c r="C33" s="3">
        <v>195.99771799087463</v>
      </c>
      <c r="D33" s="3" t="str">
        <f t="shared" si="3"/>
        <v>Yes</v>
      </c>
      <c r="E33" s="4">
        <v>1.6</v>
      </c>
      <c r="F33" s="3">
        <f t="shared" si="4"/>
        <v>1770</v>
      </c>
      <c r="G33" s="4">
        <f>((2*C33*'String Lengths'!E33)^2)*F33/1000000000000</f>
        <v>138.65377908129733</v>
      </c>
      <c r="H33" s="4">
        <f t="shared" si="0"/>
        <v>278.7799640027302</v>
      </c>
      <c r="I33" s="4">
        <f>PI()*(E33^2)*F33*'String Lengths'!E33*C33/2000000000</f>
        <v>0.99605274198535099</v>
      </c>
      <c r="J33" s="4">
        <f>4*H33/'String Lengths'!E33</f>
        <v>1.5617925154214576</v>
      </c>
      <c r="K33" s="4">
        <f t="shared" si="5"/>
        <v>7.7039562166751994</v>
      </c>
      <c r="L33" s="4">
        <f>K33*(PI()^3)*(E33^4)/(0.128*H33*('String Lengths'!E33^2)*$L$127)</f>
        <v>0.66467625128681629</v>
      </c>
      <c r="M33" s="4">
        <f>0.008*('String Lengths'!E33^2)*C33*SQRT('Misc ref'!$B$9*F33/(K33*1000000000))/(PI()*E33)</f>
        <v>17.487208969041557</v>
      </c>
      <c r="N33" s="4">
        <f t="shared" si="1"/>
        <v>3.4274530519617006</v>
      </c>
      <c r="O33" s="4">
        <f t="shared" si="2"/>
        <v>15.489723042485906</v>
      </c>
      <c r="W33" s="36">
        <f>IF(OR(Graphs!$B$10="Yes",Graphs!$B$11="Yes",Graphs!$B$12="Yes"),G33,$Y$127)</f>
        <v>138.65377908129733</v>
      </c>
      <c r="Y33" s="26">
        <f>IF(Graphs!$B$10="Yes",E33,$Y$127)</f>
        <v>1.6</v>
      </c>
      <c r="Z33" s="4">
        <f>IF(Graphs!$B$10="Yes",F33,$Y$127)</f>
        <v>1770</v>
      </c>
      <c r="AA33" s="4">
        <f>IF(Graphs!$B$10="Yes",H33,$Y$127)</f>
        <v>278.7799640027302</v>
      </c>
      <c r="AB33" s="4">
        <f>IF(Graphs!$B$10="Yes",I33,$Y$127)</f>
        <v>0.99605274198535099</v>
      </c>
      <c r="AC33" s="4">
        <f>IF(Graphs!$B$10="Yes",J33,$Y$127)</f>
        <v>1.5617925154214576</v>
      </c>
      <c r="AD33" s="4">
        <f>IF(Graphs!$B$10="Yes",K33,$Y$127)</f>
        <v>7.7039562166751994</v>
      </c>
      <c r="AE33" s="4">
        <f>IF(Graphs!$B$10="Yes",L33,$Y$127)</f>
        <v>0.66467625128681629</v>
      </c>
      <c r="AF33" s="4">
        <f>IF(Graphs!$B$10="Yes",M33,$Y$127)</f>
        <v>17.487208969041557</v>
      </c>
      <c r="AG33" s="4">
        <f>IF(Graphs!$B$10="Yes",N33,$Y$127)</f>
        <v>3.4274530519617006</v>
      </c>
      <c r="AH33" s="27">
        <f>IF(Graphs!$B$10="Yes",O33,$Y$127)</f>
        <v>15.489723042485906</v>
      </c>
    </row>
    <row r="34" spans="1:34" x14ac:dyDescent="0.25">
      <c r="A34" s="2">
        <v>28</v>
      </c>
      <c r="B34" s="2" t="s">
        <v>55</v>
      </c>
      <c r="C34" s="2">
        <v>174.61411571650194</v>
      </c>
      <c r="D34" s="2" t="str">
        <f t="shared" si="3"/>
        <v>Yes</v>
      </c>
      <c r="E34" s="15">
        <v>1.72</v>
      </c>
      <c r="F34" s="2">
        <f t="shared" si="4"/>
        <v>1770</v>
      </c>
      <c r="G34" s="15">
        <f>((2*C34*'String Lengths'!E34)^2)*F34/1000000000000</f>
        <v>129.65681844850081</v>
      </c>
      <c r="H34" s="15">
        <f t="shared" si="0"/>
        <v>301.26046059764013</v>
      </c>
      <c r="I34" s="15">
        <f>PI()*(E34^2)*F34*'String Lengths'!E34*C34/2000000000</f>
        <v>1.1130920698181577</v>
      </c>
      <c r="J34" s="15">
        <f>4*H34/'String Lengths'!E34</f>
        <v>1.5548926998587878</v>
      </c>
      <c r="K34" s="15">
        <f t="shared" si="5"/>
        <v>7.4107288052144025</v>
      </c>
      <c r="L34" s="15">
        <f>K34*(PI()^3)*(E34^4)/(0.128*H34*('String Lengths'!E34^2)*$L$127)</f>
        <v>0.67066180578979795</v>
      </c>
      <c r="M34" s="15">
        <f>0.008*('String Lengths'!E34^2)*C34*SQRT('Misc ref'!$B$9*F34/(K34*1000000000))/(PI()*E34)</f>
        <v>17.408998735593716</v>
      </c>
      <c r="N34" s="15">
        <f t="shared" si="1"/>
        <v>3.0398569197253975</v>
      </c>
      <c r="O34" s="15">
        <f t="shared" si="2"/>
        <v>17.218990870964912</v>
      </c>
      <c r="W34" s="36">
        <f>IF(OR(Graphs!$B$10="Yes",Graphs!$B$11="Yes",Graphs!$B$12="Yes"),G34,$Y$127)</f>
        <v>129.65681844850081</v>
      </c>
      <c r="Y34" s="26">
        <f>IF(Graphs!$B$10="Yes",E34,$Y$127)</f>
        <v>1.72</v>
      </c>
      <c r="Z34" s="4">
        <f>IF(Graphs!$B$10="Yes",F34,$Y$127)</f>
        <v>1770</v>
      </c>
      <c r="AA34" s="4">
        <f>IF(Graphs!$B$10="Yes",H34,$Y$127)</f>
        <v>301.26046059764013</v>
      </c>
      <c r="AB34" s="4">
        <f>IF(Graphs!$B$10="Yes",I34,$Y$127)</f>
        <v>1.1130920698181577</v>
      </c>
      <c r="AC34" s="4">
        <f>IF(Graphs!$B$10="Yes",J34,$Y$127)</f>
        <v>1.5548926998587878</v>
      </c>
      <c r="AD34" s="4">
        <f>IF(Graphs!$B$10="Yes",K34,$Y$127)</f>
        <v>7.4107288052144025</v>
      </c>
      <c r="AE34" s="4">
        <f>IF(Graphs!$B$10="Yes",L34,$Y$127)</f>
        <v>0.67066180578979795</v>
      </c>
      <c r="AF34" s="4">
        <f>IF(Graphs!$B$10="Yes",M34,$Y$127)</f>
        <v>17.408998735593716</v>
      </c>
      <c r="AG34" s="4">
        <f>IF(Graphs!$B$10="Yes",N34,$Y$127)</f>
        <v>3.0398569197253975</v>
      </c>
      <c r="AH34" s="27">
        <f>IF(Graphs!$B$10="Yes",O34,$Y$127)</f>
        <v>17.218990870964912</v>
      </c>
    </row>
    <row r="35" spans="1:34" x14ac:dyDescent="0.25">
      <c r="A35" s="3">
        <v>29</v>
      </c>
      <c r="B35" s="3" t="s">
        <v>56</v>
      </c>
      <c r="C35" s="3">
        <v>164.81377845643496</v>
      </c>
      <c r="D35" s="3" t="str">
        <f t="shared" si="3"/>
        <v>Yes</v>
      </c>
      <c r="E35" s="4">
        <v>1.8</v>
      </c>
      <c r="F35" s="3">
        <f t="shared" si="4"/>
        <v>1770</v>
      </c>
      <c r="G35" s="4">
        <f>((2*C35*'String Lengths'!E35)^2)*F35/1000000000000</f>
        <v>136.67070631570911</v>
      </c>
      <c r="H35" s="4">
        <f t="shared" si="0"/>
        <v>347.78458640711153</v>
      </c>
      <c r="I35" s="4">
        <f>PI()*(E35^2)*F35*'String Lengths'!E35*C35/2000000000</f>
        <v>1.2515818144134971</v>
      </c>
      <c r="J35" s="4">
        <f>4*H35/'String Lengths'!E35</f>
        <v>1.6502234230467925</v>
      </c>
      <c r="K35" s="4">
        <f t="shared" si="5"/>
        <v>7.6393242462215181</v>
      </c>
      <c r="L35" s="4">
        <f>K35*(PI()^3)*(E35^4)/(0.128*H35*('String Lengths'!E35^2)*$L$127)</f>
        <v>0.60709113475400078</v>
      </c>
      <c r="M35" s="4">
        <f>0.008*('String Lengths'!E35^2)*C35*SQRT('Misc ref'!$B$9*F35/(K35*1000000000))/(PI()*E35)</f>
        <v>18.297789841898549</v>
      </c>
      <c r="N35" s="4">
        <f t="shared" si="1"/>
        <v>3.0157278812450734</v>
      </c>
      <c r="O35" s="4">
        <f t="shared" si="2"/>
        <v>19.439712393559127</v>
      </c>
      <c r="W35" s="36">
        <f>IF(OR(Graphs!$B$10="Yes",Graphs!$B$11="Yes",Graphs!$B$12="Yes"),G35,$Y$127)</f>
        <v>136.67070631570911</v>
      </c>
      <c r="Y35" s="26">
        <f>IF(Graphs!$B$10="Yes",E35,$Y$127)</f>
        <v>1.8</v>
      </c>
      <c r="Z35" s="4">
        <f>IF(Graphs!$B$10="Yes",F35,$Y$127)</f>
        <v>1770</v>
      </c>
      <c r="AA35" s="4">
        <f>IF(Graphs!$B$10="Yes",H35,$Y$127)</f>
        <v>347.78458640711153</v>
      </c>
      <c r="AB35" s="4">
        <f>IF(Graphs!$B$10="Yes",I35,$Y$127)</f>
        <v>1.2515818144134971</v>
      </c>
      <c r="AC35" s="4">
        <f>IF(Graphs!$B$10="Yes",J35,$Y$127)</f>
        <v>1.6502234230467925</v>
      </c>
      <c r="AD35" s="4">
        <f>IF(Graphs!$B$10="Yes",K35,$Y$127)</f>
        <v>7.6393242462215181</v>
      </c>
      <c r="AE35" s="4">
        <f>IF(Graphs!$B$10="Yes",L35,$Y$127)</f>
        <v>0.60709113475400078</v>
      </c>
      <c r="AF35" s="4">
        <f>IF(Graphs!$B$10="Yes",M35,$Y$127)</f>
        <v>18.297789841898549</v>
      </c>
      <c r="AG35" s="4">
        <f>IF(Graphs!$B$10="Yes",N35,$Y$127)</f>
        <v>3.0157278812450734</v>
      </c>
      <c r="AH35" s="27">
        <f>IF(Graphs!$B$10="Yes",O35,$Y$127)</f>
        <v>19.439712393559127</v>
      </c>
    </row>
    <row r="36" spans="1:34" x14ac:dyDescent="0.25">
      <c r="A36" s="3">
        <v>30</v>
      </c>
      <c r="B36" s="3" t="s">
        <v>57</v>
      </c>
      <c r="C36" s="3">
        <v>146.83238395870379</v>
      </c>
      <c r="D36" s="3" t="str">
        <f t="shared" si="3"/>
        <v>Yes</v>
      </c>
      <c r="E36" s="4">
        <v>1.9</v>
      </c>
      <c r="F36" s="3">
        <f t="shared" si="4"/>
        <v>1770</v>
      </c>
      <c r="G36" s="4">
        <f>((2*C36*'String Lengths'!E36)^2)*F36/1000000000000</f>
        <v>125.57163003978152</v>
      </c>
      <c r="H36" s="4">
        <f t="shared" si="0"/>
        <v>356.03165666512638</v>
      </c>
      <c r="I36" s="4">
        <f>PI()*(E36^2)*F36*'String Lengths'!E36*C36/2000000000</f>
        <v>1.3366862553209582</v>
      </c>
      <c r="J36" s="4">
        <f>4*H36/'String Lengths'!E36</f>
        <v>1.5701506357888704</v>
      </c>
      <c r="K36" s="4">
        <f t="shared" si="5"/>
        <v>7.2775850390794528</v>
      </c>
      <c r="L36" s="4">
        <f>K36*(PI()^3)*(E36^4)/(0.128*H36*('String Lengths'!E36^2)*$L$127)</f>
        <v>0.60586087811573131</v>
      </c>
      <c r="M36" s="4">
        <f>0.008*('String Lengths'!E36^2)*C36*SQRT('Misc ref'!$B$9*F36/(K36*1000000000))/(PI()*E36)</f>
        <v>18.316358099202223</v>
      </c>
      <c r="N36" s="4">
        <f t="shared" si="1"/>
        <v>2.6894345251471745</v>
      </c>
      <c r="O36" s="4">
        <f t="shared" si="2"/>
        <v>20.634044944418914</v>
      </c>
      <c r="W36" s="36">
        <f>IF(OR(Graphs!$B$10="Yes",Graphs!$B$11="Yes",Graphs!$B$12="Yes"),G36,$Y$127)</f>
        <v>125.57163003978152</v>
      </c>
      <c r="Y36" s="26">
        <f>IF(Graphs!$B$10="Yes",E36,$Y$127)</f>
        <v>1.9</v>
      </c>
      <c r="Z36" s="4">
        <f>IF(Graphs!$B$10="Yes",F36,$Y$127)</f>
        <v>1770</v>
      </c>
      <c r="AA36" s="4">
        <f>IF(Graphs!$B$10="Yes",H36,$Y$127)</f>
        <v>356.03165666512638</v>
      </c>
      <c r="AB36" s="4">
        <f>IF(Graphs!$B$10="Yes",I36,$Y$127)</f>
        <v>1.3366862553209582</v>
      </c>
      <c r="AC36" s="4">
        <f>IF(Graphs!$B$10="Yes",J36,$Y$127)</f>
        <v>1.5701506357888704</v>
      </c>
      <c r="AD36" s="4">
        <f>IF(Graphs!$B$10="Yes",K36,$Y$127)</f>
        <v>7.2775850390794528</v>
      </c>
      <c r="AE36" s="4">
        <f>IF(Graphs!$B$10="Yes",L36,$Y$127)</f>
        <v>0.60586087811573131</v>
      </c>
      <c r="AF36" s="4">
        <f>IF(Graphs!$B$10="Yes",M36,$Y$127)</f>
        <v>18.316358099202223</v>
      </c>
      <c r="AG36" s="4">
        <f>IF(Graphs!$B$10="Yes",N36,$Y$127)</f>
        <v>2.6894345251471745</v>
      </c>
      <c r="AH36" s="27">
        <f>IF(Graphs!$B$10="Yes",O36,$Y$127)</f>
        <v>20.634044944418914</v>
      </c>
    </row>
    <row r="37" spans="1:34" x14ac:dyDescent="0.25">
      <c r="A37" s="3">
        <v>31</v>
      </c>
      <c r="B37" s="3" t="s">
        <v>58</v>
      </c>
      <c r="C37" s="3">
        <v>130.81278265029934</v>
      </c>
      <c r="D37" s="3" t="str">
        <f t="shared" si="3"/>
        <v>Yes</v>
      </c>
      <c r="E37" s="4">
        <v>2.0699999999999998</v>
      </c>
      <c r="F37" s="3">
        <f t="shared" si="4"/>
        <v>1770</v>
      </c>
      <c r="G37" s="4">
        <f>((2*C37*'String Lengths'!E37)^2)*F37/1000000000000</f>
        <v>112.82056037722205</v>
      </c>
      <c r="H37" s="4">
        <f t="shared" si="0"/>
        <v>379.68096510928928</v>
      </c>
      <c r="I37" s="4">
        <f>PI()*(E37^2)*F37*'String Lengths'!E37*C37/2000000000</f>
        <v>1.5038735869075459</v>
      </c>
      <c r="J37" s="4">
        <f>4*H37/'String Lengths'!E37</f>
        <v>1.5738071092613026</v>
      </c>
      <c r="K37" s="4">
        <f t="shared" si="5"/>
        <v>6.862004344319157</v>
      </c>
      <c r="L37" s="4">
        <f>K37*(PI()^3)*(E37^4)/(0.128*H37*('String Lengths'!E37^2)*$L$127)</f>
        <v>0.66670440642386075</v>
      </c>
      <c r="M37" s="4">
        <f>0.008*('String Lengths'!E37^2)*C37*SQRT('Misc ref'!$B$9*F37/(K37*1000000000))/(PI()*E37)</f>
        <v>17.460590135805173</v>
      </c>
      <c r="N37" s="4">
        <f t="shared" si="1"/>
        <v>2.2840683823810428</v>
      </c>
      <c r="O37" s="4">
        <f t="shared" si="2"/>
        <v>23.09306409509065</v>
      </c>
      <c r="W37" s="36">
        <f>IF(OR(Graphs!$B$10="Yes",Graphs!$B$11="Yes",Graphs!$B$12="Yes"),G37,$Y$127)</f>
        <v>112.82056037722205</v>
      </c>
      <c r="Y37" s="26">
        <f>IF(Graphs!$B$10="Yes",E37,$Y$127)</f>
        <v>2.0699999999999998</v>
      </c>
      <c r="Z37" s="4">
        <f>IF(Graphs!$B$10="Yes",F37,$Y$127)</f>
        <v>1770</v>
      </c>
      <c r="AA37" s="4">
        <f>IF(Graphs!$B$10="Yes",H37,$Y$127)</f>
        <v>379.68096510928928</v>
      </c>
      <c r="AB37" s="4">
        <f>IF(Graphs!$B$10="Yes",I37,$Y$127)</f>
        <v>1.5038735869075459</v>
      </c>
      <c r="AC37" s="4">
        <f>IF(Graphs!$B$10="Yes",J37,$Y$127)</f>
        <v>1.5738071092613026</v>
      </c>
      <c r="AD37" s="4">
        <f>IF(Graphs!$B$10="Yes",K37,$Y$127)</f>
        <v>6.862004344319157</v>
      </c>
      <c r="AE37" s="4">
        <f>IF(Graphs!$B$10="Yes",L37,$Y$127)</f>
        <v>0.66670440642386075</v>
      </c>
      <c r="AF37" s="4">
        <f>IF(Graphs!$B$10="Yes",M37,$Y$127)</f>
        <v>17.460590135805173</v>
      </c>
      <c r="AG37" s="4">
        <f>IF(Graphs!$B$10="Yes",N37,$Y$127)</f>
        <v>2.2840683823810428</v>
      </c>
      <c r="AH37" s="27">
        <f>IF(Graphs!$B$10="Yes",O37,$Y$127)</f>
        <v>23.09306409509065</v>
      </c>
    </row>
    <row r="38" spans="1:34" x14ac:dyDescent="0.25">
      <c r="A38" s="3">
        <v>32</v>
      </c>
      <c r="B38" s="3" t="s">
        <v>59</v>
      </c>
      <c r="C38" s="3">
        <v>123.47082531403103</v>
      </c>
      <c r="D38" s="3" t="str">
        <f t="shared" si="3"/>
        <v>Yes</v>
      </c>
      <c r="E38" s="4">
        <v>2.0699999999999998</v>
      </c>
      <c r="F38" s="3">
        <f t="shared" si="4"/>
        <v>1770</v>
      </c>
      <c r="G38" s="4">
        <f>((2*C38*'String Lengths'!E38)^2)*F38/1000000000000</f>
        <v>111.85554440942695</v>
      </c>
      <c r="H38" s="4">
        <f t="shared" si="0"/>
        <v>376.43334612234889</v>
      </c>
      <c r="I38" s="4">
        <f>PI()*(E38^2)*F38*'String Lengths'!E38*C38/2000000000</f>
        <v>1.4974280475338424</v>
      </c>
      <c r="J38" s="4">
        <f>4*H38/'String Lengths'!E38</f>
        <v>1.4791094150190527</v>
      </c>
      <c r="K38" s="4">
        <f t="shared" si="5"/>
        <v>6.8305527079494937</v>
      </c>
      <c r="L38" s="4">
        <f>K38*(PI()^3)*(E38^4)/(0.128*H38*('String Lengths'!E38^2)*$L$127)</f>
        <v>0.6014894178071355</v>
      </c>
      <c r="M38" s="4">
        <f>0.008*('String Lengths'!E38^2)*C38*SQRT('Misc ref'!$B$9*F38/(K38*1000000000))/(PI()*E38)</f>
        <v>18.382796739698097</v>
      </c>
      <c r="N38" s="4">
        <f t="shared" si="1"/>
        <v>2.269739085030603</v>
      </c>
      <c r="O38" s="4">
        <f t="shared" si="2"/>
        <v>22.987218249163519</v>
      </c>
      <c r="W38" s="36">
        <f>IF(OR(Graphs!$B$10="Yes",Graphs!$B$11="Yes",Graphs!$B$12="Yes"),G38,$Y$127)</f>
        <v>111.85554440942695</v>
      </c>
      <c r="Y38" s="26">
        <f>IF(Graphs!$B$10="Yes",E38,$Y$127)</f>
        <v>2.0699999999999998</v>
      </c>
      <c r="Z38" s="4">
        <f>IF(Graphs!$B$10="Yes",F38,$Y$127)</f>
        <v>1770</v>
      </c>
      <c r="AA38" s="4">
        <f>IF(Graphs!$B$10="Yes",H38,$Y$127)</f>
        <v>376.43334612234889</v>
      </c>
      <c r="AB38" s="4">
        <f>IF(Graphs!$B$10="Yes",I38,$Y$127)</f>
        <v>1.4974280475338424</v>
      </c>
      <c r="AC38" s="4">
        <f>IF(Graphs!$B$10="Yes",J38,$Y$127)</f>
        <v>1.4791094150190527</v>
      </c>
      <c r="AD38" s="4">
        <f>IF(Graphs!$B$10="Yes",K38,$Y$127)</f>
        <v>6.8305527079494937</v>
      </c>
      <c r="AE38" s="4">
        <f>IF(Graphs!$B$10="Yes",L38,$Y$127)</f>
        <v>0.6014894178071355</v>
      </c>
      <c r="AF38" s="4">
        <f>IF(Graphs!$B$10="Yes",M38,$Y$127)</f>
        <v>18.382796739698097</v>
      </c>
      <c r="AG38" s="4">
        <f>IF(Graphs!$B$10="Yes",N38,$Y$127)</f>
        <v>2.269739085030603</v>
      </c>
      <c r="AH38" s="27">
        <f>IF(Graphs!$B$10="Yes",O38,$Y$127)</f>
        <v>22.987218249163519</v>
      </c>
    </row>
    <row r="39" spans="1:34" x14ac:dyDescent="0.25">
      <c r="A39" s="3">
        <v>33</v>
      </c>
      <c r="B39" s="3" t="s">
        <v>60</v>
      </c>
      <c r="C39" s="3">
        <v>110</v>
      </c>
      <c r="D39" s="3" t="str">
        <f t="shared" si="3"/>
        <v>Yes</v>
      </c>
      <c r="E39" s="4">
        <v>2.1</v>
      </c>
      <c r="F39" s="3">
        <f t="shared" si="4"/>
        <v>1770</v>
      </c>
      <c r="G39" s="4">
        <f>((2*C39*'String Lengths'!E39)^2)*F39/1000000000000</f>
        <v>97.532075652000003</v>
      </c>
      <c r="H39" s="4">
        <f t="shared" si="0"/>
        <v>337.81267272435008</v>
      </c>
      <c r="I39" s="4">
        <f>PI()*(E39^2)*F39*'String Lengths'!E39*C39/2000000000</f>
        <v>1.4390929229119453</v>
      </c>
      <c r="J39" s="4">
        <f>4*H39/'String Lengths'!E39</f>
        <v>1.266401772162512</v>
      </c>
      <c r="K39" s="4">
        <f t="shared" si="5"/>
        <v>6.363724649197124</v>
      </c>
      <c r="L39" s="4">
        <f>K39*(PI()^3)*(E39^4)/(0.128*H39*('String Lengths'!E39^2)*$L$127)</f>
        <v>0.60208552860170228</v>
      </c>
      <c r="M39" s="4">
        <f>0.008*('String Lengths'!E39^2)*C39*SQRT('Misc ref'!$B$9*F39/(K39*1000000000))/(PI()*E39)</f>
        <v>18.373694297641265</v>
      </c>
      <c r="N39" s="4">
        <f t="shared" si="1"/>
        <v>2.0211063727405394</v>
      </c>
      <c r="O39" s="4">
        <f t="shared" si="2"/>
        <v>22.041434244643028</v>
      </c>
      <c r="W39" s="37">
        <f>IF(OR(Graphs!$B$10="Yes",Graphs!$B$11="Yes",Graphs!$B$12="Yes"),G39,$Y$127)</f>
        <v>97.532075652000003</v>
      </c>
      <c r="Y39" s="28">
        <f>IF(Graphs!$B$10="Yes",E39,$Y$127)</f>
        <v>2.1</v>
      </c>
      <c r="Z39" s="15">
        <f>IF(Graphs!$B$10="Yes",F39,$Y$127)</f>
        <v>1770</v>
      </c>
      <c r="AA39" s="15">
        <f>IF(Graphs!$B$10="Yes",H39,$Y$127)</f>
        <v>337.81267272435008</v>
      </c>
      <c r="AB39" s="15">
        <f>IF(Graphs!$B$10="Yes",I39,$Y$127)</f>
        <v>1.4390929229119453</v>
      </c>
      <c r="AC39" s="15">
        <f>IF(Graphs!$B$10="Yes",J39,$Y$127)</f>
        <v>1.266401772162512</v>
      </c>
      <c r="AD39" s="15">
        <f>IF(Graphs!$B$10="Yes",K39,$Y$127)</f>
        <v>6.363724649197124</v>
      </c>
      <c r="AE39" s="15">
        <f>IF(Graphs!$B$10="Yes",L39,$Y$127)</f>
        <v>0.60208552860170228</v>
      </c>
      <c r="AF39" s="15">
        <f>IF(Graphs!$B$10="Yes",M39,$Y$127)</f>
        <v>18.373694297641265</v>
      </c>
      <c r="AG39" s="15">
        <f>IF(Graphs!$B$10="Yes",N39,$Y$127)</f>
        <v>2.0211063727405394</v>
      </c>
      <c r="AH39" s="29">
        <f>IF(Graphs!$B$10="Yes",O39,$Y$127)</f>
        <v>22.041434244643028</v>
      </c>
    </row>
    <row r="41" spans="1:34" x14ac:dyDescent="0.25">
      <c r="E41" s="31" t="s">
        <v>24</v>
      </c>
    </row>
    <row r="42" spans="1:34" x14ac:dyDescent="0.25">
      <c r="A42" s="3" t="s">
        <v>20</v>
      </c>
      <c r="B42" s="3" t="s">
        <v>21</v>
      </c>
      <c r="C42" s="3" t="s">
        <v>22</v>
      </c>
      <c r="D42" s="3" t="s">
        <v>87</v>
      </c>
      <c r="E42" s="31" t="s">
        <v>70</v>
      </c>
      <c r="F42" s="3" t="s">
        <v>62</v>
      </c>
      <c r="G42" s="3" t="s">
        <v>66</v>
      </c>
      <c r="H42" s="3" t="s">
        <v>68</v>
      </c>
      <c r="I42" s="3" t="s">
        <v>71</v>
      </c>
      <c r="J42" s="3" t="s">
        <v>73</v>
      </c>
      <c r="K42" s="3" t="s">
        <v>75</v>
      </c>
      <c r="L42" s="3" t="s">
        <v>77</v>
      </c>
      <c r="M42" s="3" t="s">
        <v>79</v>
      </c>
      <c r="N42" s="3" t="s">
        <v>80</v>
      </c>
      <c r="O42" s="3" t="s">
        <v>82</v>
      </c>
      <c r="Y42" s="9" t="s">
        <v>70</v>
      </c>
      <c r="Z42" s="24" t="s">
        <v>62</v>
      </c>
      <c r="AA42" s="24" t="s">
        <v>68</v>
      </c>
      <c r="AB42" s="24" t="s">
        <v>71</v>
      </c>
      <c r="AC42" s="24" t="s">
        <v>73</v>
      </c>
      <c r="AD42" s="24" t="s">
        <v>75</v>
      </c>
      <c r="AE42" s="24" t="s">
        <v>77</v>
      </c>
      <c r="AF42" s="24" t="s">
        <v>79</v>
      </c>
      <c r="AG42" s="24" t="s">
        <v>80</v>
      </c>
      <c r="AH42" s="10" t="s">
        <v>82</v>
      </c>
    </row>
    <row r="43" spans="1:34" x14ac:dyDescent="0.25">
      <c r="A43" s="3" t="s">
        <v>61</v>
      </c>
      <c r="C43" s="3" t="s">
        <v>25</v>
      </c>
      <c r="E43" s="31" t="s">
        <v>8</v>
      </c>
      <c r="F43" s="3" t="s">
        <v>63</v>
      </c>
      <c r="G43" s="3" t="s">
        <v>67</v>
      </c>
      <c r="H43" s="3" t="s">
        <v>69</v>
      </c>
      <c r="I43" s="3" t="s">
        <v>72</v>
      </c>
      <c r="J43" s="3" t="s">
        <v>74</v>
      </c>
      <c r="K43" s="3" t="s">
        <v>76</v>
      </c>
      <c r="L43" s="3" t="s">
        <v>78</v>
      </c>
      <c r="N43" s="3" t="s">
        <v>81</v>
      </c>
      <c r="O43" s="3" t="s">
        <v>83</v>
      </c>
      <c r="Y43" s="11" t="s">
        <v>8</v>
      </c>
      <c r="Z43" s="3" t="s">
        <v>63</v>
      </c>
      <c r="AA43" s="3" t="s">
        <v>69</v>
      </c>
      <c r="AB43" s="3" t="s">
        <v>72</v>
      </c>
      <c r="AC43" s="3" t="s">
        <v>74</v>
      </c>
      <c r="AD43" s="3" t="s">
        <v>76</v>
      </c>
      <c r="AE43" s="3" t="s">
        <v>78</v>
      </c>
      <c r="AG43" s="3" t="s">
        <v>81</v>
      </c>
      <c r="AH43" s="12" t="s">
        <v>83</v>
      </c>
    </row>
    <row r="44" spans="1:34" x14ac:dyDescent="0.25">
      <c r="Y44" s="25"/>
      <c r="AH44" s="17"/>
    </row>
    <row r="45" spans="1:34" x14ac:dyDescent="0.25">
      <c r="A45" s="1">
        <v>-1</v>
      </c>
      <c r="B45" s="3" t="s">
        <v>26</v>
      </c>
      <c r="C45" s="3">
        <v>3135.9634878539941</v>
      </c>
      <c r="D45" s="3" t="str">
        <f>IF(E45&lt;$E$127,"No","Yes")</f>
        <v>No</v>
      </c>
      <c r="E45" s="4">
        <v>0.43</v>
      </c>
      <c r="F45" s="3">
        <f>$F$127</f>
        <v>1770</v>
      </c>
      <c r="G45" s="4">
        <f>((2*C45*'String Lengths'!E5)^2)*F45/1000000000000</f>
        <v>371.04020650103922</v>
      </c>
      <c r="H45" s="4">
        <f>G45*PI()*(E45^2)/4</f>
        <v>53.882503465844081</v>
      </c>
      <c r="I45" s="4">
        <f>PI()*(E45^2)*F45*'String Lengths'!E5*C45/2000000000</f>
        <v>0.11768575888914276</v>
      </c>
      <c r="J45" s="4">
        <f>4*H45/'String Lengths'!E5</f>
        <v>2.9524659433339222</v>
      </c>
      <c r="K45" s="4">
        <f>IF(D45="No",$K$127+($K$128*G45),$K$129+($K$130*G45))</f>
        <v>18.463660920514691</v>
      </c>
      <c r="L45" s="4">
        <f>K45*(PI()^3)*(E45^4)/(0.128*H45*('String Lengths'!E5^2)*$L$127)</f>
        <v>4.113131163312997</v>
      </c>
      <c r="M45" s="4">
        <f>0.008*('String Lengths'!E5^2)*C45*SQRT('Misc ref'!$B$9*F45/(K45*1000000000))/(PI()*E45)</f>
        <v>7.0297406255061805</v>
      </c>
      <c r="N45" s="4">
        <f>M45*C45/1000</f>
        <v>22.045009930671281</v>
      </c>
      <c r="O45" s="4">
        <f>K45*PI()*(E45^2)/4</f>
        <v>2.6812950621269565</v>
      </c>
      <c r="Y45" s="26">
        <f>IF(Graphs!$B$11="Yes",E45,$Y$127)</f>
        <v>-100</v>
      </c>
      <c r="Z45" s="4">
        <f>IF(Graphs!$B$11="Yes",F45,$Y$127)</f>
        <v>-100</v>
      </c>
      <c r="AA45" s="4">
        <f>IF(Graphs!$B$11="Yes",H45,$Y$127)</f>
        <v>-100</v>
      </c>
      <c r="AB45" s="4">
        <f>IF(Graphs!$B$11="Yes",I45,$Y$127)</f>
        <v>-100</v>
      </c>
      <c r="AC45" s="4">
        <f>IF(Graphs!$B$11="Yes",J45,$Y$127)</f>
        <v>-100</v>
      </c>
      <c r="AD45" s="4">
        <f>IF(Graphs!$B$11="Yes",K45,$Y$127)</f>
        <v>-100</v>
      </c>
      <c r="AE45" s="4">
        <f>IF(Graphs!$B$11="Yes",L45,$Y$127)</f>
        <v>-100</v>
      </c>
      <c r="AF45" s="4">
        <f>IF(Graphs!$B$11="Yes",M45,$Y$127)</f>
        <v>-100</v>
      </c>
      <c r="AG45" s="4">
        <f>IF(Graphs!$B$11="Yes",N45,$Y$127)</f>
        <v>-100</v>
      </c>
      <c r="AH45" s="27">
        <f>IF(Graphs!$B$11="Yes",O45,$Y$127)</f>
        <v>-100</v>
      </c>
    </row>
    <row r="46" spans="1:34" x14ac:dyDescent="0.25">
      <c r="A46" s="2">
        <v>0</v>
      </c>
      <c r="B46" s="2" t="s">
        <v>27</v>
      </c>
      <c r="C46" s="2">
        <v>2793.8258514640311</v>
      </c>
      <c r="D46" s="2" t="str">
        <f t="shared" ref="D46:D79" si="6">IF(E46&lt;$E$127,"No","Yes")</f>
        <v>No</v>
      </c>
      <c r="E46" s="15">
        <v>0.45</v>
      </c>
      <c r="F46" s="2">
        <f t="shared" ref="F46:F79" si="7">$F$127</f>
        <v>1770</v>
      </c>
      <c r="G46" s="15">
        <f>((2*C46*'String Lengths'!E6)^2)*F46/1000000000000</f>
        <v>362.57842543216998</v>
      </c>
      <c r="H46" s="15">
        <f t="shared" ref="H46:H79" si="8">G46*PI()*(E46^2)/4</f>
        <v>57.665606957947915</v>
      </c>
      <c r="I46" s="15">
        <f>PI()*(E46^2)*F46*'String Lengths'!E6*C46/2000000000</f>
        <v>0.12740970830051002</v>
      </c>
      <c r="J46" s="15">
        <f>4*H46/'String Lengths'!E6</f>
        <v>2.8476842942196501</v>
      </c>
      <c r="K46" s="15">
        <f t="shared" ref="K46:K79" si="9">IF(D46="No",$K$127+($K$128*G46),$K$129+($K$130*G46))</f>
        <v>18.116647086681844</v>
      </c>
      <c r="L46" s="15">
        <f>K46*(PI()^3)*(E46^4)/(0.128*H46*('String Lengths'!E6^2)*$L$127)</f>
        <v>3.6737989071103447</v>
      </c>
      <c r="M46" s="15">
        <f>0.008*('String Lengths'!E6^2)*C46*SQRT('Misc ref'!$B$9*F46/(K46*1000000000))/(PI()*E46)</f>
        <v>7.438200664905473</v>
      </c>
      <c r="N46" s="15">
        <f t="shared" ref="N46:N79" si="10">M46*C46/1000</f>
        <v>20.781037305989855</v>
      </c>
      <c r="O46" s="15">
        <f t="shared" ref="O46:O79" si="11">K46*PI()*(E46^2)/4</f>
        <v>2.8813282231319297</v>
      </c>
      <c r="Y46" s="26">
        <f>IF(Graphs!$B$11="Yes",E46,$Y$127)</f>
        <v>-100</v>
      </c>
      <c r="Z46" s="4">
        <f>IF(Graphs!$B$11="Yes",F46,$Y$127)</f>
        <v>-100</v>
      </c>
      <c r="AA46" s="4">
        <f>IF(Graphs!$B$11="Yes",H46,$Y$127)</f>
        <v>-100</v>
      </c>
      <c r="AB46" s="4">
        <f>IF(Graphs!$B$11="Yes",I46,$Y$127)</f>
        <v>-100</v>
      </c>
      <c r="AC46" s="4">
        <f>IF(Graphs!$B$11="Yes",J46,$Y$127)</f>
        <v>-100</v>
      </c>
      <c r="AD46" s="4">
        <f>IF(Graphs!$B$11="Yes",K46,$Y$127)</f>
        <v>-100</v>
      </c>
      <c r="AE46" s="4">
        <f>IF(Graphs!$B$11="Yes",L46,$Y$127)</f>
        <v>-100</v>
      </c>
      <c r="AF46" s="4">
        <f>IF(Graphs!$B$11="Yes",M46,$Y$127)</f>
        <v>-100</v>
      </c>
      <c r="AG46" s="4">
        <f>IF(Graphs!$B$11="Yes",N46,$Y$127)</f>
        <v>-100</v>
      </c>
      <c r="AH46" s="27">
        <f>IF(Graphs!$B$11="Yes",O46,$Y$127)</f>
        <v>-100</v>
      </c>
    </row>
    <row r="47" spans="1:34" x14ac:dyDescent="0.25">
      <c r="A47" s="3">
        <v>1</v>
      </c>
      <c r="B47" s="3" t="s">
        <v>28</v>
      </c>
      <c r="C47" s="3">
        <v>2637.0204553029594</v>
      </c>
      <c r="D47" s="3" t="str">
        <f t="shared" si="6"/>
        <v>No</v>
      </c>
      <c r="E47" s="4">
        <v>0.45</v>
      </c>
      <c r="F47" s="3">
        <f t="shared" si="7"/>
        <v>1770</v>
      </c>
      <c r="G47" s="4">
        <f>((2*C47*'String Lengths'!E7)^2)*F47/1000000000000</f>
        <v>372.64797035177997</v>
      </c>
      <c r="H47" s="4">
        <f t="shared" si="8"/>
        <v>59.267098880385149</v>
      </c>
      <c r="I47" s="4">
        <f>PI()*(E47^2)*F47*'String Lengths'!E7*C47/2000000000</f>
        <v>0.12916680646972034</v>
      </c>
      <c r="J47" s="4">
        <f>4*H47/'String Lengths'!E7</f>
        <v>2.7249240864544895</v>
      </c>
      <c r="K47" s="4">
        <f t="shared" si="9"/>
        <v>18.529594592539837</v>
      </c>
      <c r="L47" s="4">
        <f>K47*(PI()^3)*(E47^4)/(0.128*H47*('String Lengths'!E7^2)*$L$127)</f>
        <v>3.1691165015430327</v>
      </c>
      <c r="M47" s="4">
        <f>0.008*('String Lengths'!E7^2)*C47*SQRT('Misc ref'!$B$9*F47/(K47*1000000000))/(PI()*E47)</f>
        <v>8.0085977045002998</v>
      </c>
      <c r="N47" s="4">
        <f t="shared" si="10"/>
        <v>21.118835965059617</v>
      </c>
      <c r="O47" s="4">
        <f t="shared" si="11"/>
        <v>2.9470046861997159</v>
      </c>
      <c r="Y47" s="26">
        <f>IF(Graphs!$B$11="Yes",E47,$Y$127)</f>
        <v>-100</v>
      </c>
      <c r="Z47" s="4">
        <f>IF(Graphs!$B$11="Yes",F47,$Y$127)</f>
        <v>-100</v>
      </c>
      <c r="AA47" s="4">
        <f>IF(Graphs!$B$11="Yes",H47,$Y$127)</f>
        <v>-100</v>
      </c>
      <c r="AB47" s="4">
        <f>IF(Graphs!$B$11="Yes",I47,$Y$127)</f>
        <v>-100</v>
      </c>
      <c r="AC47" s="4">
        <f>IF(Graphs!$B$11="Yes",J47,$Y$127)</f>
        <v>-100</v>
      </c>
      <c r="AD47" s="4">
        <f>IF(Graphs!$B$11="Yes",K47,$Y$127)</f>
        <v>-100</v>
      </c>
      <c r="AE47" s="4">
        <f>IF(Graphs!$B$11="Yes",L47,$Y$127)</f>
        <v>-100</v>
      </c>
      <c r="AF47" s="4">
        <f>IF(Graphs!$B$11="Yes",M47,$Y$127)</f>
        <v>-100</v>
      </c>
      <c r="AG47" s="4">
        <f>IF(Graphs!$B$11="Yes",N47,$Y$127)</f>
        <v>-100</v>
      </c>
      <c r="AH47" s="27">
        <f>IF(Graphs!$B$11="Yes",O47,$Y$127)</f>
        <v>-100</v>
      </c>
    </row>
    <row r="48" spans="1:34" x14ac:dyDescent="0.25">
      <c r="A48" s="3">
        <v>2</v>
      </c>
      <c r="B48" s="3" t="s">
        <v>29</v>
      </c>
      <c r="C48" s="3">
        <v>2349.3181433392606</v>
      </c>
      <c r="D48" s="3" t="str">
        <f t="shared" si="6"/>
        <v>No</v>
      </c>
      <c r="E48" s="4">
        <v>0.5</v>
      </c>
      <c r="F48" s="3">
        <f t="shared" si="7"/>
        <v>1770</v>
      </c>
      <c r="G48" s="4">
        <f>((2*C48*'String Lengths'!E8)^2)*F48/1000000000000</f>
        <v>352.66643981079579</v>
      </c>
      <c r="H48" s="4">
        <f t="shared" si="8"/>
        <v>69.245893529828933</v>
      </c>
      <c r="I48" s="4">
        <f>PI()*(E48^2)*F48*'String Lengths'!E8*C48/2000000000</f>
        <v>0.15513099928288263</v>
      </c>
      <c r="J48" s="4">
        <f>4*H48/'String Lengths'!E8</f>
        <v>2.9156165696770078</v>
      </c>
      <c r="K48" s="4">
        <f t="shared" si="9"/>
        <v>17.71016101674282</v>
      </c>
      <c r="L48" s="4">
        <f>K48*(PI()^3)*(E48^4)/(0.128*H48*('String Lengths'!E8^2)*$L$127)</f>
        <v>3.313871769265329</v>
      </c>
      <c r="M48" s="4">
        <f>0.008*('String Lengths'!E8^2)*C48*SQRT('Misc ref'!$B$9*F48/(K48*1000000000))/(PI()*E48)</f>
        <v>7.8317304394966873</v>
      </c>
      <c r="N48" s="4">
        <f t="shared" si="10"/>
        <v>18.399226415251928</v>
      </c>
      <c r="O48" s="4">
        <f t="shared" si="11"/>
        <v>3.4773819840057238</v>
      </c>
      <c r="Y48" s="26">
        <f>IF(Graphs!$B$11="Yes",E48,$Y$127)</f>
        <v>-100</v>
      </c>
      <c r="Z48" s="4">
        <f>IF(Graphs!$B$11="Yes",F48,$Y$127)</f>
        <v>-100</v>
      </c>
      <c r="AA48" s="4">
        <f>IF(Graphs!$B$11="Yes",H48,$Y$127)</f>
        <v>-100</v>
      </c>
      <c r="AB48" s="4">
        <f>IF(Graphs!$B$11="Yes",I48,$Y$127)</f>
        <v>-100</v>
      </c>
      <c r="AC48" s="4">
        <f>IF(Graphs!$B$11="Yes",J48,$Y$127)</f>
        <v>-100</v>
      </c>
      <c r="AD48" s="4">
        <f>IF(Graphs!$B$11="Yes",K48,$Y$127)</f>
        <v>-100</v>
      </c>
      <c r="AE48" s="4">
        <f>IF(Graphs!$B$11="Yes",L48,$Y$127)</f>
        <v>-100</v>
      </c>
      <c r="AF48" s="4">
        <f>IF(Graphs!$B$11="Yes",M48,$Y$127)</f>
        <v>-100</v>
      </c>
      <c r="AG48" s="4">
        <f>IF(Graphs!$B$11="Yes",N48,$Y$127)</f>
        <v>-100</v>
      </c>
      <c r="AH48" s="27">
        <f>IF(Graphs!$B$11="Yes",O48,$Y$127)</f>
        <v>-100</v>
      </c>
    </row>
    <row r="49" spans="1:34" x14ac:dyDescent="0.25">
      <c r="A49" s="3">
        <v>3</v>
      </c>
      <c r="B49" s="3" t="s">
        <v>30</v>
      </c>
      <c r="C49" s="3">
        <v>2093.0045224047894</v>
      </c>
      <c r="D49" s="3" t="str">
        <f t="shared" si="6"/>
        <v>No</v>
      </c>
      <c r="E49" s="4">
        <v>0.52</v>
      </c>
      <c r="F49" s="3">
        <f t="shared" si="7"/>
        <v>1770</v>
      </c>
      <c r="G49" s="4">
        <f>((2*C49*'String Lengths'!E9)^2)*F49/1000000000000</f>
        <v>329.0395030317473</v>
      </c>
      <c r="H49" s="4">
        <f t="shared" si="8"/>
        <v>69.878666577459285</v>
      </c>
      <c r="I49" s="4">
        <f>PI()*(E49^2)*F49*'String Lengths'!E9*C49/2000000000</f>
        <v>0.16207171289633454</v>
      </c>
      <c r="J49" s="4">
        <f>4*H49/'String Lengths'!E9</f>
        <v>2.7137346243673508</v>
      </c>
      <c r="K49" s="4">
        <f t="shared" si="9"/>
        <v>16.741230971555591</v>
      </c>
      <c r="L49" s="4">
        <f>K49*(PI()^3)*(E49^4)/(0.128*H49*('String Lengths'!E9^2)*$L$127)</f>
        <v>3.0892717331888631</v>
      </c>
      <c r="M49" s="4">
        <f>0.008*('String Lengths'!E9^2)*C49*SQRT('Misc ref'!$B$9*F49/(K49*1000000000))/(PI()*E49)</f>
        <v>8.1114318815027957</v>
      </c>
      <c r="N49" s="4">
        <f t="shared" si="10"/>
        <v>16.977263611163739</v>
      </c>
      <c r="O49" s="4">
        <f t="shared" si="11"/>
        <v>3.555363068502734</v>
      </c>
      <c r="Y49" s="26">
        <f>IF(Graphs!$B$11="Yes",E49,$Y$127)</f>
        <v>-100</v>
      </c>
      <c r="Z49" s="4">
        <f>IF(Graphs!$B$11="Yes",F49,$Y$127)</f>
        <v>-100</v>
      </c>
      <c r="AA49" s="4">
        <f>IF(Graphs!$B$11="Yes",H49,$Y$127)</f>
        <v>-100</v>
      </c>
      <c r="AB49" s="4">
        <f>IF(Graphs!$B$11="Yes",I49,$Y$127)</f>
        <v>-100</v>
      </c>
      <c r="AC49" s="4">
        <f>IF(Graphs!$B$11="Yes",J49,$Y$127)</f>
        <v>-100</v>
      </c>
      <c r="AD49" s="4">
        <f>IF(Graphs!$B$11="Yes",K49,$Y$127)</f>
        <v>-100</v>
      </c>
      <c r="AE49" s="4">
        <f>IF(Graphs!$B$11="Yes",L49,$Y$127)</f>
        <v>-100</v>
      </c>
      <c r="AF49" s="4">
        <f>IF(Graphs!$B$11="Yes",M49,$Y$127)</f>
        <v>-100</v>
      </c>
      <c r="AG49" s="4">
        <f>IF(Graphs!$B$11="Yes",N49,$Y$127)</f>
        <v>-100</v>
      </c>
      <c r="AH49" s="27">
        <f>IF(Graphs!$B$11="Yes",O49,$Y$127)</f>
        <v>-100</v>
      </c>
    </row>
    <row r="50" spans="1:34" x14ac:dyDescent="0.25">
      <c r="A50" s="3">
        <v>4</v>
      </c>
      <c r="B50" s="3" t="s">
        <v>31</v>
      </c>
      <c r="C50" s="3">
        <v>1975.5332050244965</v>
      </c>
      <c r="D50" s="3" t="str">
        <f t="shared" si="6"/>
        <v>No</v>
      </c>
      <c r="E50" s="4">
        <v>0.52</v>
      </c>
      <c r="F50" s="3">
        <f t="shared" si="7"/>
        <v>1770</v>
      </c>
      <c r="G50" s="4">
        <f>((2*C50*'String Lengths'!E10)^2)*F50/1000000000000</f>
        <v>352.82456289768163</v>
      </c>
      <c r="H50" s="4">
        <f t="shared" si="8"/>
        <v>74.92993930484414</v>
      </c>
      <c r="I50" s="4">
        <f>PI()*(E50^2)*F50*'String Lengths'!E10*C50/2000000000</f>
        <v>0.16782730007295624</v>
      </c>
      <c r="J50" s="4">
        <f>4*H50/'String Lengths'!E10</f>
        <v>2.6523872320298811</v>
      </c>
      <c r="K50" s="4">
        <f t="shared" si="9"/>
        <v>17.716645573380617</v>
      </c>
      <c r="L50" s="4">
        <f>K50*(PI()^3)*(E50^4)/(0.128*H50*('String Lengths'!E10^2)*$L$127)</f>
        <v>2.5331272703709762</v>
      </c>
      <c r="M50" s="4">
        <f>0.008*('String Lengths'!E10^2)*C50*SQRT('Misc ref'!$B$9*F50/(K50*1000000000))/(PI()*E50)</f>
        <v>8.9577115927224877</v>
      </c>
      <c r="N50" s="4">
        <f t="shared" si="10"/>
        <v>17.696256692456142</v>
      </c>
      <c r="O50" s="4">
        <f t="shared" si="11"/>
        <v>3.7625134899800594</v>
      </c>
      <c r="Y50" s="26">
        <f>IF(Graphs!$B$11="Yes",E50,$Y$127)</f>
        <v>-100</v>
      </c>
      <c r="Z50" s="4">
        <f>IF(Graphs!$B$11="Yes",F50,$Y$127)</f>
        <v>-100</v>
      </c>
      <c r="AA50" s="4">
        <f>IF(Graphs!$B$11="Yes",H50,$Y$127)</f>
        <v>-100</v>
      </c>
      <c r="AB50" s="4">
        <f>IF(Graphs!$B$11="Yes",I50,$Y$127)</f>
        <v>-100</v>
      </c>
      <c r="AC50" s="4">
        <f>IF(Graphs!$B$11="Yes",J50,$Y$127)</f>
        <v>-100</v>
      </c>
      <c r="AD50" s="4">
        <f>IF(Graphs!$B$11="Yes",K50,$Y$127)</f>
        <v>-100</v>
      </c>
      <c r="AE50" s="4">
        <f>IF(Graphs!$B$11="Yes",L50,$Y$127)</f>
        <v>-100</v>
      </c>
      <c r="AF50" s="4">
        <f>IF(Graphs!$B$11="Yes",M50,$Y$127)</f>
        <v>-100</v>
      </c>
      <c r="AG50" s="4">
        <f>IF(Graphs!$B$11="Yes",N50,$Y$127)</f>
        <v>-100</v>
      </c>
      <c r="AH50" s="27">
        <f>IF(Graphs!$B$11="Yes",O50,$Y$127)</f>
        <v>-100</v>
      </c>
    </row>
    <row r="51" spans="1:34" x14ac:dyDescent="0.25">
      <c r="A51" s="3">
        <v>5</v>
      </c>
      <c r="B51" s="3" t="s">
        <v>32</v>
      </c>
      <c r="C51" s="3">
        <v>1760</v>
      </c>
      <c r="D51" s="3" t="str">
        <f t="shared" si="6"/>
        <v>No</v>
      </c>
      <c r="E51" s="4">
        <v>0.55000000000000004</v>
      </c>
      <c r="F51" s="3">
        <f t="shared" si="7"/>
        <v>1770</v>
      </c>
      <c r="G51" s="4">
        <f>((2*C51*'String Lengths'!E11)^2)*F51/1000000000000</f>
        <v>326.421123072</v>
      </c>
      <c r="H51" s="4">
        <f t="shared" si="8"/>
        <v>77.552091542851585</v>
      </c>
      <c r="I51" s="4">
        <f>PI()*(E51^2)*F51*'String Lengths'!E11*C51/2000000000</f>
        <v>0.18058888678942714</v>
      </c>
      <c r="J51" s="4">
        <f>4*H51/'String Lengths'!E11</f>
        <v>2.5426915259951341</v>
      </c>
      <c r="K51" s="4">
        <f t="shared" si="9"/>
        <v>16.633852387677337</v>
      </c>
      <c r="L51" s="4">
        <f>K51*(PI()^3)*(E51^4)/(0.128*H51*('String Lengths'!E11^2)*$L$127)</f>
        <v>2.4672026977275738</v>
      </c>
      <c r="M51" s="4">
        <f>0.008*('String Lengths'!E11^2)*C51*SQRT('Misc ref'!$B$9*F51/(K51*1000000000))/(PI()*E51)</f>
        <v>9.0765993377946668</v>
      </c>
      <c r="N51" s="4">
        <f t="shared" si="10"/>
        <v>15.974814834518613</v>
      </c>
      <c r="O51" s="4">
        <f t="shared" si="11"/>
        <v>3.9519196274405779</v>
      </c>
      <c r="Y51" s="26">
        <f>IF(Graphs!$B$11="Yes",E51,$Y$127)</f>
        <v>-100</v>
      </c>
      <c r="Z51" s="4">
        <f>IF(Graphs!$B$11="Yes",F51,$Y$127)</f>
        <v>-100</v>
      </c>
      <c r="AA51" s="4">
        <f>IF(Graphs!$B$11="Yes",H51,$Y$127)</f>
        <v>-100</v>
      </c>
      <c r="AB51" s="4">
        <f>IF(Graphs!$B$11="Yes",I51,$Y$127)</f>
        <v>-100</v>
      </c>
      <c r="AC51" s="4">
        <f>IF(Graphs!$B$11="Yes",J51,$Y$127)</f>
        <v>-100</v>
      </c>
      <c r="AD51" s="4">
        <f>IF(Graphs!$B$11="Yes",K51,$Y$127)</f>
        <v>-100</v>
      </c>
      <c r="AE51" s="4">
        <f>IF(Graphs!$B$11="Yes",L51,$Y$127)</f>
        <v>-100</v>
      </c>
      <c r="AF51" s="4">
        <f>IF(Graphs!$B$11="Yes",M51,$Y$127)</f>
        <v>-100</v>
      </c>
      <c r="AG51" s="4">
        <f>IF(Graphs!$B$11="Yes",N51,$Y$127)</f>
        <v>-100</v>
      </c>
      <c r="AH51" s="27">
        <f>IF(Graphs!$B$11="Yes",O51,$Y$127)</f>
        <v>-100</v>
      </c>
    </row>
    <row r="52" spans="1:34" x14ac:dyDescent="0.25">
      <c r="A52" s="3">
        <v>6</v>
      </c>
      <c r="B52" s="3" t="s">
        <v>33</v>
      </c>
      <c r="C52" s="3">
        <v>1567.9817439269971</v>
      </c>
      <c r="D52" s="3" t="str">
        <f t="shared" si="6"/>
        <v>No</v>
      </c>
      <c r="E52" s="4">
        <v>0.6</v>
      </c>
      <c r="F52" s="3">
        <f t="shared" si="7"/>
        <v>1770</v>
      </c>
      <c r="G52" s="4">
        <f>((2*C52*'String Lengths'!E12)^2)*F52/1000000000000</f>
        <v>307.90627757538385</v>
      </c>
      <c r="H52" s="4">
        <f t="shared" si="8"/>
        <v>87.058448966250495</v>
      </c>
      <c r="I52" s="4">
        <f>PI()*(E52^2)*F52*'String Lengths'!E12*C52/2000000000</f>
        <v>0.20873164078369486</v>
      </c>
      <c r="J52" s="4">
        <f>4*H52/'String Lengths'!E12</f>
        <v>2.6182992170300903</v>
      </c>
      <c r="K52" s="4">
        <f t="shared" si="9"/>
        <v>15.874566905541583</v>
      </c>
      <c r="L52" s="4">
        <f>K52*(PI()^3)*(E52^4)/(0.128*H52*('String Lengths'!E12^2)*$L$127)</f>
        <v>2.4995802596213941</v>
      </c>
      <c r="M52" s="4">
        <f>0.008*('String Lengths'!E12^2)*C52*SQRT('Misc ref'!$B$9*F52/(K52*1000000000))/(PI()*E52)</f>
        <v>9.0176222284930301</v>
      </c>
      <c r="N52" s="4">
        <f t="shared" si="10"/>
        <v>14.139467027907354</v>
      </c>
      <c r="O52" s="4">
        <f t="shared" si="11"/>
        <v>4.4884280492432183</v>
      </c>
      <c r="Y52" s="26">
        <f>IF(Graphs!$B$11="Yes",E52,$Y$127)</f>
        <v>-100</v>
      </c>
      <c r="Z52" s="4">
        <f>IF(Graphs!$B$11="Yes",F52,$Y$127)</f>
        <v>-100</v>
      </c>
      <c r="AA52" s="4">
        <f>IF(Graphs!$B$11="Yes",H52,$Y$127)</f>
        <v>-100</v>
      </c>
      <c r="AB52" s="4">
        <f>IF(Graphs!$B$11="Yes",I52,$Y$127)</f>
        <v>-100</v>
      </c>
      <c r="AC52" s="4">
        <f>IF(Graphs!$B$11="Yes",J52,$Y$127)</f>
        <v>-100</v>
      </c>
      <c r="AD52" s="4">
        <f>IF(Graphs!$B$11="Yes",K52,$Y$127)</f>
        <v>-100</v>
      </c>
      <c r="AE52" s="4">
        <f>IF(Graphs!$B$11="Yes",L52,$Y$127)</f>
        <v>-100</v>
      </c>
      <c r="AF52" s="4">
        <f>IF(Graphs!$B$11="Yes",M52,$Y$127)</f>
        <v>-100</v>
      </c>
      <c r="AG52" s="4">
        <f>IF(Graphs!$B$11="Yes",N52,$Y$127)</f>
        <v>-100</v>
      </c>
      <c r="AH52" s="27">
        <f>IF(Graphs!$B$11="Yes",O52,$Y$127)</f>
        <v>-100</v>
      </c>
    </row>
    <row r="53" spans="1:34" x14ac:dyDescent="0.25">
      <c r="A53" s="2">
        <v>7</v>
      </c>
      <c r="B53" s="2" t="s">
        <v>34</v>
      </c>
      <c r="C53" s="2">
        <v>1396.9129257320155</v>
      </c>
      <c r="D53" s="2" t="str">
        <f t="shared" si="6"/>
        <v>No</v>
      </c>
      <c r="E53" s="15">
        <v>0.6</v>
      </c>
      <c r="F53" s="2">
        <f t="shared" si="7"/>
        <v>1770</v>
      </c>
      <c r="G53" s="15">
        <f>((2*C53*'String Lengths'!E13)^2)*F53/1000000000000</f>
        <v>286.48171885998619</v>
      </c>
      <c r="H53" s="15">
        <f t="shared" si="8"/>
        <v>81.000797702247823</v>
      </c>
      <c r="I53" s="15">
        <f>PI()*(E53^2)*F53*'String Lengths'!E13*C53/2000000000</f>
        <v>0.20133879830204052</v>
      </c>
      <c r="J53" s="15">
        <f>4*H53/'String Lengths'!E13</f>
        <v>2.2500221583957729</v>
      </c>
      <c r="K53" s="15">
        <f t="shared" si="9"/>
        <v>14.995955393674548</v>
      </c>
      <c r="L53" s="15">
        <f>K53*(PI()^3)*(E53^4)/(0.128*H53*('String Lengths'!E13^2)*$L$127)</f>
        <v>2.1649071156917565</v>
      </c>
      <c r="M53" s="15">
        <f>0.008*('String Lengths'!E13^2)*C53*SQRT('Misc ref'!$B$9*F53/(K53*1000000000))/(PI()*E53)</f>
        <v>9.6896021782026445</v>
      </c>
      <c r="N53" s="15">
        <f t="shared" si="10"/>
        <v>13.535530527932368</v>
      </c>
      <c r="O53" s="15">
        <f t="shared" si="11"/>
        <v>4.2400064968495368</v>
      </c>
      <c r="Y53" s="26">
        <f>IF(Graphs!$B$11="Yes",E53,$Y$127)</f>
        <v>-100</v>
      </c>
      <c r="Z53" s="4">
        <f>IF(Graphs!$B$11="Yes",F53,$Y$127)</f>
        <v>-100</v>
      </c>
      <c r="AA53" s="4">
        <f>IF(Graphs!$B$11="Yes",H53,$Y$127)</f>
        <v>-100</v>
      </c>
      <c r="AB53" s="4">
        <f>IF(Graphs!$B$11="Yes",I53,$Y$127)</f>
        <v>-100</v>
      </c>
      <c r="AC53" s="4">
        <f>IF(Graphs!$B$11="Yes",J53,$Y$127)</f>
        <v>-100</v>
      </c>
      <c r="AD53" s="4">
        <f>IF(Graphs!$B$11="Yes",K53,$Y$127)</f>
        <v>-100</v>
      </c>
      <c r="AE53" s="4">
        <f>IF(Graphs!$B$11="Yes",L53,$Y$127)</f>
        <v>-100</v>
      </c>
      <c r="AF53" s="4">
        <f>IF(Graphs!$B$11="Yes",M53,$Y$127)</f>
        <v>-100</v>
      </c>
      <c r="AG53" s="4">
        <f>IF(Graphs!$B$11="Yes",N53,$Y$127)</f>
        <v>-100</v>
      </c>
      <c r="AH53" s="27">
        <f>IF(Graphs!$B$11="Yes",O53,$Y$127)</f>
        <v>-100</v>
      </c>
    </row>
    <row r="54" spans="1:34" x14ac:dyDescent="0.25">
      <c r="A54" s="3">
        <v>8</v>
      </c>
      <c r="B54" s="3" t="s">
        <v>35</v>
      </c>
      <c r="C54" s="3">
        <v>1318.5102276514797</v>
      </c>
      <c r="D54" s="3" t="str">
        <f t="shared" si="6"/>
        <v>No</v>
      </c>
      <c r="E54" s="4">
        <v>0.64</v>
      </c>
      <c r="F54" s="3">
        <f t="shared" si="7"/>
        <v>1770</v>
      </c>
      <c r="G54" s="4">
        <f>((2*C54*'String Lengths'!E14)^2)*F54/1000000000000</f>
        <v>291.90511510314485</v>
      </c>
      <c r="H54" s="4">
        <f t="shared" si="8"/>
        <v>93.905609231700268</v>
      </c>
      <c r="I54" s="4">
        <f>PI()*(E54^2)*F54*'String Lengths'!E14*C54/2000000000</f>
        <v>0.23123699404624964</v>
      </c>
      <c r="J54" s="4">
        <f>4*H54/'String Lengths'!E14</f>
        <v>2.4391067332909162</v>
      </c>
      <c r="K54" s="4">
        <f t="shared" si="9"/>
        <v>15.218366433078174</v>
      </c>
      <c r="L54" s="4">
        <f>K54*(PI()^3)*(E54^4)/(0.128*H54*('String Lengths'!E14^2)*$L$127)</f>
        <v>2.1450102071302615</v>
      </c>
      <c r="M54" s="4">
        <f>0.008*('String Lengths'!E14^2)*C54*SQRT('Misc ref'!$B$9*F54/(K54*1000000000))/(PI()*E54)</f>
        <v>9.7344383535429806</v>
      </c>
      <c r="N54" s="4">
        <f t="shared" si="10"/>
        <v>12.834956529589251</v>
      </c>
      <c r="O54" s="4">
        <f t="shared" si="11"/>
        <v>4.8957345982255003</v>
      </c>
      <c r="Y54" s="26">
        <f>IF(Graphs!$B$11="Yes",E54,$Y$127)</f>
        <v>-100</v>
      </c>
      <c r="Z54" s="4">
        <f>IF(Graphs!$B$11="Yes",F54,$Y$127)</f>
        <v>-100</v>
      </c>
      <c r="AA54" s="4">
        <f>IF(Graphs!$B$11="Yes",H54,$Y$127)</f>
        <v>-100</v>
      </c>
      <c r="AB54" s="4">
        <f>IF(Graphs!$B$11="Yes",I54,$Y$127)</f>
        <v>-100</v>
      </c>
      <c r="AC54" s="4">
        <f>IF(Graphs!$B$11="Yes",J54,$Y$127)</f>
        <v>-100</v>
      </c>
      <c r="AD54" s="4">
        <f>IF(Graphs!$B$11="Yes",K54,$Y$127)</f>
        <v>-100</v>
      </c>
      <c r="AE54" s="4">
        <f>IF(Graphs!$B$11="Yes",L54,$Y$127)</f>
        <v>-100</v>
      </c>
      <c r="AF54" s="4">
        <f>IF(Graphs!$B$11="Yes",M54,$Y$127)</f>
        <v>-100</v>
      </c>
      <c r="AG54" s="4">
        <f>IF(Graphs!$B$11="Yes",N54,$Y$127)</f>
        <v>-100</v>
      </c>
      <c r="AH54" s="27">
        <f>IF(Graphs!$B$11="Yes",O54,$Y$127)</f>
        <v>-100</v>
      </c>
    </row>
    <row r="55" spans="1:34" x14ac:dyDescent="0.25">
      <c r="A55" s="3">
        <v>9</v>
      </c>
      <c r="B55" s="3" t="s">
        <v>36</v>
      </c>
      <c r="C55" s="3">
        <v>1174.6590716696303</v>
      </c>
      <c r="D55" s="3" t="str">
        <f t="shared" si="6"/>
        <v>No</v>
      </c>
      <c r="E55" s="4">
        <v>0.66</v>
      </c>
      <c r="F55" s="3">
        <f t="shared" si="7"/>
        <v>1770</v>
      </c>
      <c r="G55" s="4">
        <f>((2*C55*'String Lengths'!E15)^2)*F55/1000000000000</f>
        <v>279.01679189573798</v>
      </c>
      <c r="H55" s="4">
        <f t="shared" si="8"/>
        <v>95.457068587250063</v>
      </c>
      <c r="I55" s="4">
        <f>PI()*(E55^2)*F55*'String Lengths'!E15*C55/2000000000</f>
        <v>0.24042496201280847</v>
      </c>
      <c r="J55" s="4">
        <f>4*H55/'String Lengths'!E15</f>
        <v>2.2593389014733742</v>
      </c>
      <c r="K55" s="4">
        <f t="shared" si="9"/>
        <v>14.689822098087861</v>
      </c>
      <c r="L55" s="4">
        <f>K55*(PI()^3)*(E55^4)/(0.128*H55*('String Lengths'!E15^2)*$L$127)</f>
        <v>1.9128687942701177</v>
      </c>
      <c r="M55" s="4">
        <f>0.008*('String Lengths'!E15^2)*C55*SQRT('Misc ref'!$B$9*F55/(K55*1000000000))/(PI()*E55)</f>
        <v>10.308203641164063</v>
      </c>
      <c r="N55" s="4">
        <f t="shared" si="10"/>
        <v>12.10862491971128</v>
      </c>
      <c r="O55" s="4">
        <f t="shared" si="11"/>
        <v>5.0256737095438382</v>
      </c>
      <c r="Y55" s="26">
        <f>IF(Graphs!$B$11="Yes",E55,$Y$127)</f>
        <v>-100</v>
      </c>
      <c r="Z55" s="4">
        <f>IF(Graphs!$B$11="Yes",F55,$Y$127)</f>
        <v>-100</v>
      </c>
      <c r="AA55" s="4">
        <f>IF(Graphs!$B$11="Yes",H55,$Y$127)</f>
        <v>-100</v>
      </c>
      <c r="AB55" s="4">
        <f>IF(Graphs!$B$11="Yes",I55,$Y$127)</f>
        <v>-100</v>
      </c>
      <c r="AC55" s="4">
        <f>IF(Graphs!$B$11="Yes",J55,$Y$127)</f>
        <v>-100</v>
      </c>
      <c r="AD55" s="4">
        <f>IF(Graphs!$B$11="Yes",K55,$Y$127)</f>
        <v>-100</v>
      </c>
      <c r="AE55" s="4">
        <f>IF(Graphs!$B$11="Yes",L55,$Y$127)</f>
        <v>-100</v>
      </c>
      <c r="AF55" s="4">
        <f>IF(Graphs!$B$11="Yes",M55,$Y$127)</f>
        <v>-100</v>
      </c>
      <c r="AG55" s="4">
        <f>IF(Graphs!$B$11="Yes",N55,$Y$127)</f>
        <v>-100</v>
      </c>
      <c r="AH55" s="27">
        <f>IF(Graphs!$B$11="Yes",O55,$Y$127)</f>
        <v>-100</v>
      </c>
    </row>
    <row r="56" spans="1:34" x14ac:dyDescent="0.25">
      <c r="A56" s="3">
        <v>10</v>
      </c>
      <c r="B56" s="3" t="s">
        <v>37</v>
      </c>
      <c r="C56" s="3">
        <v>1046.5022612023947</v>
      </c>
      <c r="D56" s="3" t="str">
        <f t="shared" si="6"/>
        <v>No</v>
      </c>
      <c r="E56" s="4">
        <v>0.71</v>
      </c>
      <c r="F56" s="3">
        <f t="shared" si="7"/>
        <v>1770</v>
      </c>
      <c r="G56" s="4">
        <f>((2*C56*'String Lengths'!E16)^2)*F56/1000000000000</f>
        <v>256.83628283588462</v>
      </c>
      <c r="H56" s="4">
        <f t="shared" si="8"/>
        <v>101.68641927038152</v>
      </c>
      <c r="I56" s="4">
        <f>PI()*(E56^2)*F56*'String Lengths'!E16*C56/2000000000</f>
        <v>0.26694475975415216</v>
      </c>
      <c r="J56" s="4">
        <f>4*H56/'String Lengths'!E16</f>
        <v>2.2348663575908025</v>
      </c>
      <c r="K56" s="4">
        <f t="shared" si="9"/>
        <v>13.780209402772352</v>
      </c>
      <c r="L56" s="4">
        <f>K56*(PI()^3)*(E56^4)/(0.128*H56*('String Lengths'!E16^2)*$L$127)</f>
        <v>1.9451714557456534</v>
      </c>
      <c r="M56" s="4">
        <f>0.008*('String Lengths'!E16^2)*C56*SQRT('Misc ref'!$B$9*F56/(K56*1000000000))/(PI()*E56)</f>
        <v>10.222253264826616</v>
      </c>
      <c r="N56" s="4">
        <f t="shared" si="10"/>
        <v>10.697611156224616</v>
      </c>
      <c r="O56" s="4">
        <f t="shared" si="11"/>
        <v>5.455849677825122</v>
      </c>
      <c r="Y56" s="26">
        <f>IF(Graphs!$B$11="Yes",E56,$Y$127)</f>
        <v>-100</v>
      </c>
      <c r="Z56" s="4">
        <f>IF(Graphs!$B$11="Yes",F56,$Y$127)</f>
        <v>-100</v>
      </c>
      <c r="AA56" s="4">
        <f>IF(Graphs!$B$11="Yes",H56,$Y$127)</f>
        <v>-100</v>
      </c>
      <c r="AB56" s="4">
        <f>IF(Graphs!$B$11="Yes",I56,$Y$127)</f>
        <v>-100</v>
      </c>
      <c r="AC56" s="4">
        <f>IF(Graphs!$B$11="Yes",J56,$Y$127)</f>
        <v>-100</v>
      </c>
      <c r="AD56" s="4">
        <f>IF(Graphs!$B$11="Yes",K56,$Y$127)</f>
        <v>-100</v>
      </c>
      <c r="AE56" s="4">
        <f>IF(Graphs!$B$11="Yes",L56,$Y$127)</f>
        <v>-100</v>
      </c>
      <c r="AF56" s="4">
        <f>IF(Graphs!$B$11="Yes",M56,$Y$127)</f>
        <v>-100</v>
      </c>
      <c r="AG56" s="4">
        <f>IF(Graphs!$B$11="Yes",N56,$Y$127)</f>
        <v>-100</v>
      </c>
      <c r="AH56" s="27">
        <f>IF(Graphs!$B$11="Yes",O56,$Y$127)</f>
        <v>-100</v>
      </c>
    </row>
    <row r="57" spans="1:34" x14ac:dyDescent="0.25">
      <c r="A57" s="3">
        <v>11</v>
      </c>
      <c r="B57" s="3" t="s">
        <v>38</v>
      </c>
      <c r="C57" s="3">
        <v>987.76660251224826</v>
      </c>
      <c r="D57" s="3" t="str">
        <f t="shared" si="6"/>
        <v>No</v>
      </c>
      <c r="E57" s="4">
        <v>0.74</v>
      </c>
      <c r="F57" s="3">
        <f t="shared" si="7"/>
        <v>1770</v>
      </c>
      <c r="G57" s="4">
        <f>((2*C57*'String Lengths'!E17)^2)*F57/1000000000000</f>
        <v>268.08615517065016</v>
      </c>
      <c r="H57" s="4">
        <f t="shared" si="8"/>
        <v>115.29957514945362</v>
      </c>
      <c r="I57" s="4">
        <f>PI()*(E57^2)*F57*'String Lengths'!E17*C57/2000000000</f>
        <v>0.29626281640163232</v>
      </c>
      <c r="J57" s="4">
        <f>4*H57/'String Lengths'!E17</f>
        <v>2.3411081248620023</v>
      </c>
      <c r="K57" s="4">
        <f t="shared" si="9"/>
        <v>14.241561604778536</v>
      </c>
      <c r="L57" s="4">
        <f>K57*(PI()^3)*(E57^4)/(0.128*H57*('String Lengths'!E17^2)*$L$127)</f>
        <v>1.7856598711535112</v>
      </c>
      <c r="M57" s="4">
        <f>0.008*('String Lengths'!E17^2)*C57*SQRT('Misc ref'!$B$9*F57/(K57*1000000000))/(PI()*E57)</f>
        <v>10.669061321084561</v>
      </c>
      <c r="N57" s="4">
        <f t="shared" si="10"/>
        <v>10.538542453122536</v>
      </c>
      <c r="O57" s="4">
        <f t="shared" si="11"/>
        <v>6.1250682693796419</v>
      </c>
      <c r="Y57" s="26">
        <f>IF(Graphs!$B$11="Yes",E57,$Y$127)</f>
        <v>-100</v>
      </c>
      <c r="Z57" s="4">
        <f>IF(Graphs!$B$11="Yes",F57,$Y$127)</f>
        <v>-100</v>
      </c>
      <c r="AA57" s="4">
        <f>IF(Graphs!$B$11="Yes",H57,$Y$127)</f>
        <v>-100</v>
      </c>
      <c r="AB57" s="4">
        <f>IF(Graphs!$B$11="Yes",I57,$Y$127)</f>
        <v>-100</v>
      </c>
      <c r="AC57" s="4">
        <f>IF(Graphs!$B$11="Yes",J57,$Y$127)</f>
        <v>-100</v>
      </c>
      <c r="AD57" s="4">
        <f>IF(Graphs!$B$11="Yes",K57,$Y$127)</f>
        <v>-100</v>
      </c>
      <c r="AE57" s="4">
        <f>IF(Graphs!$B$11="Yes",L57,$Y$127)</f>
        <v>-100</v>
      </c>
      <c r="AF57" s="4">
        <f>IF(Graphs!$B$11="Yes",M57,$Y$127)</f>
        <v>-100</v>
      </c>
      <c r="AG57" s="4">
        <f>IF(Graphs!$B$11="Yes",N57,$Y$127)</f>
        <v>-100</v>
      </c>
      <c r="AH57" s="27">
        <f>IF(Graphs!$B$11="Yes",O57,$Y$127)</f>
        <v>-100</v>
      </c>
    </row>
    <row r="58" spans="1:34" x14ac:dyDescent="0.25">
      <c r="A58" s="3">
        <v>12</v>
      </c>
      <c r="B58" s="3" t="s">
        <v>39</v>
      </c>
      <c r="C58" s="3">
        <v>880</v>
      </c>
      <c r="D58" s="3" t="str">
        <f t="shared" si="6"/>
        <v>No</v>
      </c>
      <c r="E58" s="4">
        <v>0.77</v>
      </c>
      <c r="F58" s="3">
        <f t="shared" si="7"/>
        <v>1770</v>
      </c>
      <c r="G58" s="4">
        <f>((2*C58*'String Lengths'!E18)^2)*F58/1000000000000</f>
        <v>248.746975488</v>
      </c>
      <c r="H58" s="4">
        <f t="shared" si="8"/>
        <v>115.83215615370466</v>
      </c>
      <c r="I58" s="4">
        <f>PI()*(E58^2)*F58*'String Lengths'!E18*C58/2000000000</f>
        <v>0.30898462482315581</v>
      </c>
      <c r="J58" s="4">
        <f>4*H58/'String Lengths'!E18</f>
        <v>2.1752517587550169</v>
      </c>
      <c r="K58" s="4">
        <f t="shared" si="9"/>
        <v>13.448470548623911</v>
      </c>
      <c r="L58" s="4">
        <f>K58*(PI()^3)*(E58^4)/(0.128*H58*('String Lengths'!E18^2)*$L$127)</f>
        <v>1.6831462582514793</v>
      </c>
      <c r="M58" s="4">
        <f>0.008*('String Lengths'!E18^2)*C58*SQRT('Misc ref'!$B$9*F58/(K58*1000000000))/(PI()*E58)</f>
        <v>10.989163949125466</v>
      </c>
      <c r="N58" s="4">
        <f t="shared" si="10"/>
        <v>9.67046427523041</v>
      </c>
      <c r="O58" s="4">
        <f t="shared" si="11"/>
        <v>6.2624493727436397</v>
      </c>
      <c r="Y58" s="26">
        <f>IF(Graphs!$B$11="Yes",E58,$Y$127)</f>
        <v>-100</v>
      </c>
      <c r="Z58" s="4">
        <f>IF(Graphs!$B$11="Yes",F58,$Y$127)</f>
        <v>-100</v>
      </c>
      <c r="AA58" s="4">
        <f>IF(Graphs!$B$11="Yes",H58,$Y$127)</f>
        <v>-100</v>
      </c>
      <c r="AB58" s="4">
        <f>IF(Graphs!$B$11="Yes",I58,$Y$127)</f>
        <v>-100</v>
      </c>
      <c r="AC58" s="4">
        <f>IF(Graphs!$B$11="Yes",J58,$Y$127)</f>
        <v>-100</v>
      </c>
      <c r="AD58" s="4">
        <f>IF(Graphs!$B$11="Yes",K58,$Y$127)</f>
        <v>-100</v>
      </c>
      <c r="AE58" s="4">
        <f>IF(Graphs!$B$11="Yes",L58,$Y$127)</f>
        <v>-100</v>
      </c>
      <c r="AF58" s="4">
        <f>IF(Graphs!$B$11="Yes",M58,$Y$127)</f>
        <v>-100</v>
      </c>
      <c r="AG58" s="4">
        <f>IF(Graphs!$B$11="Yes",N58,$Y$127)</f>
        <v>-100</v>
      </c>
      <c r="AH58" s="27">
        <f>IF(Graphs!$B$11="Yes",O58,$Y$127)</f>
        <v>-100</v>
      </c>
    </row>
    <row r="59" spans="1:34" x14ac:dyDescent="0.25">
      <c r="A59" s="3">
        <v>13</v>
      </c>
      <c r="B59" s="3" t="s">
        <v>40</v>
      </c>
      <c r="C59" s="3">
        <v>783.99087196349853</v>
      </c>
      <c r="D59" s="3" t="str">
        <f t="shared" si="6"/>
        <v>No</v>
      </c>
      <c r="E59" s="4">
        <v>0.84</v>
      </c>
      <c r="F59" s="3">
        <f t="shared" si="7"/>
        <v>1770</v>
      </c>
      <c r="G59" s="4">
        <f>((2*C59*'String Lengths'!E19)^2)*F59/1000000000000</f>
        <v>232.2090971465326</v>
      </c>
      <c r="H59" s="4">
        <f t="shared" si="8"/>
        <v>128.68492784731561</v>
      </c>
      <c r="I59" s="4">
        <f>PI()*(E59^2)*F59*'String Lengths'!E19*C59/2000000000</f>
        <v>0.35528322436551002</v>
      </c>
      <c r="J59" s="4">
        <f>4*H59/'String Lengths'!E19</f>
        <v>2.2283104389145558</v>
      </c>
      <c r="K59" s="4">
        <f t="shared" si="9"/>
        <v>12.770259599885586</v>
      </c>
      <c r="L59" s="4">
        <f>K59*(PI()^3)*(E59^4)/(0.128*H59*('String Lengths'!E19^2)*$L$127)</f>
        <v>1.7323659279928489</v>
      </c>
      <c r="M59" s="4">
        <f>0.008*('String Lengths'!E19^2)*C59*SQRT('Misc ref'!$B$9*F59/(K59*1000000000))/(PI()*E59)</f>
        <v>10.8319279848879</v>
      </c>
      <c r="N59" s="4">
        <f t="shared" si="10"/>
        <v>8.4921326659180867</v>
      </c>
      <c r="O59" s="4">
        <f t="shared" si="11"/>
        <v>7.076983440341948</v>
      </c>
      <c r="Y59" s="26">
        <f>IF(Graphs!$B$11="Yes",E59,$Y$127)</f>
        <v>-100</v>
      </c>
      <c r="Z59" s="4">
        <f>IF(Graphs!$B$11="Yes",F59,$Y$127)</f>
        <v>-100</v>
      </c>
      <c r="AA59" s="4">
        <f>IF(Graphs!$B$11="Yes",H59,$Y$127)</f>
        <v>-100</v>
      </c>
      <c r="AB59" s="4">
        <f>IF(Graphs!$B$11="Yes",I59,$Y$127)</f>
        <v>-100</v>
      </c>
      <c r="AC59" s="4">
        <f>IF(Graphs!$B$11="Yes",J59,$Y$127)</f>
        <v>-100</v>
      </c>
      <c r="AD59" s="4">
        <f>IF(Graphs!$B$11="Yes",K59,$Y$127)</f>
        <v>-100</v>
      </c>
      <c r="AE59" s="4">
        <f>IF(Graphs!$B$11="Yes",L59,$Y$127)</f>
        <v>-100</v>
      </c>
      <c r="AF59" s="4">
        <f>IF(Graphs!$B$11="Yes",M59,$Y$127)</f>
        <v>-100</v>
      </c>
      <c r="AG59" s="4">
        <f>IF(Graphs!$B$11="Yes",N59,$Y$127)</f>
        <v>-100</v>
      </c>
      <c r="AH59" s="27">
        <f>IF(Graphs!$B$11="Yes",O59,$Y$127)</f>
        <v>-100</v>
      </c>
    </row>
    <row r="60" spans="1:34" x14ac:dyDescent="0.25">
      <c r="A60" s="2">
        <v>14</v>
      </c>
      <c r="B60" s="2" t="s">
        <v>41</v>
      </c>
      <c r="C60" s="2">
        <v>698.45646286600777</v>
      </c>
      <c r="D60" s="2" t="str">
        <f t="shared" si="6"/>
        <v>No</v>
      </c>
      <c r="E60" s="15">
        <v>0.86</v>
      </c>
      <c r="F60" s="2">
        <f t="shared" si="7"/>
        <v>1770</v>
      </c>
      <c r="G60" s="15">
        <f>((2*C60*'String Lengths'!E20)^2)*F60/1000000000000</f>
        <v>215.86983300478803</v>
      </c>
      <c r="H60" s="15">
        <f t="shared" si="8"/>
        <v>125.39457256925708</v>
      </c>
      <c r="I60" s="15">
        <f>PI()*(E60^2)*F60*'String Lengths'!E20*C60/2000000000</f>
        <v>0.35906195800585727</v>
      </c>
      <c r="J60" s="15">
        <f>4*H60/'String Lengths'!E20</f>
        <v>2.0063131611081131</v>
      </c>
      <c r="K60" s="15">
        <f t="shared" si="9"/>
        <v>12.100193730101505</v>
      </c>
      <c r="L60" s="15">
        <f>K60*(PI()^3)*(E60^4)/(0.128*H60*('String Lengths'!E20^2)*$L$127)</f>
        <v>1.5801625994603539</v>
      </c>
      <c r="M60" s="15">
        <f>0.008*('String Lengths'!E20^2)*C60*SQRT('Misc ref'!$B$9*F60/(K60*1000000000))/(PI()*E60)</f>
        <v>11.341609536994948</v>
      </c>
      <c r="N60" s="15">
        <f t="shared" si="10"/>
        <v>7.9216204804168715</v>
      </c>
      <c r="O60" s="15">
        <f t="shared" si="11"/>
        <v>7.0287663619845802</v>
      </c>
      <c r="Y60" s="26">
        <f>IF(Graphs!$B$11="Yes",E60,$Y$127)</f>
        <v>-100</v>
      </c>
      <c r="Z60" s="4">
        <f>IF(Graphs!$B$11="Yes",F60,$Y$127)</f>
        <v>-100</v>
      </c>
      <c r="AA60" s="4">
        <f>IF(Graphs!$B$11="Yes",H60,$Y$127)</f>
        <v>-100</v>
      </c>
      <c r="AB60" s="4">
        <f>IF(Graphs!$B$11="Yes",I60,$Y$127)</f>
        <v>-100</v>
      </c>
      <c r="AC60" s="4">
        <f>IF(Graphs!$B$11="Yes",J60,$Y$127)</f>
        <v>-100</v>
      </c>
      <c r="AD60" s="4">
        <f>IF(Graphs!$B$11="Yes",K60,$Y$127)</f>
        <v>-100</v>
      </c>
      <c r="AE60" s="4">
        <f>IF(Graphs!$B$11="Yes",L60,$Y$127)</f>
        <v>-100</v>
      </c>
      <c r="AF60" s="4">
        <f>IF(Graphs!$B$11="Yes",M60,$Y$127)</f>
        <v>-100</v>
      </c>
      <c r="AG60" s="4">
        <f>IF(Graphs!$B$11="Yes",N60,$Y$127)</f>
        <v>-100</v>
      </c>
      <c r="AH60" s="27">
        <f>IF(Graphs!$B$11="Yes",O60,$Y$127)</f>
        <v>-100</v>
      </c>
    </row>
    <row r="61" spans="1:34" x14ac:dyDescent="0.25">
      <c r="A61" s="3">
        <v>15</v>
      </c>
      <c r="B61" s="3" t="s">
        <v>42</v>
      </c>
      <c r="C61" s="3">
        <v>659.25511382573984</v>
      </c>
      <c r="D61" s="3" t="str">
        <f t="shared" si="6"/>
        <v>No</v>
      </c>
      <c r="E61" s="4">
        <v>0.86</v>
      </c>
      <c r="F61" s="3">
        <f t="shared" si="7"/>
        <v>1770</v>
      </c>
      <c r="G61" s="4">
        <f>((2*C61*'String Lengths'!E21)^2)*F61/1000000000000</f>
        <v>227.65546504249318</v>
      </c>
      <c r="H61" s="4">
        <f t="shared" si="8"/>
        <v>132.24061618385423</v>
      </c>
      <c r="I61" s="4">
        <f>PI()*(E61^2)*F61*'String Lengths'!E21*C61/2000000000</f>
        <v>0.36873338239933873</v>
      </c>
      <c r="J61" s="4">
        <f>4*H61/'String Lengths'!E21</f>
        <v>1.9447149438802092</v>
      </c>
      <c r="K61" s="4">
        <f t="shared" si="9"/>
        <v>12.583517196433377</v>
      </c>
      <c r="L61" s="4">
        <f>K61*(PI()^3)*(E61^4)/(0.128*H61*('String Lengths'!E21^2)*$L$127)</f>
        <v>1.316338507648728</v>
      </c>
      <c r="M61" s="4">
        <f>0.008*('String Lengths'!E21^2)*C61*SQRT('Misc ref'!$B$9*F61/(K61*1000000000))/(PI()*E61)</f>
        <v>12.426298665247804</v>
      </c>
      <c r="N61" s="4">
        <f t="shared" si="10"/>
        <v>8.1921009409905796</v>
      </c>
      <c r="O61" s="4">
        <f t="shared" si="11"/>
        <v>7.3095195298995819</v>
      </c>
      <c r="Y61" s="26">
        <f>IF(Graphs!$B$11="Yes",E61,$Y$127)</f>
        <v>-100</v>
      </c>
      <c r="Z61" s="4">
        <f>IF(Graphs!$B$11="Yes",F61,$Y$127)</f>
        <v>-100</v>
      </c>
      <c r="AA61" s="4">
        <f>IF(Graphs!$B$11="Yes",H61,$Y$127)</f>
        <v>-100</v>
      </c>
      <c r="AB61" s="4">
        <f>IF(Graphs!$B$11="Yes",I61,$Y$127)</f>
        <v>-100</v>
      </c>
      <c r="AC61" s="4">
        <f>IF(Graphs!$B$11="Yes",J61,$Y$127)</f>
        <v>-100</v>
      </c>
      <c r="AD61" s="4">
        <f>IF(Graphs!$B$11="Yes",K61,$Y$127)</f>
        <v>-100</v>
      </c>
      <c r="AE61" s="4">
        <f>IF(Graphs!$B$11="Yes",L61,$Y$127)</f>
        <v>-100</v>
      </c>
      <c r="AF61" s="4">
        <f>IF(Graphs!$B$11="Yes",M61,$Y$127)</f>
        <v>-100</v>
      </c>
      <c r="AG61" s="4">
        <f>IF(Graphs!$B$11="Yes",N61,$Y$127)</f>
        <v>-100</v>
      </c>
      <c r="AH61" s="27">
        <f>IF(Graphs!$B$11="Yes",O61,$Y$127)</f>
        <v>-100</v>
      </c>
    </row>
    <row r="62" spans="1:34" x14ac:dyDescent="0.25">
      <c r="A62" s="3">
        <v>16</v>
      </c>
      <c r="B62" s="3" t="s">
        <v>43</v>
      </c>
      <c r="C62" s="3">
        <v>587.32953583481515</v>
      </c>
      <c r="D62" s="3" t="str">
        <f t="shared" si="6"/>
        <v>No</v>
      </c>
      <c r="E62" s="4">
        <v>0.91</v>
      </c>
      <c r="F62" s="3">
        <f t="shared" si="7"/>
        <v>1770</v>
      </c>
      <c r="G62" s="4">
        <f>((2*C62*'String Lengths'!E22)^2)*F62/1000000000000</f>
        <v>209.66801379028399</v>
      </c>
      <c r="H62" s="4">
        <f t="shared" si="8"/>
        <v>136.36560609327358</v>
      </c>
      <c r="I62" s="4">
        <f>PI()*(E62^2)*F62*'String Lengths'!E22*C62/2000000000</f>
        <v>0.39620996092951</v>
      </c>
      <c r="J62" s="4">
        <f>4*H62/'String Lengths'!E22</f>
        <v>1.8616464995668749</v>
      </c>
      <c r="K62" s="4">
        <f t="shared" si="9"/>
        <v>11.845859914933341</v>
      </c>
      <c r="L62" s="4">
        <f>K62*(PI()^3)*(E62^4)/(0.128*H62*('String Lengths'!E22^2)*$L$127)</f>
        <v>1.2982743609571756</v>
      </c>
      <c r="M62" s="4">
        <f>0.008*('String Lengths'!E22^2)*C62*SQRT('Misc ref'!$B$9*F62/(K62*1000000000))/(PI()*E62)</f>
        <v>12.512449580372389</v>
      </c>
      <c r="N62" s="4">
        <f t="shared" si="10"/>
        <v>7.3489312041966421</v>
      </c>
      <c r="O62" s="4">
        <f t="shared" si="11"/>
        <v>7.7044077338932428</v>
      </c>
      <c r="Y62" s="26">
        <f>IF(Graphs!$B$11="Yes",E62,$Y$127)</f>
        <v>-100</v>
      </c>
      <c r="Z62" s="4">
        <f>IF(Graphs!$B$11="Yes",F62,$Y$127)</f>
        <v>-100</v>
      </c>
      <c r="AA62" s="4">
        <f>IF(Graphs!$B$11="Yes",H62,$Y$127)</f>
        <v>-100</v>
      </c>
      <c r="AB62" s="4">
        <f>IF(Graphs!$B$11="Yes",I62,$Y$127)</f>
        <v>-100</v>
      </c>
      <c r="AC62" s="4">
        <f>IF(Graphs!$B$11="Yes",J62,$Y$127)</f>
        <v>-100</v>
      </c>
      <c r="AD62" s="4">
        <f>IF(Graphs!$B$11="Yes",K62,$Y$127)</f>
        <v>-100</v>
      </c>
      <c r="AE62" s="4">
        <f>IF(Graphs!$B$11="Yes",L62,$Y$127)</f>
        <v>-100</v>
      </c>
      <c r="AF62" s="4">
        <f>IF(Graphs!$B$11="Yes",M62,$Y$127)</f>
        <v>-100</v>
      </c>
      <c r="AG62" s="4">
        <f>IF(Graphs!$B$11="Yes",N62,$Y$127)</f>
        <v>-100</v>
      </c>
      <c r="AH62" s="27">
        <f>IF(Graphs!$B$11="Yes",O62,$Y$127)</f>
        <v>-100</v>
      </c>
    </row>
    <row r="63" spans="1:34" x14ac:dyDescent="0.25">
      <c r="A63" s="3">
        <v>17</v>
      </c>
      <c r="B63" s="3" t="s">
        <v>44</v>
      </c>
      <c r="C63" s="3">
        <v>523.25113060119736</v>
      </c>
      <c r="D63" s="3" t="str">
        <f t="shared" si="6"/>
        <v>No</v>
      </c>
      <c r="E63" s="4">
        <v>0.95</v>
      </c>
      <c r="F63" s="3">
        <f t="shared" si="7"/>
        <v>1770</v>
      </c>
      <c r="G63" s="4">
        <f>((2*C63*'String Lengths'!E23)^2)*F63/1000000000000</f>
        <v>192.34226062968426</v>
      </c>
      <c r="H63" s="4">
        <f t="shared" si="8"/>
        <v>136.33639556364628</v>
      </c>
      <c r="I63" s="4">
        <f>PI()*(E63^2)*F63*'String Lengths'!E23*C63/2000000000</f>
        <v>0.41358148015181301</v>
      </c>
      <c r="J63" s="4">
        <f>4*H63/'String Lengths'!E23</f>
        <v>1.7312558166812226</v>
      </c>
      <c r="K63" s="4">
        <f t="shared" si="9"/>
        <v>11.135338574406068</v>
      </c>
      <c r="L63" s="4">
        <f>K63*(PI()^3)*(E63^4)/(0.128*H63*('String Lengths'!E23^2)*$L$127)</f>
        <v>1.2544095119395113</v>
      </c>
      <c r="M63" s="4">
        <f>0.008*('String Lengths'!E23^2)*C63*SQRT('Misc ref'!$B$9*F63/(K63*1000000000))/(PI()*E63)</f>
        <v>12.729340727986397</v>
      </c>
      <c r="N63" s="4">
        <f t="shared" si="10"/>
        <v>6.6606419277267506</v>
      </c>
      <c r="O63" s="4">
        <f t="shared" si="11"/>
        <v>7.8929712047954244</v>
      </c>
      <c r="Y63" s="26">
        <f>IF(Graphs!$B$11="Yes",E63,$Y$127)</f>
        <v>-100</v>
      </c>
      <c r="Z63" s="4">
        <f>IF(Graphs!$B$11="Yes",F63,$Y$127)</f>
        <v>-100</v>
      </c>
      <c r="AA63" s="4">
        <f>IF(Graphs!$B$11="Yes",H63,$Y$127)</f>
        <v>-100</v>
      </c>
      <c r="AB63" s="4">
        <f>IF(Graphs!$B$11="Yes",I63,$Y$127)</f>
        <v>-100</v>
      </c>
      <c r="AC63" s="4">
        <f>IF(Graphs!$B$11="Yes",J63,$Y$127)</f>
        <v>-100</v>
      </c>
      <c r="AD63" s="4">
        <f>IF(Graphs!$B$11="Yes",K63,$Y$127)</f>
        <v>-100</v>
      </c>
      <c r="AE63" s="4">
        <f>IF(Graphs!$B$11="Yes",L63,$Y$127)</f>
        <v>-100</v>
      </c>
      <c r="AF63" s="4">
        <f>IF(Graphs!$B$11="Yes",M63,$Y$127)</f>
        <v>-100</v>
      </c>
      <c r="AG63" s="4">
        <f>IF(Graphs!$B$11="Yes",N63,$Y$127)</f>
        <v>-100</v>
      </c>
      <c r="AH63" s="27">
        <f>IF(Graphs!$B$11="Yes",O63,$Y$127)</f>
        <v>-100</v>
      </c>
    </row>
    <row r="64" spans="1:34" x14ac:dyDescent="0.25">
      <c r="A64" s="3">
        <v>18</v>
      </c>
      <c r="B64" s="3" t="s">
        <v>45</v>
      </c>
      <c r="C64" s="3">
        <v>493.88330125612413</v>
      </c>
      <c r="D64" s="3" t="str">
        <f t="shared" si="6"/>
        <v>Yes</v>
      </c>
      <c r="E64" s="4">
        <v>1.01</v>
      </c>
      <c r="F64" s="3">
        <f t="shared" si="7"/>
        <v>1770</v>
      </c>
      <c r="G64" s="4">
        <f>((2*C64*'String Lengths'!E24)^2)*F64/1000000000000</f>
        <v>200.81248041303803</v>
      </c>
      <c r="H64" s="4">
        <f t="shared" si="8"/>
        <v>160.88788014509021</v>
      </c>
      <c r="I64" s="4">
        <f>PI()*(E64^2)*F64*'String Lengths'!E24*C64/2000000000</f>
        <v>0.47765531253524868</v>
      </c>
      <c r="J64" s="4">
        <f>4*H64/'String Lengths'!E24</f>
        <v>1.8872478609394745</v>
      </c>
      <c r="K64" s="4">
        <f t="shared" si="9"/>
        <v>9.7298220435000662</v>
      </c>
      <c r="L64" s="4">
        <f>K64*(PI()^3)*(E64^4)/(0.128*H64*('String Lengths'!E24^2)*$L$127)</f>
        <v>1.012587848498077</v>
      </c>
      <c r="M64" s="4">
        <f>0.008*('String Lengths'!E24^2)*C64*SQRT('Misc ref'!$B$9*F64/(K64*1000000000))/(PI()*E64)</f>
        <v>14.168022081301798</v>
      </c>
      <c r="N64" s="4">
        <f t="shared" si="10"/>
        <v>6.997349517782995</v>
      </c>
      <c r="O64" s="4">
        <f t="shared" si="11"/>
        <v>7.7953842288482535</v>
      </c>
      <c r="Y64" s="26">
        <f>IF(Graphs!$B$11="Yes",E64,$Y$127)</f>
        <v>-100</v>
      </c>
      <c r="Z64" s="4">
        <f>IF(Graphs!$B$11="Yes",F64,$Y$127)</f>
        <v>-100</v>
      </c>
      <c r="AA64" s="4">
        <f>IF(Graphs!$B$11="Yes",H64,$Y$127)</f>
        <v>-100</v>
      </c>
      <c r="AB64" s="4">
        <f>IF(Graphs!$B$11="Yes",I64,$Y$127)</f>
        <v>-100</v>
      </c>
      <c r="AC64" s="4">
        <f>IF(Graphs!$B$11="Yes",J64,$Y$127)</f>
        <v>-100</v>
      </c>
      <c r="AD64" s="4">
        <f>IF(Graphs!$B$11="Yes",K64,$Y$127)</f>
        <v>-100</v>
      </c>
      <c r="AE64" s="4">
        <f>IF(Graphs!$B$11="Yes",L64,$Y$127)</f>
        <v>-100</v>
      </c>
      <c r="AF64" s="4">
        <f>IF(Graphs!$B$11="Yes",M64,$Y$127)</f>
        <v>-100</v>
      </c>
      <c r="AG64" s="4">
        <f>IF(Graphs!$B$11="Yes",N64,$Y$127)</f>
        <v>-100</v>
      </c>
      <c r="AH64" s="27">
        <f>IF(Graphs!$B$11="Yes",O64,$Y$127)</f>
        <v>-100</v>
      </c>
    </row>
    <row r="65" spans="1:34" x14ac:dyDescent="0.25">
      <c r="A65" s="3">
        <v>19</v>
      </c>
      <c r="B65" s="3" t="s">
        <v>46</v>
      </c>
      <c r="C65" s="3">
        <v>440</v>
      </c>
      <c r="D65" s="3" t="str">
        <f t="shared" si="6"/>
        <v>Yes</v>
      </c>
      <c r="E65" s="4">
        <v>1.05</v>
      </c>
      <c r="F65" s="3">
        <f t="shared" si="7"/>
        <v>1770</v>
      </c>
      <c r="G65" s="4">
        <f>((2*C65*'String Lengths'!E25)^2)*F65/1000000000000</f>
        <v>184.61659603199999</v>
      </c>
      <c r="H65" s="4">
        <f t="shared" si="8"/>
        <v>159.85978284048414</v>
      </c>
      <c r="I65" s="4">
        <f>PI()*(E65^2)*F65*'String Lengths'!E25*C65/2000000000</f>
        <v>0.49498322653110022</v>
      </c>
      <c r="J65" s="4">
        <f>4*H65/'String Lengths'!E25</f>
        <v>1.742340957389473</v>
      </c>
      <c r="K65" s="4">
        <f t="shared" si="9"/>
        <v>9.2019685330536198</v>
      </c>
      <c r="L65" s="4">
        <f>K65*(PI()^3)*(E65^4)/(0.128*H65*('String Lengths'!E25^2)*$L$127)</f>
        <v>0.97194345459771392</v>
      </c>
      <c r="M65" s="4">
        <f>0.008*('String Lengths'!E25^2)*C65*SQRT('Misc ref'!$B$9*F65/(K65*1000000000))/(PI()*E65)</f>
        <v>14.461224924092553</v>
      </c>
      <c r="N65" s="4">
        <f t="shared" si="10"/>
        <v>6.3629389666007237</v>
      </c>
      <c r="O65" s="4">
        <f t="shared" si="11"/>
        <v>7.9679981270153206</v>
      </c>
      <c r="Y65" s="26">
        <f>IF(Graphs!$B$11="Yes",E65,$Y$127)</f>
        <v>-100</v>
      </c>
      <c r="Z65" s="4">
        <f>IF(Graphs!$B$11="Yes",F65,$Y$127)</f>
        <v>-100</v>
      </c>
      <c r="AA65" s="4">
        <f>IF(Graphs!$B$11="Yes",H65,$Y$127)</f>
        <v>-100</v>
      </c>
      <c r="AB65" s="4">
        <f>IF(Graphs!$B$11="Yes",I65,$Y$127)</f>
        <v>-100</v>
      </c>
      <c r="AC65" s="4">
        <f>IF(Graphs!$B$11="Yes",J65,$Y$127)</f>
        <v>-100</v>
      </c>
      <c r="AD65" s="4">
        <f>IF(Graphs!$B$11="Yes",K65,$Y$127)</f>
        <v>-100</v>
      </c>
      <c r="AE65" s="4">
        <f>IF(Graphs!$B$11="Yes",L65,$Y$127)</f>
        <v>-100</v>
      </c>
      <c r="AF65" s="4">
        <f>IF(Graphs!$B$11="Yes",M65,$Y$127)</f>
        <v>-100</v>
      </c>
      <c r="AG65" s="4">
        <f>IF(Graphs!$B$11="Yes",N65,$Y$127)</f>
        <v>-100</v>
      </c>
      <c r="AH65" s="27">
        <f>IF(Graphs!$B$11="Yes",O65,$Y$127)</f>
        <v>-100</v>
      </c>
    </row>
    <row r="66" spans="1:34" x14ac:dyDescent="0.25">
      <c r="A66" s="3">
        <v>20</v>
      </c>
      <c r="B66" s="3" t="s">
        <v>47</v>
      </c>
      <c r="C66" s="3">
        <v>391.99543598174927</v>
      </c>
      <c r="D66" s="3" t="str">
        <f t="shared" si="6"/>
        <v>Yes</v>
      </c>
      <c r="E66" s="4">
        <v>1.08</v>
      </c>
      <c r="F66" s="3">
        <f t="shared" si="7"/>
        <v>1770</v>
      </c>
      <c r="G66" s="4">
        <f>((2*C66*'String Lengths'!E26)^2)*F66/1000000000000</f>
        <v>171.46531920394975</v>
      </c>
      <c r="H66" s="4">
        <f t="shared" si="8"/>
        <v>157.07739297485216</v>
      </c>
      <c r="I66" s="4">
        <f>PI()*(E66^2)*F66*'String Lengths'!E26*C66/2000000000</f>
        <v>0.50467544155498312</v>
      </c>
      <c r="J66" s="4">
        <f>4*H66/'String Lengths'!E26</f>
        <v>1.5826437579330193</v>
      </c>
      <c r="K66" s="4">
        <f t="shared" si="9"/>
        <v>8.7733443543908649</v>
      </c>
      <c r="L66" s="4">
        <f>K66*(PI()^3)*(E66^4)/(0.128*H66*('String Lengths'!E26^2)*$L$127)</f>
        <v>0.90206930679542441</v>
      </c>
      <c r="M66" s="4">
        <f>0.008*('String Lengths'!E26^2)*C66*SQRT('Misc ref'!$B$9*F66/(K66*1000000000))/(PI()*E66)</f>
        <v>15.010861838808106</v>
      </c>
      <c r="N66" s="4">
        <f t="shared" si="10"/>
        <v>5.8841893309653859</v>
      </c>
      <c r="O66" s="4">
        <f t="shared" si="11"/>
        <v>8.03715914831254</v>
      </c>
      <c r="Y66" s="26">
        <f>IF(Graphs!$B$11="Yes",E66,$Y$127)</f>
        <v>-100</v>
      </c>
      <c r="Z66" s="4">
        <f>IF(Graphs!$B$11="Yes",F66,$Y$127)</f>
        <v>-100</v>
      </c>
      <c r="AA66" s="4">
        <f>IF(Graphs!$B$11="Yes",H66,$Y$127)</f>
        <v>-100</v>
      </c>
      <c r="AB66" s="4">
        <f>IF(Graphs!$B$11="Yes",I66,$Y$127)</f>
        <v>-100</v>
      </c>
      <c r="AC66" s="4">
        <f>IF(Graphs!$B$11="Yes",J66,$Y$127)</f>
        <v>-100</v>
      </c>
      <c r="AD66" s="4">
        <f>IF(Graphs!$B$11="Yes",K66,$Y$127)</f>
        <v>-100</v>
      </c>
      <c r="AE66" s="4">
        <f>IF(Graphs!$B$11="Yes",L66,$Y$127)</f>
        <v>-100</v>
      </c>
      <c r="AF66" s="4">
        <f>IF(Graphs!$B$11="Yes",M66,$Y$127)</f>
        <v>-100</v>
      </c>
      <c r="AG66" s="4">
        <f>IF(Graphs!$B$11="Yes",N66,$Y$127)</f>
        <v>-100</v>
      </c>
      <c r="AH66" s="27">
        <f>IF(Graphs!$B$11="Yes",O66,$Y$127)</f>
        <v>-100</v>
      </c>
    </row>
    <row r="67" spans="1:34" x14ac:dyDescent="0.25">
      <c r="A67" s="2">
        <v>21</v>
      </c>
      <c r="B67" s="2" t="s">
        <v>48</v>
      </c>
      <c r="C67" s="2">
        <v>349.22823143300388</v>
      </c>
      <c r="D67" s="2" t="str">
        <f t="shared" si="6"/>
        <v>Yes</v>
      </c>
      <c r="E67" s="15">
        <v>1.21</v>
      </c>
      <c r="F67" s="2">
        <f t="shared" si="7"/>
        <v>1770</v>
      </c>
      <c r="G67" s="15">
        <f>((2*C67*'String Lengths'!E27)^2)*F67/1000000000000</f>
        <v>161.89287648093878</v>
      </c>
      <c r="H67" s="15">
        <f t="shared" si="8"/>
        <v>186.16085357688507</v>
      </c>
      <c r="I67" s="15">
        <f>PI()*(E67^2)*F67*'String Lengths'!E27*C67/2000000000</f>
        <v>0.61554686670143499</v>
      </c>
      <c r="J67" s="15">
        <f>4*H67/'String Lengths'!E27</f>
        <v>1.719730748978153</v>
      </c>
      <c r="K67" s="15">
        <f t="shared" si="9"/>
        <v>8.461360928477756</v>
      </c>
      <c r="L67" s="15">
        <f>K67*(PI()^3)*(E67^4)/(0.128*H67*('String Lengths'!E27^2)*$L$127)</f>
        <v>0.9722813474890043</v>
      </c>
      <c r="M67" s="15">
        <f>0.008*('String Lengths'!E27^2)*C67*SQRT('Misc ref'!$B$9*F67/(K67*1000000000))/(PI()*E67)</f>
        <v>14.458711881072446</v>
      </c>
      <c r="N67" s="15">
        <f t="shared" si="10"/>
        <v>5.0493903790262911</v>
      </c>
      <c r="O67" s="15">
        <f t="shared" si="11"/>
        <v>9.7297312093468449</v>
      </c>
      <c r="Y67" s="26">
        <f>IF(Graphs!$B$11="Yes",E67,$Y$127)</f>
        <v>-100</v>
      </c>
      <c r="Z67" s="4">
        <f>IF(Graphs!$B$11="Yes",F67,$Y$127)</f>
        <v>-100</v>
      </c>
      <c r="AA67" s="4">
        <f>IF(Graphs!$B$11="Yes",H67,$Y$127)</f>
        <v>-100</v>
      </c>
      <c r="AB67" s="4">
        <f>IF(Graphs!$B$11="Yes",I67,$Y$127)</f>
        <v>-100</v>
      </c>
      <c r="AC67" s="4">
        <f>IF(Graphs!$B$11="Yes",J67,$Y$127)</f>
        <v>-100</v>
      </c>
      <c r="AD67" s="4">
        <f>IF(Graphs!$B$11="Yes",K67,$Y$127)</f>
        <v>-100</v>
      </c>
      <c r="AE67" s="4">
        <f>IF(Graphs!$B$11="Yes",L67,$Y$127)</f>
        <v>-100</v>
      </c>
      <c r="AF67" s="4">
        <f>IF(Graphs!$B$11="Yes",M67,$Y$127)</f>
        <v>-100</v>
      </c>
      <c r="AG67" s="4">
        <f>IF(Graphs!$B$11="Yes",N67,$Y$127)</f>
        <v>-100</v>
      </c>
      <c r="AH67" s="27">
        <f>IF(Graphs!$B$11="Yes",O67,$Y$127)</f>
        <v>-100</v>
      </c>
    </row>
    <row r="68" spans="1:34" x14ac:dyDescent="0.25">
      <c r="A68" s="3">
        <v>22</v>
      </c>
      <c r="B68" s="3" t="s">
        <v>49</v>
      </c>
      <c r="C68" s="3">
        <v>329.62755691286992</v>
      </c>
      <c r="D68" s="3" t="str">
        <f t="shared" si="6"/>
        <v>Yes</v>
      </c>
      <c r="E68" s="4">
        <v>1.21</v>
      </c>
      <c r="F68" s="3">
        <f t="shared" si="7"/>
        <v>1770</v>
      </c>
      <c r="G68" s="4">
        <f>((2*C68*'String Lengths'!E28)^2)*F68/1000000000000</f>
        <v>168.48916852112285</v>
      </c>
      <c r="H68" s="4">
        <f t="shared" si="8"/>
        <v>193.74593936531176</v>
      </c>
      <c r="I68" s="4">
        <f>PI()*(E68^2)*F68*'String Lengths'!E28*C68/2000000000</f>
        <v>0.62796183335380018</v>
      </c>
      <c r="J68" s="4">
        <f>4*H68/'String Lengths'!E28</f>
        <v>1.6559481997035193</v>
      </c>
      <c r="K68" s="4">
        <f t="shared" si="9"/>
        <v>8.6763461572817882</v>
      </c>
      <c r="L68" s="4">
        <f>K68*(PI()^3)*(E68^4)/(0.128*H68*('String Lengths'!E28^2)*$L$127)</f>
        <v>0.8200275495076127</v>
      </c>
      <c r="M68" s="4">
        <f>0.008*('String Lengths'!E28^2)*C68*SQRT('Misc ref'!$B$9*F68/(K68*1000000000))/(PI()*E68)</f>
        <v>15.743865073844194</v>
      </c>
      <c r="N68" s="4">
        <f t="shared" si="10"/>
        <v>5.1896117806571223</v>
      </c>
      <c r="O68" s="4">
        <f t="shared" si="11"/>
        <v>9.9769430358986622</v>
      </c>
      <c r="Y68" s="26">
        <f>IF(Graphs!$B$11="Yes",E68,$Y$127)</f>
        <v>-100</v>
      </c>
      <c r="Z68" s="4">
        <f>IF(Graphs!$B$11="Yes",F68,$Y$127)</f>
        <v>-100</v>
      </c>
      <c r="AA68" s="4">
        <f>IF(Graphs!$B$11="Yes",H68,$Y$127)</f>
        <v>-100</v>
      </c>
      <c r="AB68" s="4">
        <f>IF(Graphs!$B$11="Yes",I68,$Y$127)</f>
        <v>-100</v>
      </c>
      <c r="AC68" s="4">
        <f>IF(Graphs!$B$11="Yes",J68,$Y$127)</f>
        <v>-100</v>
      </c>
      <c r="AD68" s="4">
        <f>IF(Graphs!$B$11="Yes",K68,$Y$127)</f>
        <v>-100</v>
      </c>
      <c r="AE68" s="4">
        <f>IF(Graphs!$B$11="Yes",L68,$Y$127)</f>
        <v>-100</v>
      </c>
      <c r="AF68" s="4">
        <f>IF(Graphs!$B$11="Yes",M68,$Y$127)</f>
        <v>-100</v>
      </c>
      <c r="AG68" s="4">
        <f>IF(Graphs!$B$11="Yes",N68,$Y$127)</f>
        <v>-100</v>
      </c>
      <c r="AH68" s="27">
        <f>IF(Graphs!$B$11="Yes",O68,$Y$127)</f>
        <v>-100</v>
      </c>
    </row>
    <row r="69" spans="1:34" x14ac:dyDescent="0.25">
      <c r="A69" s="3">
        <v>23</v>
      </c>
      <c r="B69" s="3" t="s">
        <v>50</v>
      </c>
      <c r="C69" s="3">
        <v>293.66476791740757</v>
      </c>
      <c r="D69" s="3" t="str">
        <f t="shared" si="6"/>
        <v>Yes</v>
      </c>
      <c r="E69" s="4">
        <v>1.27</v>
      </c>
      <c r="F69" s="3">
        <f t="shared" si="7"/>
        <v>1770</v>
      </c>
      <c r="G69" s="4">
        <f>((2*C69*'String Lengths'!E29)^2)*F69/1000000000000</f>
        <v>156.94694544135257</v>
      </c>
      <c r="H69" s="4">
        <f t="shared" si="8"/>
        <v>198.81547769160068</v>
      </c>
      <c r="I69" s="4">
        <f>PI()*(E69^2)*F69*'String Lengths'!E29*C69/2000000000</f>
        <v>0.66766773627833798</v>
      </c>
      <c r="J69" s="4">
        <f>4*H69/'String Lengths'!E29</f>
        <v>1.5685639265609521</v>
      </c>
      <c r="K69" s="4">
        <f t="shared" si="9"/>
        <v>8.300163984843838</v>
      </c>
      <c r="L69" s="4">
        <f>K69*(PI()^3)*(E69^4)/(0.128*H69*('String Lengths'!E29^2)*$L$127)</f>
        <v>0.79051452368353192</v>
      </c>
      <c r="M69" s="4">
        <f>0.008*('String Lengths'!E29^2)*C69*SQRT('Misc ref'!$B$9*F69/(K69*1000000000))/(PI()*E69)</f>
        <v>16.035062389411888</v>
      </c>
      <c r="N69" s="4">
        <f t="shared" si="10"/>
        <v>4.7089328751277924</v>
      </c>
      <c r="O69" s="4">
        <f t="shared" si="11"/>
        <v>10.514387922140155</v>
      </c>
      <c r="Y69" s="26">
        <f>IF(Graphs!$B$11="Yes",E69,$Y$127)</f>
        <v>-100</v>
      </c>
      <c r="Z69" s="4">
        <f>IF(Graphs!$B$11="Yes",F69,$Y$127)</f>
        <v>-100</v>
      </c>
      <c r="AA69" s="4">
        <f>IF(Graphs!$B$11="Yes",H69,$Y$127)</f>
        <v>-100</v>
      </c>
      <c r="AB69" s="4">
        <f>IF(Graphs!$B$11="Yes",I69,$Y$127)</f>
        <v>-100</v>
      </c>
      <c r="AC69" s="4">
        <f>IF(Graphs!$B$11="Yes",J69,$Y$127)</f>
        <v>-100</v>
      </c>
      <c r="AD69" s="4">
        <f>IF(Graphs!$B$11="Yes",K69,$Y$127)</f>
        <v>-100</v>
      </c>
      <c r="AE69" s="4">
        <f>IF(Graphs!$B$11="Yes",L69,$Y$127)</f>
        <v>-100</v>
      </c>
      <c r="AF69" s="4">
        <f>IF(Graphs!$B$11="Yes",M69,$Y$127)</f>
        <v>-100</v>
      </c>
      <c r="AG69" s="4">
        <f>IF(Graphs!$B$11="Yes",N69,$Y$127)</f>
        <v>-100</v>
      </c>
      <c r="AH69" s="27">
        <f>IF(Graphs!$B$11="Yes",O69,$Y$127)</f>
        <v>-100</v>
      </c>
    </row>
    <row r="70" spans="1:34" x14ac:dyDescent="0.25">
      <c r="A70" s="3">
        <v>24</v>
      </c>
      <c r="B70" s="3" t="s">
        <v>51</v>
      </c>
      <c r="C70" s="3">
        <v>261.62556530059868</v>
      </c>
      <c r="D70" s="3" t="str">
        <f t="shared" si="6"/>
        <v>Yes</v>
      </c>
      <c r="E70" s="4">
        <v>1.36</v>
      </c>
      <c r="F70" s="3">
        <f t="shared" si="7"/>
        <v>1770</v>
      </c>
      <c r="G70" s="4">
        <f>((2*C70*'String Lengths'!E30)^2)*F70/1000000000000</f>
        <v>146.59494542826778</v>
      </c>
      <c r="H70" s="4">
        <f t="shared" si="8"/>
        <v>212.9544375096537</v>
      </c>
      <c r="I70" s="4">
        <f>PI()*(E70^2)*F70*'String Lengths'!E30*C70/2000000000</f>
        <v>0.73996951700098756</v>
      </c>
      <c r="J70" s="4">
        <f>4*H70/'String Lengths'!E30</f>
        <v>1.5487595455247543</v>
      </c>
      <c r="K70" s="4">
        <f t="shared" si="9"/>
        <v>7.9627733602573807</v>
      </c>
      <c r="L70" s="4">
        <f>K70*(PI()^3)*(E70^4)/(0.128*H70*('String Lengths'!E30^2)*$L$127)</f>
        <v>0.79119279109610596</v>
      </c>
      <c r="M70" s="4">
        <f>0.008*('String Lengths'!E30^2)*C70*SQRT('Misc ref'!$B$9*F70/(K70*1000000000))/(PI()*E70)</f>
        <v>16.028187710866504</v>
      </c>
      <c r="N70" s="4">
        <f t="shared" si="10"/>
        <v>4.193383670599558</v>
      </c>
      <c r="O70" s="4">
        <f t="shared" si="11"/>
        <v>11.567301430459032</v>
      </c>
      <c r="Y70" s="26">
        <f>IF(Graphs!$B$11="Yes",E70,$Y$127)</f>
        <v>-100</v>
      </c>
      <c r="Z70" s="4">
        <f>IF(Graphs!$B$11="Yes",F70,$Y$127)</f>
        <v>-100</v>
      </c>
      <c r="AA70" s="4">
        <f>IF(Graphs!$B$11="Yes",H70,$Y$127)</f>
        <v>-100</v>
      </c>
      <c r="AB70" s="4">
        <f>IF(Graphs!$B$11="Yes",I70,$Y$127)</f>
        <v>-100</v>
      </c>
      <c r="AC70" s="4">
        <f>IF(Graphs!$B$11="Yes",J70,$Y$127)</f>
        <v>-100</v>
      </c>
      <c r="AD70" s="4">
        <f>IF(Graphs!$B$11="Yes",K70,$Y$127)</f>
        <v>-100</v>
      </c>
      <c r="AE70" s="4">
        <f>IF(Graphs!$B$11="Yes",L70,$Y$127)</f>
        <v>-100</v>
      </c>
      <c r="AF70" s="4">
        <f>IF(Graphs!$B$11="Yes",M70,$Y$127)</f>
        <v>-100</v>
      </c>
      <c r="AG70" s="4">
        <f>IF(Graphs!$B$11="Yes",N70,$Y$127)</f>
        <v>-100</v>
      </c>
      <c r="AH70" s="27">
        <f>IF(Graphs!$B$11="Yes",O70,$Y$127)</f>
        <v>-100</v>
      </c>
    </row>
    <row r="71" spans="1:34" x14ac:dyDescent="0.25">
      <c r="A71" s="3">
        <v>25</v>
      </c>
      <c r="B71" s="3" t="s">
        <v>52</v>
      </c>
      <c r="C71" s="3">
        <v>246.94165062806206</v>
      </c>
      <c r="D71" s="3" t="str">
        <f t="shared" si="6"/>
        <v>Yes</v>
      </c>
      <c r="E71" s="4">
        <v>1.4</v>
      </c>
      <c r="F71" s="3">
        <f t="shared" si="7"/>
        <v>1770</v>
      </c>
      <c r="G71" s="4">
        <f>((2*C71*'String Lengths'!E31)^2)*F71/1000000000000</f>
        <v>154.90862390390188</v>
      </c>
      <c r="H71" s="4">
        <f t="shared" si="8"/>
        <v>238.46329946875915</v>
      </c>
      <c r="I71" s="4">
        <f>PI()*(E71^2)*F71*'String Lengths'!E31*C71/2000000000</f>
        <v>0.80606559349003404</v>
      </c>
      <c r="J71" s="4">
        <f>4*H71/'String Lengths'!E31</f>
        <v>1.5924093453673398</v>
      </c>
      <c r="K71" s="4">
        <f t="shared" si="9"/>
        <v>8.2337313558099066</v>
      </c>
      <c r="L71" s="4">
        <f>K71*(PI()^3)*(E71^4)/(0.128*H71*('String Lengths'!E31^2)*$L$127)</f>
        <v>0.69168450812052695</v>
      </c>
      <c r="M71" s="4">
        <f>0.008*('String Lengths'!E31^2)*C71*SQRT('Misc ref'!$B$9*F71/(K71*1000000000))/(PI()*E71)</f>
        <v>17.142397302172927</v>
      </c>
      <c r="N71" s="4">
        <f t="shared" si="10"/>
        <v>4.2331718855206208</v>
      </c>
      <c r="O71" s="4">
        <f t="shared" si="11"/>
        <v>12.674844670131719</v>
      </c>
      <c r="Y71" s="26">
        <f>IF(Graphs!$B$11="Yes",E71,$Y$127)</f>
        <v>-100</v>
      </c>
      <c r="Z71" s="4">
        <f>IF(Graphs!$B$11="Yes",F71,$Y$127)</f>
        <v>-100</v>
      </c>
      <c r="AA71" s="4">
        <f>IF(Graphs!$B$11="Yes",H71,$Y$127)</f>
        <v>-100</v>
      </c>
      <c r="AB71" s="4">
        <f>IF(Graphs!$B$11="Yes",I71,$Y$127)</f>
        <v>-100</v>
      </c>
      <c r="AC71" s="4">
        <f>IF(Graphs!$B$11="Yes",J71,$Y$127)</f>
        <v>-100</v>
      </c>
      <c r="AD71" s="4">
        <f>IF(Graphs!$B$11="Yes",K71,$Y$127)</f>
        <v>-100</v>
      </c>
      <c r="AE71" s="4">
        <f>IF(Graphs!$B$11="Yes",L71,$Y$127)</f>
        <v>-100</v>
      </c>
      <c r="AF71" s="4">
        <f>IF(Graphs!$B$11="Yes",M71,$Y$127)</f>
        <v>-100</v>
      </c>
      <c r="AG71" s="4">
        <f>IF(Graphs!$B$11="Yes",N71,$Y$127)</f>
        <v>-100</v>
      </c>
      <c r="AH71" s="27">
        <f>IF(Graphs!$B$11="Yes",O71,$Y$127)</f>
        <v>-100</v>
      </c>
    </row>
    <row r="72" spans="1:34" x14ac:dyDescent="0.25">
      <c r="A72" s="3">
        <v>26</v>
      </c>
      <c r="B72" s="3" t="s">
        <v>53</v>
      </c>
      <c r="C72" s="3">
        <v>220</v>
      </c>
      <c r="D72" s="3" t="str">
        <f t="shared" si="6"/>
        <v>Yes</v>
      </c>
      <c r="E72" s="4">
        <v>1.45</v>
      </c>
      <c r="F72" s="3">
        <f t="shared" si="7"/>
        <v>1770</v>
      </c>
      <c r="G72" s="4">
        <f>((2*C72*'String Lengths'!E32)^2)*F72/1000000000000</f>
        <v>146.11842484799999</v>
      </c>
      <c r="H72" s="4">
        <f t="shared" si="8"/>
        <v>241.28530213599464</v>
      </c>
      <c r="I72" s="4">
        <f>PI()*(E72^2)*F72*'String Lengths'!E32*C72/2000000000</f>
        <v>0.83977899949879808</v>
      </c>
      <c r="J72" s="4">
        <f>4*H72/'String Lengths'!E32</f>
        <v>1.4780110391178845</v>
      </c>
      <c r="K72" s="4">
        <f t="shared" si="9"/>
        <v>7.9472426825137914</v>
      </c>
      <c r="L72" s="4">
        <f>K72*(PI()^3)*(E72^4)/(0.128*H72*('String Lengths'!E32^2)*$L$127)</f>
        <v>0.63885994580569627</v>
      </c>
      <c r="M72" s="4">
        <f>0.008*('String Lengths'!E32^2)*C72*SQRT('Misc ref'!$B$9*F72/(K72*1000000000))/(PI()*E72)</f>
        <v>17.837038535337179</v>
      </c>
      <c r="N72" s="4">
        <f t="shared" si="10"/>
        <v>3.9241484777741795</v>
      </c>
      <c r="O72" s="4">
        <f t="shared" si="11"/>
        <v>13.123278969049599</v>
      </c>
      <c r="Y72" s="26">
        <f>IF(Graphs!$B$11="Yes",E72,$Y$127)</f>
        <v>-100</v>
      </c>
      <c r="Z72" s="4">
        <f>IF(Graphs!$B$11="Yes",F72,$Y$127)</f>
        <v>-100</v>
      </c>
      <c r="AA72" s="4">
        <f>IF(Graphs!$B$11="Yes",H72,$Y$127)</f>
        <v>-100</v>
      </c>
      <c r="AB72" s="4">
        <f>IF(Graphs!$B$11="Yes",I72,$Y$127)</f>
        <v>-100</v>
      </c>
      <c r="AC72" s="4">
        <f>IF(Graphs!$B$11="Yes",J72,$Y$127)</f>
        <v>-100</v>
      </c>
      <c r="AD72" s="4">
        <f>IF(Graphs!$B$11="Yes",K72,$Y$127)</f>
        <v>-100</v>
      </c>
      <c r="AE72" s="4">
        <f>IF(Graphs!$B$11="Yes",L72,$Y$127)</f>
        <v>-100</v>
      </c>
      <c r="AF72" s="4">
        <f>IF(Graphs!$B$11="Yes",M72,$Y$127)</f>
        <v>-100</v>
      </c>
      <c r="AG72" s="4">
        <f>IF(Graphs!$B$11="Yes",N72,$Y$127)</f>
        <v>-100</v>
      </c>
      <c r="AH72" s="27">
        <f>IF(Graphs!$B$11="Yes",O72,$Y$127)</f>
        <v>-100</v>
      </c>
    </row>
    <row r="73" spans="1:34" x14ac:dyDescent="0.25">
      <c r="A73" s="3">
        <v>27</v>
      </c>
      <c r="B73" s="3" t="s">
        <v>54</v>
      </c>
      <c r="C73" s="3">
        <v>195.99771799087463</v>
      </c>
      <c r="D73" s="3" t="str">
        <f t="shared" si="6"/>
        <v>Yes</v>
      </c>
      <c r="E73" s="4">
        <v>1.5</v>
      </c>
      <c r="F73" s="3">
        <f t="shared" si="7"/>
        <v>1770</v>
      </c>
      <c r="G73" s="4">
        <f>((2*C73*'String Lengths'!E33)^2)*F73/1000000000000</f>
        <v>138.65377908129733</v>
      </c>
      <c r="H73" s="4">
        <f t="shared" si="8"/>
        <v>245.02145273677451</v>
      </c>
      <c r="I73" s="4">
        <f>PI()*(E73^2)*F73*'String Lengths'!E33*C73/2000000000</f>
        <v>0.87543698026056216</v>
      </c>
      <c r="J73" s="4">
        <f>4*H73/'String Lengths'!E33</f>
        <v>1.3726692030071401</v>
      </c>
      <c r="K73" s="4">
        <f t="shared" si="9"/>
        <v>7.7039562166751994</v>
      </c>
      <c r="L73" s="4">
        <f>K73*(PI()^3)*(E73^4)/(0.128*H73*('String Lengths'!E33^2)*$L$127)</f>
        <v>0.58418811148255345</v>
      </c>
      <c r="M73" s="4">
        <f>0.008*('String Lengths'!E33^2)*C73*SQRT('Misc ref'!$B$9*F73/(K73*1000000000))/(PI()*E73)</f>
        <v>18.653022900310994</v>
      </c>
      <c r="N73" s="4">
        <f t="shared" si="10"/>
        <v>3.6559499220924803</v>
      </c>
      <c r="O73" s="4">
        <f t="shared" si="11"/>
        <v>13.614014392809874</v>
      </c>
      <c r="Y73" s="26">
        <f>IF(Graphs!$B$11="Yes",E73,$Y$127)</f>
        <v>-100</v>
      </c>
      <c r="Z73" s="4">
        <f>IF(Graphs!$B$11="Yes",F73,$Y$127)</f>
        <v>-100</v>
      </c>
      <c r="AA73" s="4">
        <f>IF(Graphs!$B$11="Yes",H73,$Y$127)</f>
        <v>-100</v>
      </c>
      <c r="AB73" s="4">
        <f>IF(Graphs!$B$11="Yes",I73,$Y$127)</f>
        <v>-100</v>
      </c>
      <c r="AC73" s="4">
        <f>IF(Graphs!$B$11="Yes",J73,$Y$127)</f>
        <v>-100</v>
      </c>
      <c r="AD73" s="4">
        <f>IF(Graphs!$B$11="Yes",K73,$Y$127)</f>
        <v>-100</v>
      </c>
      <c r="AE73" s="4">
        <f>IF(Graphs!$B$11="Yes",L73,$Y$127)</f>
        <v>-100</v>
      </c>
      <c r="AF73" s="4">
        <f>IF(Graphs!$B$11="Yes",M73,$Y$127)</f>
        <v>-100</v>
      </c>
      <c r="AG73" s="4">
        <f>IF(Graphs!$B$11="Yes",N73,$Y$127)</f>
        <v>-100</v>
      </c>
      <c r="AH73" s="27">
        <f>IF(Graphs!$B$11="Yes",O73,$Y$127)</f>
        <v>-100</v>
      </c>
    </row>
    <row r="74" spans="1:34" x14ac:dyDescent="0.25">
      <c r="A74" s="2">
        <v>28</v>
      </c>
      <c r="B74" s="2" t="s">
        <v>55</v>
      </c>
      <c r="C74" s="2">
        <v>174.61411571650194</v>
      </c>
      <c r="D74" s="2" t="str">
        <f t="shared" si="6"/>
        <v>Yes</v>
      </c>
      <c r="E74" s="15">
        <v>1.6</v>
      </c>
      <c r="F74" s="2">
        <f t="shared" si="7"/>
        <v>1770</v>
      </c>
      <c r="G74" s="15">
        <f>((2*C74*'String Lengths'!E34)^2)*F74/1000000000000</f>
        <v>129.65681844850081</v>
      </c>
      <c r="H74" s="15">
        <f t="shared" si="8"/>
        <v>260.69050132840692</v>
      </c>
      <c r="I74" s="15">
        <f>PI()*(E74^2)*F74*'String Lengths'!E34*C74/2000000000</f>
        <v>0.96319486842025537</v>
      </c>
      <c r="J74" s="15">
        <f>4*H74/'String Lengths'!E34</f>
        <v>1.3454993616950035</v>
      </c>
      <c r="K74" s="15">
        <f t="shared" si="9"/>
        <v>7.4107288052144025</v>
      </c>
      <c r="L74" s="15">
        <f>K74*(PI()^3)*(E74^4)/(0.128*H74*('String Lengths'!E34^2)*$L$127)</f>
        <v>0.58034553232216168</v>
      </c>
      <c r="M74" s="15">
        <f>0.008*('String Lengths'!E34^2)*C74*SQRT('Misc ref'!$B$9*F74/(K74*1000000000))/(PI()*E74)</f>
        <v>18.714673640763245</v>
      </c>
      <c r="N74" s="15">
        <f t="shared" si="10"/>
        <v>3.267846188704802</v>
      </c>
      <c r="O74" s="15">
        <f t="shared" si="11"/>
        <v>14.900154350213016</v>
      </c>
      <c r="Y74" s="26">
        <f>IF(Graphs!$B$11="Yes",E74,$Y$127)</f>
        <v>-100</v>
      </c>
      <c r="Z74" s="4">
        <f>IF(Graphs!$B$11="Yes",F74,$Y$127)</f>
        <v>-100</v>
      </c>
      <c r="AA74" s="4">
        <f>IF(Graphs!$B$11="Yes",H74,$Y$127)</f>
        <v>-100</v>
      </c>
      <c r="AB74" s="4">
        <f>IF(Graphs!$B$11="Yes",I74,$Y$127)</f>
        <v>-100</v>
      </c>
      <c r="AC74" s="4">
        <f>IF(Graphs!$B$11="Yes",J74,$Y$127)</f>
        <v>-100</v>
      </c>
      <c r="AD74" s="4">
        <f>IF(Graphs!$B$11="Yes",K74,$Y$127)</f>
        <v>-100</v>
      </c>
      <c r="AE74" s="4">
        <f>IF(Graphs!$B$11="Yes",L74,$Y$127)</f>
        <v>-100</v>
      </c>
      <c r="AF74" s="4">
        <f>IF(Graphs!$B$11="Yes",M74,$Y$127)</f>
        <v>-100</v>
      </c>
      <c r="AG74" s="4">
        <f>IF(Graphs!$B$11="Yes",N74,$Y$127)</f>
        <v>-100</v>
      </c>
      <c r="AH74" s="27">
        <f>IF(Graphs!$B$11="Yes",O74,$Y$127)</f>
        <v>-100</v>
      </c>
    </row>
    <row r="75" spans="1:34" x14ac:dyDescent="0.25">
      <c r="A75" s="3">
        <v>29</v>
      </c>
      <c r="B75" s="3" t="s">
        <v>56</v>
      </c>
      <c r="C75" s="3">
        <v>164.81377845643496</v>
      </c>
      <c r="D75" s="3" t="str">
        <f t="shared" si="6"/>
        <v>Yes</v>
      </c>
      <c r="E75" s="4">
        <v>1.72</v>
      </c>
      <c r="F75" s="3">
        <f t="shared" si="7"/>
        <v>1770</v>
      </c>
      <c r="G75" s="4">
        <f>((2*C75*'String Lengths'!E35)^2)*F75/1000000000000</f>
        <v>136.67070631570911</v>
      </c>
      <c r="H75" s="4">
        <f t="shared" si="8"/>
        <v>317.55738284777732</v>
      </c>
      <c r="I75" s="4">
        <f>PI()*(E75^2)*F75*'String Lengths'!E35*C75/2000000000</f>
        <v>1.1428023579508919</v>
      </c>
      <c r="J75" s="4">
        <f>4*H75/'String Lengths'!E35</f>
        <v>1.5067965971424784</v>
      </c>
      <c r="K75" s="4">
        <f t="shared" si="9"/>
        <v>7.6393242462215181</v>
      </c>
      <c r="L75" s="4">
        <f>K75*(PI()^3)*(E75^4)/(0.128*H75*('String Lengths'!E35^2)*$L$127)</f>
        <v>0.55432667069636887</v>
      </c>
      <c r="M75" s="4">
        <f>0.008*('String Lengths'!E35^2)*C75*SQRT('Misc ref'!$B$9*F75/(K75*1000000000))/(PI()*E75)</f>
        <v>19.148849834544997</v>
      </c>
      <c r="N75" s="4">
        <f t="shared" si="10"/>
        <v>3.1559942943262405</v>
      </c>
      <c r="O75" s="4">
        <f t="shared" si="11"/>
        <v>17.750137390464602</v>
      </c>
      <c r="Y75" s="26">
        <f>IF(Graphs!$B$11="Yes",E75,$Y$127)</f>
        <v>-100</v>
      </c>
      <c r="Z75" s="4">
        <f>IF(Graphs!$B$11="Yes",F75,$Y$127)</f>
        <v>-100</v>
      </c>
      <c r="AA75" s="4">
        <f>IF(Graphs!$B$11="Yes",H75,$Y$127)</f>
        <v>-100</v>
      </c>
      <c r="AB75" s="4">
        <f>IF(Graphs!$B$11="Yes",I75,$Y$127)</f>
        <v>-100</v>
      </c>
      <c r="AC75" s="4">
        <f>IF(Graphs!$B$11="Yes",J75,$Y$127)</f>
        <v>-100</v>
      </c>
      <c r="AD75" s="4">
        <f>IF(Graphs!$B$11="Yes",K75,$Y$127)</f>
        <v>-100</v>
      </c>
      <c r="AE75" s="4">
        <f>IF(Graphs!$B$11="Yes",L75,$Y$127)</f>
        <v>-100</v>
      </c>
      <c r="AF75" s="4">
        <f>IF(Graphs!$B$11="Yes",M75,$Y$127)</f>
        <v>-100</v>
      </c>
      <c r="AG75" s="4">
        <f>IF(Graphs!$B$11="Yes",N75,$Y$127)</f>
        <v>-100</v>
      </c>
      <c r="AH75" s="27">
        <f>IF(Graphs!$B$11="Yes",O75,$Y$127)</f>
        <v>-100</v>
      </c>
    </row>
    <row r="76" spans="1:34" x14ac:dyDescent="0.25">
      <c r="A76" s="3">
        <v>30</v>
      </c>
      <c r="B76" s="3" t="s">
        <v>57</v>
      </c>
      <c r="C76" s="3">
        <v>146.83238395870379</v>
      </c>
      <c r="D76" s="3" t="str">
        <f t="shared" si="6"/>
        <v>Yes</v>
      </c>
      <c r="E76" s="4">
        <v>1.8</v>
      </c>
      <c r="F76" s="3">
        <f t="shared" si="7"/>
        <v>1770</v>
      </c>
      <c r="G76" s="4">
        <f>((2*C76*'String Lengths'!E36)^2)*F76/1000000000000</f>
        <v>125.57163003978152</v>
      </c>
      <c r="H76" s="4">
        <f t="shared" si="8"/>
        <v>319.54087745014112</v>
      </c>
      <c r="I76" s="4">
        <f>PI()*(E76^2)*F76*'String Lengths'!E36*C76/2000000000</f>
        <v>1.1996851709805829</v>
      </c>
      <c r="J76" s="4">
        <f>4*H76/'String Lengths'!E36</f>
        <v>1.4092210692398726</v>
      </c>
      <c r="K76" s="4">
        <f t="shared" si="9"/>
        <v>7.2775850390794528</v>
      </c>
      <c r="L76" s="4">
        <f>K76*(PI()^3)*(E76^4)/(0.128*H76*('String Lengths'!E36^2)*$L$127)</f>
        <v>0.54376433382132128</v>
      </c>
      <c r="M76" s="4">
        <f>0.008*('String Lengths'!E36^2)*C76*SQRT('Misc ref'!$B$9*F76/(K76*1000000000))/(PI()*E76)</f>
        <v>19.333933549157905</v>
      </c>
      <c r="N76" s="4">
        <f t="shared" si="10"/>
        <v>2.838847554322018</v>
      </c>
      <c r="O76" s="4">
        <f t="shared" si="11"/>
        <v>18.519198232664067</v>
      </c>
      <c r="Y76" s="26">
        <f>IF(Graphs!$B$11="Yes",E76,$Y$127)</f>
        <v>-100</v>
      </c>
      <c r="Z76" s="4">
        <f>IF(Graphs!$B$11="Yes",F76,$Y$127)</f>
        <v>-100</v>
      </c>
      <c r="AA76" s="4">
        <f>IF(Graphs!$B$11="Yes",H76,$Y$127)</f>
        <v>-100</v>
      </c>
      <c r="AB76" s="4">
        <f>IF(Graphs!$B$11="Yes",I76,$Y$127)</f>
        <v>-100</v>
      </c>
      <c r="AC76" s="4">
        <f>IF(Graphs!$B$11="Yes",J76,$Y$127)</f>
        <v>-100</v>
      </c>
      <c r="AD76" s="4">
        <f>IF(Graphs!$B$11="Yes",K76,$Y$127)</f>
        <v>-100</v>
      </c>
      <c r="AE76" s="4">
        <f>IF(Graphs!$B$11="Yes",L76,$Y$127)</f>
        <v>-100</v>
      </c>
      <c r="AF76" s="4">
        <f>IF(Graphs!$B$11="Yes",M76,$Y$127)</f>
        <v>-100</v>
      </c>
      <c r="AG76" s="4">
        <f>IF(Graphs!$B$11="Yes",N76,$Y$127)</f>
        <v>-100</v>
      </c>
      <c r="AH76" s="27">
        <f>IF(Graphs!$B$11="Yes",O76,$Y$127)</f>
        <v>-100</v>
      </c>
    </row>
    <row r="77" spans="1:34" x14ac:dyDescent="0.25">
      <c r="A77" s="3">
        <v>31</v>
      </c>
      <c r="B77" s="3" t="s">
        <v>58</v>
      </c>
      <c r="C77" s="3">
        <v>130.81278265029934</v>
      </c>
      <c r="D77" s="3" t="str">
        <f t="shared" si="6"/>
        <v>Yes</v>
      </c>
      <c r="E77" s="4">
        <v>2.0299999999999998</v>
      </c>
      <c r="F77" s="3">
        <f t="shared" si="7"/>
        <v>1770</v>
      </c>
      <c r="G77" s="4">
        <f>((2*C77*'String Lengths'!E37)^2)*F77/1000000000000</f>
        <v>112.82056037722205</v>
      </c>
      <c r="H77" s="4">
        <f t="shared" si="8"/>
        <v>365.14907911943567</v>
      </c>
      <c r="I77" s="4">
        <f>PI()*(E77^2)*F77*'String Lengths'!E37*C77/2000000000</f>
        <v>1.4463144214071053</v>
      </c>
      <c r="J77" s="4">
        <f>4*H77/'String Lengths'!E37</f>
        <v>1.5135713124121686</v>
      </c>
      <c r="K77" s="4">
        <f t="shared" si="9"/>
        <v>6.862004344319157</v>
      </c>
      <c r="L77" s="4">
        <f>K77*(PI()^3)*(E77^4)/(0.128*H77*('String Lengths'!E37^2)*$L$127)</f>
        <v>0.64118700283135843</v>
      </c>
      <c r="M77" s="4">
        <f>0.008*('String Lengths'!E37^2)*C77*SQRT('Misc ref'!$B$9*F77/(K77*1000000000))/(PI()*E77)</f>
        <v>17.804641172963894</v>
      </c>
      <c r="N77" s="4">
        <f t="shared" si="10"/>
        <v>2.3290746559254969</v>
      </c>
      <c r="O77" s="4">
        <f t="shared" si="11"/>
        <v>22.209201575173061</v>
      </c>
      <c r="Y77" s="26">
        <f>IF(Graphs!$B$11="Yes",E77,$Y$127)</f>
        <v>-100</v>
      </c>
      <c r="Z77" s="4">
        <f>IF(Graphs!$B$11="Yes",F77,$Y$127)</f>
        <v>-100</v>
      </c>
      <c r="AA77" s="4">
        <f>IF(Graphs!$B$11="Yes",H77,$Y$127)</f>
        <v>-100</v>
      </c>
      <c r="AB77" s="4">
        <f>IF(Graphs!$B$11="Yes",I77,$Y$127)</f>
        <v>-100</v>
      </c>
      <c r="AC77" s="4">
        <f>IF(Graphs!$B$11="Yes",J77,$Y$127)</f>
        <v>-100</v>
      </c>
      <c r="AD77" s="4">
        <f>IF(Graphs!$B$11="Yes",K77,$Y$127)</f>
        <v>-100</v>
      </c>
      <c r="AE77" s="4">
        <f>IF(Graphs!$B$11="Yes",L77,$Y$127)</f>
        <v>-100</v>
      </c>
      <c r="AF77" s="4">
        <f>IF(Graphs!$B$11="Yes",M77,$Y$127)</f>
        <v>-100</v>
      </c>
      <c r="AG77" s="4">
        <f>IF(Graphs!$B$11="Yes",N77,$Y$127)</f>
        <v>-100</v>
      </c>
      <c r="AH77" s="27">
        <f>IF(Graphs!$B$11="Yes",O77,$Y$127)</f>
        <v>-100</v>
      </c>
    </row>
    <row r="78" spans="1:34" x14ac:dyDescent="0.25">
      <c r="A78" s="3">
        <v>32</v>
      </c>
      <c r="B78" s="3" t="s">
        <v>59</v>
      </c>
      <c r="C78" s="3">
        <v>123.47082531403103</v>
      </c>
      <c r="D78" s="3" t="str">
        <f t="shared" si="6"/>
        <v>Yes</v>
      </c>
      <c r="E78" s="4">
        <v>2.0299999999999998</v>
      </c>
      <c r="F78" s="3">
        <f t="shared" si="7"/>
        <v>1770</v>
      </c>
      <c r="G78" s="4">
        <f>((2*C78*'String Lengths'!E38)^2)*F78/1000000000000</f>
        <v>111.85554440942695</v>
      </c>
      <c r="H78" s="4">
        <f t="shared" si="8"/>
        <v>362.0257593025712</v>
      </c>
      <c r="I78" s="4">
        <f>PI()*(E78^2)*F78*'String Lengths'!E38*C78/2000000000</f>
        <v>1.440115578212376</v>
      </c>
      <c r="J78" s="4">
        <f>4*H78/'String Lengths'!E38</f>
        <v>1.4224980719158005</v>
      </c>
      <c r="K78" s="4">
        <f t="shared" si="9"/>
        <v>6.8305527079494937</v>
      </c>
      <c r="L78" s="4">
        <f>K78*(PI()^3)*(E78^4)/(0.128*H78*('String Lengths'!E38^2)*$L$127)</f>
        <v>0.57846804869225066</v>
      </c>
      <c r="M78" s="4">
        <f>0.008*('String Lengths'!E38^2)*C78*SQRT('Misc ref'!$B$9*F78/(K78*1000000000))/(PI()*E78)</f>
        <v>18.745019335554218</v>
      </c>
      <c r="N78" s="4">
        <f t="shared" si="10"/>
        <v>2.3144630078883486</v>
      </c>
      <c r="O78" s="4">
        <f t="shared" si="11"/>
        <v>22.107406866666182</v>
      </c>
      <c r="Y78" s="26">
        <f>IF(Graphs!$B$11="Yes",E78,$Y$127)</f>
        <v>-100</v>
      </c>
      <c r="Z78" s="4">
        <f>IF(Graphs!$B$11="Yes",F78,$Y$127)</f>
        <v>-100</v>
      </c>
      <c r="AA78" s="4">
        <f>IF(Graphs!$B$11="Yes",H78,$Y$127)</f>
        <v>-100</v>
      </c>
      <c r="AB78" s="4">
        <f>IF(Graphs!$B$11="Yes",I78,$Y$127)</f>
        <v>-100</v>
      </c>
      <c r="AC78" s="4">
        <f>IF(Graphs!$B$11="Yes",J78,$Y$127)</f>
        <v>-100</v>
      </c>
      <c r="AD78" s="4">
        <f>IF(Graphs!$B$11="Yes",K78,$Y$127)</f>
        <v>-100</v>
      </c>
      <c r="AE78" s="4">
        <f>IF(Graphs!$B$11="Yes",L78,$Y$127)</f>
        <v>-100</v>
      </c>
      <c r="AF78" s="4">
        <f>IF(Graphs!$B$11="Yes",M78,$Y$127)</f>
        <v>-100</v>
      </c>
      <c r="AG78" s="4">
        <f>IF(Graphs!$B$11="Yes",N78,$Y$127)</f>
        <v>-100</v>
      </c>
      <c r="AH78" s="27">
        <f>IF(Graphs!$B$11="Yes",O78,$Y$127)</f>
        <v>-100</v>
      </c>
    </row>
    <row r="79" spans="1:34" x14ac:dyDescent="0.25">
      <c r="A79" s="3">
        <v>33</v>
      </c>
      <c r="B79" s="3" t="s">
        <v>60</v>
      </c>
      <c r="C79" s="3">
        <v>110</v>
      </c>
      <c r="D79" s="3" t="str">
        <f t="shared" si="6"/>
        <v>Yes</v>
      </c>
      <c r="E79" s="4">
        <v>2.0699999999999998</v>
      </c>
      <c r="F79" s="3">
        <f t="shared" si="7"/>
        <v>1770</v>
      </c>
      <c r="G79" s="4">
        <f>((2*C79*'String Lengths'!E39)^2)*F79/1000000000000</f>
        <v>97.532075652000003</v>
      </c>
      <c r="H79" s="4">
        <f t="shared" si="8"/>
        <v>328.2298234368634</v>
      </c>
      <c r="I79" s="4">
        <f>PI()*(E79^2)*F79*'String Lengths'!E39*C79/2000000000</f>
        <v>1.3982696746905656</v>
      </c>
      <c r="J79" s="4">
        <f>4*H79/'String Lengths'!E39</f>
        <v>1.2304773137276979</v>
      </c>
      <c r="K79" s="4">
        <f t="shared" si="9"/>
        <v>6.363724649197124</v>
      </c>
      <c r="L79" s="4">
        <f>K79*(PI()^3)*(E79^4)/(0.128*H79*('String Lengths'!E39^2)*$L$127)</f>
        <v>0.58500595952504153</v>
      </c>
      <c r="M79" s="4">
        <f>0.008*('String Lengths'!E39^2)*C79*SQRT('Misc ref'!$B$9*F79/(K79*1000000000))/(PI()*E79)</f>
        <v>18.639979722244764</v>
      </c>
      <c r="N79" s="4">
        <f t="shared" si="10"/>
        <v>2.0503977694469242</v>
      </c>
      <c r="O79" s="4">
        <f t="shared" si="11"/>
        <v>21.416177232397029</v>
      </c>
      <c r="Y79" s="28">
        <f>IF(Graphs!$B$11="Yes",E79,$Y$127)</f>
        <v>-100</v>
      </c>
      <c r="Z79" s="15">
        <f>IF(Graphs!$B$11="Yes",F79,$Y$127)</f>
        <v>-100</v>
      </c>
      <c r="AA79" s="15">
        <f>IF(Graphs!$B$11="Yes",H79,$Y$127)</f>
        <v>-100</v>
      </c>
      <c r="AB79" s="15">
        <f>IF(Graphs!$B$11="Yes",I79,$Y$127)</f>
        <v>-100</v>
      </c>
      <c r="AC79" s="15">
        <f>IF(Graphs!$B$11="Yes",J79,$Y$127)</f>
        <v>-100</v>
      </c>
      <c r="AD79" s="15">
        <f>IF(Graphs!$B$11="Yes",K79,$Y$127)</f>
        <v>-100</v>
      </c>
      <c r="AE79" s="15">
        <f>IF(Graphs!$B$11="Yes",L79,$Y$127)</f>
        <v>-100</v>
      </c>
      <c r="AF79" s="15">
        <f>IF(Graphs!$B$11="Yes",M79,$Y$127)</f>
        <v>-100</v>
      </c>
      <c r="AG79" s="15">
        <f>IF(Graphs!$B$11="Yes",N79,$Y$127)</f>
        <v>-100</v>
      </c>
      <c r="AH79" s="29">
        <f>IF(Graphs!$B$11="Yes",O79,$Y$127)</f>
        <v>-100</v>
      </c>
    </row>
    <row r="81" spans="1:34" x14ac:dyDescent="0.25">
      <c r="E81" s="32" t="s">
        <v>88</v>
      </c>
    </row>
    <row r="82" spans="1:34" x14ac:dyDescent="0.25">
      <c r="A82" s="3" t="s">
        <v>20</v>
      </c>
      <c r="B82" s="3" t="s">
        <v>21</v>
      </c>
      <c r="C82" s="3" t="s">
        <v>22</v>
      </c>
      <c r="D82" s="3" t="s">
        <v>87</v>
      </c>
      <c r="E82" s="32" t="s">
        <v>70</v>
      </c>
      <c r="F82" s="3" t="s">
        <v>62</v>
      </c>
      <c r="G82" s="3" t="s">
        <v>66</v>
      </c>
      <c r="H82" s="3" t="s">
        <v>68</v>
      </c>
      <c r="I82" s="3" t="s">
        <v>71</v>
      </c>
      <c r="J82" s="3" t="s">
        <v>73</v>
      </c>
      <c r="K82" s="3" t="s">
        <v>75</v>
      </c>
      <c r="L82" s="3" t="s">
        <v>77</v>
      </c>
      <c r="M82" s="3" t="s">
        <v>79</v>
      </c>
      <c r="N82" s="3" t="s">
        <v>80</v>
      </c>
      <c r="O82" s="3" t="s">
        <v>82</v>
      </c>
      <c r="Y82" s="9" t="s">
        <v>70</v>
      </c>
      <c r="Z82" s="24" t="s">
        <v>62</v>
      </c>
      <c r="AA82" s="24" t="s">
        <v>68</v>
      </c>
      <c r="AB82" s="24" t="s">
        <v>71</v>
      </c>
      <c r="AC82" s="24" t="s">
        <v>73</v>
      </c>
      <c r="AD82" s="24" t="s">
        <v>75</v>
      </c>
      <c r="AE82" s="24" t="s">
        <v>77</v>
      </c>
      <c r="AF82" s="24" t="s">
        <v>79</v>
      </c>
      <c r="AG82" s="24" t="s">
        <v>80</v>
      </c>
      <c r="AH82" s="10" t="s">
        <v>82</v>
      </c>
    </row>
    <row r="83" spans="1:34" x14ac:dyDescent="0.25">
      <c r="A83" s="3" t="s">
        <v>61</v>
      </c>
      <c r="C83" s="3" t="s">
        <v>25</v>
      </c>
      <c r="E83" s="32" t="s">
        <v>8</v>
      </c>
      <c r="F83" s="3" t="s">
        <v>63</v>
      </c>
      <c r="G83" s="3" t="s">
        <v>67</v>
      </c>
      <c r="H83" s="3" t="s">
        <v>69</v>
      </c>
      <c r="I83" s="3" t="s">
        <v>72</v>
      </c>
      <c r="J83" s="3" t="s">
        <v>74</v>
      </c>
      <c r="K83" s="3" t="s">
        <v>76</v>
      </c>
      <c r="L83" s="3" t="s">
        <v>78</v>
      </c>
      <c r="N83" s="3" t="s">
        <v>81</v>
      </c>
      <c r="O83" s="3" t="s">
        <v>83</v>
      </c>
      <c r="Y83" s="11" t="s">
        <v>8</v>
      </c>
      <c r="Z83" s="3" t="s">
        <v>63</v>
      </c>
      <c r="AA83" s="3" t="s">
        <v>69</v>
      </c>
      <c r="AB83" s="3" t="s">
        <v>72</v>
      </c>
      <c r="AC83" s="3" t="s">
        <v>74</v>
      </c>
      <c r="AD83" s="3" t="s">
        <v>76</v>
      </c>
      <c r="AE83" s="3" t="s">
        <v>78</v>
      </c>
      <c r="AG83" s="3" t="s">
        <v>81</v>
      </c>
      <c r="AH83" s="12" t="s">
        <v>83</v>
      </c>
    </row>
    <row r="84" spans="1:34" x14ac:dyDescent="0.25">
      <c r="Y84" s="25"/>
      <c r="AH84" s="17"/>
    </row>
    <row r="85" spans="1:34" x14ac:dyDescent="0.25">
      <c r="A85" s="1">
        <v>-1</v>
      </c>
      <c r="B85" s="3" t="s">
        <v>26</v>
      </c>
      <c r="C85" s="3">
        <v>3135.9634878539941</v>
      </c>
      <c r="D85" s="3" t="str">
        <f>IF(E85&lt;$E$127,"No","Yes")</f>
        <v>No</v>
      </c>
      <c r="E85" s="4">
        <v>0.47</v>
      </c>
      <c r="F85" s="3">
        <f>$F$127</f>
        <v>1770</v>
      </c>
      <c r="G85" s="4">
        <f>((2*C85*'String Lengths'!E5)^2)*F85/1000000000000</f>
        <v>371.04020650103922</v>
      </c>
      <c r="H85" s="4">
        <f>G85*PI()*(E85^2)/4</f>
        <v>64.373418148215023</v>
      </c>
      <c r="I85" s="4">
        <f>PI()*(E85^2)*F85*'String Lengths'!E5*C85/2000000000</f>
        <v>0.14059915705036038</v>
      </c>
      <c r="J85" s="4">
        <f>4*H85/'String Lengths'!E5</f>
        <v>3.5273105834638367</v>
      </c>
      <c r="K85" s="4">
        <f>IF(D85="No",$K$127+($K$128*G85),$K$129+($K$130*G85))</f>
        <v>18.463660920514691</v>
      </c>
      <c r="L85" s="4">
        <f>K85*(PI()^3)*(E85^4)/(0.128*H85*('String Lengths'!E5^2)*$L$127)</f>
        <v>4.913957133455062</v>
      </c>
      <c r="M85" s="4">
        <f>0.008*('String Lengths'!E5^2)*C85*SQRT('Misc ref'!$B$9*F85/(K85*1000000000))/(PI()*E85)</f>
        <v>6.4314648275907613</v>
      </c>
      <c r="N85" s="4">
        <f>M85*C85/1000</f>
        <v>20.168838872741809</v>
      </c>
      <c r="O85" s="4">
        <f>K85*PI()*(E85^2)/4</f>
        <v>3.2033427756833137</v>
      </c>
      <c r="Y85" s="26">
        <f>IF(Graphs!$B$12="Yes",E85,$Y$127)</f>
        <v>-100</v>
      </c>
      <c r="Z85" s="4">
        <f>IF(Graphs!$B$12="Yes",F85,$Y$127)</f>
        <v>-100</v>
      </c>
      <c r="AA85" s="4">
        <f>IF(Graphs!$B$12="Yes",H85,$Y$127)</f>
        <v>-100</v>
      </c>
      <c r="AB85" s="4">
        <f>IF(Graphs!$B$12="Yes",I85,$Y$127)</f>
        <v>-100</v>
      </c>
      <c r="AC85" s="4">
        <f>IF(Graphs!$B$12="Yes",J85,$Y$127)</f>
        <v>-100</v>
      </c>
      <c r="AD85" s="4">
        <f>IF(Graphs!$B$12="Yes",K85,$Y$127)</f>
        <v>-100</v>
      </c>
      <c r="AE85" s="4">
        <f>IF(Graphs!$B$12="Yes",L85,$Y$127)</f>
        <v>-100</v>
      </c>
      <c r="AF85" s="4">
        <f>IF(Graphs!$B$12="Yes",M85,$Y$127)</f>
        <v>-100</v>
      </c>
      <c r="AG85" s="4">
        <f>IF(Graphs!$B$12="Yes",N85,$Y$127)</f>
        <v>-100</v>
      </c>
      <c r="AH85" s="27">
        <f>IF(Graphs!$B$12="Yes",O85,$Y$127)</f>
        <v>-100</v>
      </c>
    </row>
    <row r="86" spans="1:34" x14ac:dyDescent="0.25">
      <c r="A86" s="2">
        <v>0</v>
      </c>
      <c r="B86" s="2" t="s">
        <v>27</v>
      </c>
      <c r="C86" s="2">
        <v>2793.8258514640311</v>
      </c>
      <c r="D86" s="2" t="str">
        <f t="shared" ref="D86:D119" si="12">IF(E86&lt;$E$127,"No","Yes")</f>
        <v>No</v>
      </c>
      <c r="E86" s="15">
        <v>0.5</v>
      </c>
      <c r="F86" s="2">
        <f t="shared" ref="F86:F119" si="13">$F$127</f>
        <v>1770</v>
      </c>
      <c r="G86" s="15">
        <f>((2*C86*'String Lengths'!E6)^2)*F86/1000000000000</f>
        <v>362.57842543216998</v>
      </c>
      <c r="H86" s="15">
        <f t="shared" ref="H86:H119" si="14">G86*PI()*(E86^2)/4</f>
        <v>71.192107355491245</v>
      </c>
      <c r="I86" s="15">
        <f>PI()*(E86^2)*F86*'String Lengths'!E6*C86/2000000000</f>
        <v>0.15729593617346913</v>
      </c>
      <c r="J86" s="15">
        <f>4*H86/'String Lengths'!E6</f>
        <v>3.5156596224933949</v>
      </c>
      <c r="K86" s="15">
        <f t="shared" ref="K86:K119" si="15">IF(D86="No",$K$127+($K$128*G86),$K$129+($K$130*G86))</f>
        <v>18.116647086681844</v>
      </c>
      <c r="L86" s="15">
        <f>K86*(PI()^3)*(E86^4)/(0.128*H86*('String Lengths'!E6^2)*$L$127)</f>
        <v>4.5355542063090661</v>
      </c>
      <c r="M86" s="15">
        <f>0.008*('String Lengths'!E6^2)*C86*SQRT('Misc ref'!$B$9*F86/(K86*1000000000))/(PI()*E86)</f>
        <v>6.6943805984149263</v>
      </c>
      <c r="N86" s="15">
        <f t="shared" ref="N86:N119" si="16">M86*C86/1000</f>
        <v>18.702933575390873</v>
      </c>
      <c r="O86" s="15">
        <f t="shared" ref="O86:O119" si="17">K86*PI()*(E86^2)/4</f>
        <v>3.557195337199913</v>
      </c>
      <c r="Y86" s="26">
        <f>IF(Graphs!$B$12="Yes",E86,$Y$127)</f>
        <v>-100</v>
      </c>
      <c r="Z86" s="4">
        <f>IF(Graphs!$B$12="Yes",F86,$Y$127)</f>
        <v>-100</v>
      </c>
      <c r="AA86" s="4">
        <f>IF(Graphs!$B$12="Yes",H86,$Y$127)</f>
        <v>-100</v>
      </c>
      <c r="AB86" s="4">
        <f>IF(Graphs!$B$12="Yes",I86,$Y$127)</f>
        <v>-100</v>
      </c>
      <c r="AC86" s="4">
        <f>IF(Graphs!$B$12="Yes",J86,$Y$127)</f>
        <v>-100</v>
      </c>
      <c r="AD86" s="4">
        <f>IF(Graphs!$B$12="Yes",K86,$Y$127)</f>
        <v>-100</v>
      </c>
      <c r="AE86" s="4">
        <f>IF(Graphs!$B$12="Yes",L86,$Y$127)</f>
        <v>-100</v>
      </c>
      <c r="AF86" s="4">
        <f>IF(Graphs!$B$12="Yes",M86,$Y$127)</f>
        <v>-100</v>
      </c>
      <c r="AG86" s="4">
        <f>IF(Graphs!$B$12="Yes",N86,$Y$127)</f>
        <v>-100</v>
      </c>
      <c r="AH86" s="27">
        <f>IF(Graphs!$B$12="Yes",O86,$Y$127)</f>
        <v>-100</v>
      </c>
    </row>
    <row r="87" spans="1:34" x14ac:dyDescent="0.25">
      <c r="A87" s="3">
        <v>1</v>
      </c>
      <c r="B87" s="3" t="s">
        <v>28</v>
      </c>
      <c r="C87" s="3">
        <v>2637.0204553029594</v>
      </c>
      <c r="D87" s="3" t="str">
        <f t="shared" si="12"/>
        <v>No</v>
      </c>
      <c r="E87" s="4">
        <v>0.5</v>
      </c>
      <c r="F87" s="3">
        <f t="shared" si="13"/>
        <v>1770</v>
      </c>
      <c r="G87" s="4">
        <f>((2*C87*'String Lengths'!E7)^2)*F87/1000000000000</f>
        <v>372.64797035177997</v>
      </c>
      <c r="H87" s="4">
        <f t="shared" si="14"/>
        <v>73.169257877018694</v>
      </c>
      <c r="I87" s="4">
        <f>PI()*(E87^2)*F87*'String Lengths'!E7*C87/2000000000</f>
        <v>0.15946519317249425</v>
      </c>
      <c r="J87" s="4">
        <f>4*H87/'String Lengths'!E7</f>
        <v>3.3641038104376411</v>
      </c>
      <c r="K87" s="4">
        <f t="shared" si="15"/>
        <v>18.529594592539837</v>
      </c>
      <c r="L87" s="4">
        <f>K87*(PI()^3)*(E87^4)/(0.128*H87*('String Lengths'!E7^2)*$L$127)</f>
        <v>3.9124895080778175</v>
      </c>
      <c r="M87" s="4">
        <f>0.008*('String Lengths'!E7^2)*C87*SQRT('Misc ref'!$B$9*F87/(K87*1000000000))/(PI()*E87)</f>
        <v>7.207737934050269</v>
      </c>
      <c r="N87" s="4">
        <f t="shared" si="16"/>
        <v>19.006952368553652</v>
      </c>
      <c r="O87" s="4">
        <f t="shared" si="17"/>
        <v>3.6382773903700194</v>
      </c>
      <c r="Y87" s="26">
        <f>IF(Graphs!$B$12="Yes",E87,$Y$127)</f>
        <v>-100</v>
      </c>
      <c r="Z87" s="4">
        <f>IF(Graphs!$B$12="Yes",F87,$Y$127)</f>
        <v>-100</v>
      </c>
      <c r="AA87" s="4">
        <f>IF(Graphs!$B$12="Yes",H87,$Y$127)</f>
        <v>-100</v>
      </c>
      <c r="AB87" s="4">
        <f>IF(Graphs!$B$12="Yes",I87,$Y$127)</f>
        <v>-100</v>
      </c>
      <c r="AC87" s="4">
        <f>IF(Graphs!$B$12="Yes",J87,$Y$127)</f>
        <v>-100</v>
      </c>
      <c r="AD87" s="4">
        <f>IF(Graphs!$B$12="Yes",K87,$Y$127)</f>
        <v>-100</v>
      </c>
      <c r="AE87" s="4">
        <f>IF(Graphs!$B$12="Yes",L87,$Y$127)</f>
        <v>-100</v>
      </c>
      <c r="AF87" s="4">
        <f>IF(Graphs!$B$12="Yes",M87,$Y$127)</f>
        <v>-100</v>
      </c>
      <c r="AG87" s="4">
        <f>IF(Graphs!$B$12="Yes",N87,$Y$127)</f>
        <v>-100</v>
      </c>
      <c r="AH87" s="27">
        <f>IF(Graphs!$B$12="Yes",O87,$Y$127)</f>
        <v>-100</v>
      </c>
    </row>
    <row r="88" spans="1:34" x14ac:dyDescent="0.25">
      <c r="A88" s="3">
        <v>2</v>
      </c>
      <c r="B88" s="3" t="s">
        <v>29</v>
      </c>
      <c r="C88" s="3">
        <v>2349.3181433392606</v>
      </c>
      <c r="D88" s="3" t="str">
        <f t="shared" si="12"/>
        <v>No</v>
      </c>
      <c r="E88" s="4">
        <v>0.55000000000000004</v>
      </c>
      <c r="F88" s="3">
        <f t="shared" si="13"/>
        <v>1770</v>
      </c>
      <c r="G88" s="4">
        <f>((2*C88*'String Lengths'!E8)^2)*F88/1000000000000</f>
        <v>352.66643981079579</v>
      </c>
      <c r="H88" s="4">
        <f t="shared" si="14"/>
        <v>83.787531171093022</v>
      </c>
      <c r="I88" s="4">
        <f>PI()*(E88^2)*F88*'String Lengths'!E8*C88/2000000000</f>
        <v>0.18770850913228801</v>
      </c>
      <c r="J88" s="4">
        <f>4*H88/'String Lengths'!E8</f>
        <v>3.52789604930918</v>
      </c>
      <c r="K88" s="4">
        <f t="shared" si="15"/>
        <v>17.71016101674282</v>
      </c>
      <c r="L88" s="4">
        <f>K88*(PI()^3)*(E88^4)/(0.128*H88*('String Lengths'!E8^2)*$L$127)</f>
        <v>4.0097848408110481</v>
      </c>
      <c r="M88" s="4">
        <f>0.008*('String Lengths'!E8^2)*C88*SQRT('Misc ref'!$B$9*F88/(K88*1000000000))/(PI()*E88)</f>
        <v>7.1197549449969877</v>
      </c>
      <c r="N88" s="4">
        <f t="shared" si="16"/>
        <v>16.72656946841084</v>
      </c>
      <c r="O88" s="4">
        <f t="shared" si="17"/>
        <v>4.2076322006469269</v>
      </c>
      <c r="Y88" s="26">
        <f>IF(Graphs!$B$12="Yes",E88,$Y$127)</f>
        <v>-100</v>
      </c>
      <c r="Z88" s="4">
        <f>IF(Graphs!$B$12="Yes",F88,$Y$127)</f>
        <v>-100</v>
      </c>
      <c r="AA88" s="4">
        <f>IF(Graphs!$B$12="Yes",H88,$Y$127)</f>
        <v>-100</v>
      </c>
      <c r="AB88" s="4">
        <f>IF(Graphs!$B$12="Yes",I88,$Y$127)</f>
        <v>-100</v>
      </c>
      <c r="AC88" s="4">
        <f>IF(Graphs!$B$12="Yes",J88,$Y$127)</f>
        <v>-100</v>
      </c>
      <c r="AD88" s="4">
        <f>IF(Graphs!$B$12="Yes",K88,$Y$127)</f>
        <v>-100</v>
      </c>
      <c r="AE88" s="4">
        <f>IF(Graphs!$B$12="Yes",L88,$Y$127)</f>
        <v>-100</v>
      </c>
      <c r="AF88" s="4">
        <f>IF(Graphs!$B$12="Yes",M88,$Y$127)</f>
        <v>-100</v>
      </c>
      <c r="AG88" s="4">
        <f>IF(Graphs!$B$12="Yes",N88,$Y$127)</f>
        <v>-100</v>
      </c>
      <c r="AH88" s="27">
        <f>IF(Graphs!$B$12="Yes",O88,$Y$127)</f>
        <v>-100</v>
      </c>
    </row>
    <row r="89" spans="1:34" x14ac:dyDescent="0.25">
      <c r="A89" s="3">
        <v>3</v>
      </c>
      <c r="B89" s="3" t="s">
        <v>30</v>
      </c>
      <c r="C89" s="3">
        <v>2093.0045224047894</v>
      </c>
      <c r="D89" s="3" t="str">
        <f t="shared" si="12"/>
        <v>No</v>
      </c>
      <c r="E89" s="4">
        <v>0.56999999999999995</v>
      </c>
      <c r="F89" s="3">
        <f t="shared" si="13"/>
        <v>1770</v>
      </c>
      <c r="G89" s="4">
        <f>((2*C89*'String Lengths'!E9)^2)*F89/1000000000000</f>
        <v>329.0395030317473</v>
      </c>
      <c r="H89" s="4">
        <f t="shared" si="14"/>
        <v>83.962939241924985</v>
      </c>
      <c r="I89" s="4">
        <f>PI()*(E89^2)*F89*'String Lengths'!E9*C89/2000000000</f>
        <v>0.19473779408291081</v>
      </c>
      <c r="J89" s="4">
        <f>4*H89/'String Lengths'!E9</f>
        <v>3.2606966695893198</v>
      </c>
      <c r="K89" s="4">
        <f t="shared" si="15"/>
        <v>16.741230971555591</v>
      </c>
      <c r="L89" s="4">
        <f>K89*(PI()^3)*(E89^4)/(0.128*H89*('String Lengths'!E9^2)*$L$127)</f>
        <v>3.7119245048559972</v>
      </c>
      <c r="M89" s="4">
        <f>0.008*('String Lengths'!E9^2)*C89*SQRT('Misc ref'!$B$9*F89/(K89*1000000000))/(PI()*E89)</f>
        <v>7.3999027690902706</v>
      </c>
      <c r="N89" s="4">
        <f t="shared" si="16"/>
        <v>15.48802996106166</v>
      </c>
      <c r="O89" s="4">
        <f t="shared" si="17"/>
        <v>4.2719580656676701</v>
      </c>
      <c r="Y89" s="26">
        <f>IF(Graphs!$B$12="Yes",E89,$Y$127)</f>
        <v>-100</v>
      </c>
      <c r="Z89" s="4">
        <f>IF(Graphs!$B$12="Yes",F89,$Y$127)</f>
        <v>-100</v>
      </c>
      <c r="AA89" s="4">
        <f>IF(Graphs!$B$12="Yes",H89,$Y$127)</f>
        <v>-100</v>
      </c>
      <c r="AB89" s="4">
        <f>IF(Graphs!$B$12="Yes",I89,$Y$127)</f>
        <v>-100</v>
      </c>
      <c r="AC89" s="4">
        <f>IF(Graphs!$B$12="Yes",J89,$Y$127)</f>
        <v>-100</v>
      </c>
      <c r="AD89" s="4">
        <f>IF(Graphs!$B$12="Yes",K89,$Y$127)</f>
        <v>-100</v>
      </c>
      <c r="AE89" s="4">
        <f>IF(Graphs!$B$12="Yes",L89,$Y$127)</f>
        <v>-100</v>
      </c>
      <c r="AF89" s="4">
        <f>IF(Graphs!$B$12="Yes",M89,$Y$127)</f>
        <v>-100</v>
      </c>
      <c r="AG89" s="4">
        <f>IF(Graphs!$B$12="Yes",N89,$Y$127)</f>
        <v>-100</v>
      </c>
      <c r="AH89" s="27">
        <f>IF(Graphs!$B$12="Yes",O89,$Y$127)</f>
        <v>-100</v>
      </c>
    </row>
    <row r="90" spans="1:34" x14ac:dyDescent="0.25">
      <c r="A90" s="3">
        <v>4</v>
      </c>
      <c r="B90" s="3" t="s">
        <v>31</v>
      </c>
      <c r="C90" s="3">
        <v>1975.5332050244965</v>
      </c>
      <c r="D90" s="3" t="str">
        <f t="shared" si="12"/>
        <v>No</v>
      </c>
      <c r="E90" s="4">
        <v>0.56999999999999995</v>
      </c>
      <c r="F90" s="3">
        <f t="shared" si="13"/>
        <v>1770</v>
      </c>
      <c r="G90" s="4">
        <f>((2*C90*'String Lengths'!E10)^2)*F90/1000000000000</f>
        <v>352.82456289768163</v>
      </c>
      <c r="H90" s="4">
        <f t="shared" si="14"/>
        <v>90.032312426567515</v>
      </c>
      <c r="I90" s="4">
        <f>PI()*(E90^2)*F90*'String Lengths'!E10*C90/2000000000</f>
        <v>0.20165343858618145</v>
      </c>
      <c r="J90" s="4">
        <f>4*H90/'String Lengths'!E10</f>
        <v>3.1869845106749564</v>
      </c>
      <c r="K90" s="4">
        <f t="shared" si="15"/>
        <v>17.716645573380617</v>
      </c>
      <c r="L90" s="4">
        <f>K90*(PI()^3)*(E90^4)/(0.128*H90*('String Lengths'!E10^2)*$L$127)</f>
        <v>3.0436873156195632</v>
      </c>
      <c r="M90" s="4">
        <f>0.008*('String Lengths'!E10^2)*C90*SQRT('Misc ref'!$B$9*F90/(K90*1000000000))/(PI()*E90)</f>
        <v>8.1719474179222704</v>
      </c>
      <c r="N90" s="4">
        <f t="shared" si="16"/>
        <v>16.143953473819643</v>
      </c>
      <c r="O90" s="4">
        <f t="shared" si="17"/>
        <v>4.5208603287519269</v>
      </c>
      <c r="Y90" s="26">
        <f>IF(Graphs!$B$12="Yes",E90,$Y$127)</f>
        <v>-100</v>
      </c>
      <c r="Z90" s="4">
        <f>IF(Graphs!$B$12="Yes",F90,$Y$127)</f>
        <v>-100</v>
      </c>
      <c r="AA90" s="4">
        <f>IF(Graphs!$B$12="Yes",H90,$Y$127)</f>
        <v>-100</v>
      </c>
      <c r="AB90" s="4">
        <f>IF(Graphs!$B$12="Yes",I90,$Y$127)</f>
        <v>-100</v>
      </c>
      <c r="AC90" s="4">
        <f>IF(Graphs!$B$12="Yes",J90,$Y$127)</f>
        <v>-100</v>
      </c>
      <c r="AD90" s="4">
        <f>IF(Graphs!$B$12="Yes",K90,$Y$127)</f>
        <v>-100</v>
      </c>
      <c r="AE90" s="4">
        <f>IF(Graphs!$B$12="Yes",L90,$Y$127)</f>
        <v>-100</v>
      </c>
      <c r="AF90" s="4">
        <f>IF(Graphs!$B$12="Yes",M90,$Y$127)</f>
        <v>-100</v>
      </c>
      <c r="AG90" s="4">
        <f>IF(Graphs!$B$12="Yes",N90,$Y$127)</f>
        <v>-100</v>
      </c>
      <c r="AH90" s="27">
        <f>IF(Graphs!$B$12="Yes",O90,$Y$127)</f>
        <v>-100</v>
      </c>
    </row>
    <row r="91" spans="1:34" x14ac:dyDescent="0.25">
      <c r="A91" s="3">
        <v>5</v>
      </c>
      <c r="B91" s="3" t="s">
        <v>32</v>
      </c>
      <c r="C91" s="3">
        <v>1760</v>
      </c>
      <c r="D91" s="3" t="str">
        <f t="shared" si="12"/>
        <v>No</v>
      </c>
      <c r="E91" s="4">
        <v>0.6</v>
      </c>
      <c r="F91" s="3">
        <f t="shared" si="13"/>
        <v>1770</v>
      </c>
      <c r="G91" s="4">
        <f>((2*C91*'String Lengths'!E11)^2)*F91/1000000000000</f>
        <v>326.421123072</v>
      </c>
      <c r="H91" s="4">
        <f t="shared" si="14"/>
        <v>92.293398199757235</v>
      </c>
      <c r="I91" s="4">
        <f>PI()*(E91^2)*F91*'String Lengths'!E11*C91/2000000000</f>
        <v>0.21491569998080581</v>
      </c>
      <c r="J91" s="4">
        <f>4*H91/'String Lengths'!E11</f>
        <v>3.0260130557297455</v>
      </c>
      <c r="K91" s="4">
        <f t="shared" si="15"/>
        <v>16.633852387677337</v>
      </c>
      <c r="L91" s="4">
        <f>K91*(PI()^3)*(E91^4)/(0.128*H91*('String Lengths'!E11^2)*$L$127)</f>
        <v>2.9361751113452113</v>
      </c>
      <c r="M91" s="4">
        <f>0.008*('String Lengths'!E11^2)*C91*SQRT('Misc ref'!$B$9*F91/(K91*1000000000))/(PI()*E91)</f>
        <v>8.3202160596451122</v>
      </c>
      <c r="N91" s="4">
        <f t="shared" si="16"/>
        <v>14.643580264975396</v>
      </c>
      <c r="O91" s="4">
        <f t="shared" si="17"/>
        <v>4.7031109615821745</v>
      </c>
      <c r="Y91" s="26">
        <f>IF(Graphs!$B$12="Yes",E91,$Y$127)</f>
        <v>-100</v>
      </c>
      <c r="Z91" s="4">
        <f>IF(Graphs!$B$12="Yes",F91,$Y$127)</f>
        <v>-100</v>
      </c>
      <c r="AA91" s="4">
        <f>IF(Graphs!$B$12="Yes",H91,$Y$127)</f>
        <v>-100</v>
      </c>
      <c r="AB91" s="4">
        <f>IF(Graphs!$B$12="Yes",I91,$Y$127)</f>
        <v>-100</v>
      </c>
      <c r="AC91" s="4">
        <f>IF(Graphs!$B$12="Yes",J91,$Y$127)</f>
        <v>-100</v>
      </c>
      <c r="AD91" s="4">
        <f>IF(Graphs!$B$12="Yes",K91,$Y$127)</f>
        <v>-100</v>
      </c>
      <c r="AE91" s="4">
        <f>IF(Graphs!$B$12="Yes",L91,$Y$127)</f>
        <v>-100</v>
      </c>
      <c r="AF91" s="4">
        <f>IF(Graphs!$B$12="Yes",M91,$Y$127)</f>
        <v>-100</v>
      </c>
      <c r="AG91" s="4">
        <f>IF(Graphs!$B$12="Yes",N91,$Y$127)</f>
        <v>-100</v>
      </c>
      <c r="AH91" s="27">
        <f>IF(Graphs!$B$12="Yes",O91,$Y$127)</f>
        <v>-100</v>
      </c>
    </row>
    <row r="92" spans="1:34" x14ac:dyDescent="0.25">
      <c r="A92" s="3">
        <v>6</v>
      </c>
      <c r="B92" s="3" t="s">
        <v>33</v>
      </c>
      <c r="C92" s="3">
        <v>1567.9817439269971</v>
      </c>
      <c r="D92" s="3" t="str">
        <f t="shared" si="12"/>
        <v>No</v>
      </c>
      <c r="E92" s="4">
        <v>0.64</v>
      </c>
      <c r="F92" s="3">
        <f t="shared" si="13"/>
        <v>1770</v>
      </c>
      <c r="G92" s="4">
        <f>((2*C92*'String Lengths'!E12)^2)*F92/1000000000000</f>
        <v>307.90627757538385</v>
      </c>
      <c r="H92" s="4">
        <f t="shared" si="14"/>
        <v>99.053168601600575</v>
      </c>
      <c r="I92" s="4">
        <f>PI()*(E92^2)*F92*'String Lengths'!E12*C92/2000000000</f>
        <v>0.2374902224027817</v>
      </c>
      <c r="J92" s="4">
        <f>4*H92/'String Lengths'!E12</f>
        <v>2.9790426647097918</v>
      </c>
      <c r="K92" s="4">
        <f t="shared" si="15"/>
        <v>15.874566905541583</v>
      </c>
      <c r="L92" s="4">
        <f>K92*(PI()^3)*(E92^4)/(0.128*H92*('String Lengths'!E12^2)*$L$127)</f>
        <v>2.8439668731692302</v>
      </c>
      <c r="M92" s="4">
        <f>0.008*('String Lengths'!E12^2)*C92*SQRT('Misc ref'!$B$9*F92/(K92*1000000000))/(PI()*E92)</f>
        <v>8.454020839212216</v>
      </c>
      <c r="N92" s="4">
        <f t="shared" si="16"/>
        <v>13.255750338663145</v>
      </c>
      <c r="O92" s="4">
        <f t="shared" si="17"/>
        <v>5.106833691583395</v>
      </c>
      <c r="Y92" s="26">
        <f>IF(Graphs!$B$12="Yes",E92,$Y$127)</f>
        <v>-100</v>
      </c>
      <c r="Z92" s="4">
        <f>IF(Graphs!$B$12="Yes",F92,$Y$127)</f>
        <v>-100</v>
      </c>
      <c r="AA92" s="4">
        <f>IF(Graphs!$B$12="Yes",H92,$Y$127)</f>
        <v>-100</v>
      </c>
      <c r="AB92" s="4">
        <f>IF(Graphs!$B$12="Yes",I92,$Y$127)</f>
        <v>-100</v>
      </c>
      <c r="AC92" s="4">
        <f>IF(Graphs!$B$12="Yes",J92,$Y$127)</f>
        <v>-100</v>
      </c>
      <c r="AD92" s="4">
        <f>IF(Graphs!$B$12="Yes",K92,$Y$127)</f>
        <v>-100</v>
      </c>
      <c r="AE92" s="4">
        <f>IF(Graphs!$B$12="Yes",L92,$Y$127)</f>
        <v>-100</v>
      </c>
      <c r="AF92" s="4">
        <f>IF(Graphs!$B$12="Yes",M92,$Y$127)</f>
        <v>-100</v>
      </c>
      <c r="AG92" s="4">
        <f>IF(Graphs!$B$12="Yes",N92,$Y$127)</f>
        <v>-100</v>
      </c>
      <c r="AH92" s="27">
        <f>IF(Graphs!$B$12="Yes",O92,$Y$127)</f>
        <v>-100</v>
      </c>
    </row>
    <row r="93" spans="1:34" x14ac:dyDescent="0.25">
      <c r="A93" s="2">
        <v>7</v>
      </c>
      <c r="B93" s="2" t="s">
        <v>34</v>
      </c>
      <c r="C93" s="2">
        <v>1396.9129257320155</v>
      </c>
      <c r="D93" s="2" t="str">
        <f t="shared" si="12"/>
        <v>No</v>
      </c>
      <c r="E93" s="15">
        <v>0.64</v>
      </c>
      <c r="F93" s="2">
        <f t="shared" si="13"/>
        <v>1770</v>
      </c>
      <c r="G93" s="15">
        <f>((2*C93*'String Lengths'!E13)^2)*F93/1000000000000</f>
        <v>286.48171885998619</v>
      </c>
      <c r="H93" s="15">
        <f t="shared" si="14"/>
        <v>92.160907607890863</v>
      </c>
      <c r="I93" s="15">
        <f>PI()*(E93^2)*F93*'String Lengths'!E13*C93/2000000000</f>
        <v>0.22907881051254386</v>
      </c>
      <c r="J93" s="15">
        <f>4*H93/'String Lengths'!E13</f>
        <v>2.5600252113303017</v>
      </c>
      <c r="K93" s="15">
        <f t="shared" si="15"/>
        <v>14.995955393674548</v>
      </c>
      <c r="L93" s="15">
        <f>K93*(PI()^3)*(E93^4)/(0.128*H93*('String Lengths'!E13^2)*$L$127)</f>
        <v>2.4631832071870647</v>
      </c>
      <c r="M93" s="15">
        <f>0.008*('String Lengths'!E13^2)*C93*SQRT('Misc ref'!$B$9*F93/(K93*1000000000))/(PI()*E93)</f>
        <v>9.0840020420649772</v>
      </c>
      <c r="N93" s="15">
        <f t="shared" si="16"/>
        <v>12.689559869936591</v>
      </c>
      <c r="O93" s="15">
        <f t="shared" si="17"/>
        <v>4.824185169748807</v>
      </c>
      <c r="Y93" s="26">
        <f>IF(Graphs!$B$12="Yes",E93,$Y$127)</f>
        <v>-100</v>
      </c>
      <c r="Z93" s="4">
        <f>IF(Graphs!$B$12="Yes",F93,$Y$127)</f>
        <v>-100</v>
      </c>
      <c r="AA93" s="4">
        <f>IF(Graphs!$B$12="Yes",H93,$Y$127)</f>
        <v>-100</v>
      </c>
      <c r="AB93" s="4">
        <f>IF(Graphs!$B$12="Yes",I93,$Y$127)</f>
        <v>-100</v>
      </c>
      <c r="AC93" s="4">
        <f>IF(Graphs!$B$12="Yes",J93,$Y$127)</f>
        <v>-100</v>
      </c>
      <c r="AD93" s="4">
        <f>IF(Graphs!$B$12="Yes",K93,$Y$127)</f>
        <v>-100</v>
      </c>
      <c r="AE93" s="4">
        <f>IF(Graphs!$B$12="Yes",L93,$Y$127)</f>
        <v>-100</v>
      </c>
      <c r="AF93" s="4">
        <f>IF(Graphs!$B$12="Yes",M93,$Y$127)</f>
        <v>-100</v>
      </c>
      <c r="AG93" s="4">
        <f>IF(Graphs!$B$12="Yes",N93,$Y$127)</f>
        <v>-100</v>
      </c>
      <c r="AH93" s="27">
        <f>IF(Graphs!$B$12="Yes",O93,$Y$127)</f>
        <v>-100</v>
      </c>
    </row>
    <row r="94" spans="1:34" x14ac:dyDescent="0.25">
      <c r="A94" s="3">
        <v>8</v>
      </c>
      <c r="B94" s="3" t="s">
        <v>35</v>
      </c>
      <c r="C94" s="3">
        <v>1318.5102276514797</v>
      </c>
      <c r="D94" s="3" t="str">
        <f t="shared" si="12"/>
        <v>No</v>
      </c>
      <c r="E94" s="4">
        <v>0.69</v>
      </c>
      <c r="F94" s="3">
        <f t="shared" si="13"/>
        <v>1770</v>
      </c>
      <c r="G94" s="4">
        <f>((2*C94*'String Lengths'!E14)^2)*F94/1000000000000</f>
        <v>291.90511510314485</v>
      </c>
      <c r="H94" s="4">
        <f t="shared" si="14"/>
        <v>109.15151502737423</v>
      </c>
      <c r="I94" s="4">
        <f>PI()*(E94^2)*F94*'String Lengths'!E14*C94/2000000000</f>
        <v>0.2687791329722154</v>
      </c>
      <c r="J94" s="4">
        <f>4*H94/'String Lengths'!E14</f>
        <v>2.8351042864253047</v>
      </c>
      <c r="K94" s="4">
        <f t="shared" si="15"/>
        <v>15.218366433078174</v>
      </c>
      <c r="L94" s="4">
        <f>K94*(PI()^3)*(E94^4)/(0.128*H94*('String Lengths'!E14^2)*$L$127)</f>
        <v>2.4932601553093692</v>
      </c>
      <c r="M94" s="4">
        <f>0.008*('String Lengths'!E14^2)*C94*SQRT('Misc ref'!$B$9*F94/(K94*1000000000))/(PI()*E94)</f>
        <v>9.0290442699529105</v>
      </c>
      <c r="N94" s="4">
        <f t="shared" si="16"/>
        <v>11.9048872158509</v>
      </c>
      <c r="O94" s="4">
        <f t="shared" si="17"/>
        <v>5.6905743218143554</v>
      </c>
      <c r="Y94" s="26">
        <f>IF(Graphs!$B$12="Yes",E94,$Y$127)</f>
        <v>-100</v>
      </c>
      <c r="Z94" s="4">
        <f>IF(Graphs!$B$12="Yes",F94,$Y$127)</f>
        <v>-100</v>
      </c>
      <c r="AA94" s="4">
        <f>IF(Graphs!$B$12="Yes",H94,$Y$127)</f>
        <v>-100</v>
      </c>
      <c r="AB94" s="4">
        <f>IF(Graphs!$B$12="Yes",I94,$Y$127)</f>
        <v>-100</v>
      </c>
      <c r="AC94" s="4">
        <f>IF(Graphs!$B$12="Yes",J94,$Y$127)</f>
        <v>-100</v>
      </c>
      <c r="AD94" s="4">
        <f>IF(Graphs!$B$12="Yes",K94,$Y$127)</f>
        <v>-100</v>
      </c>
      <c r="AE94" s="4">
        <f>IF(Graphs!$B$12="Yes",L94,$Y$127)</f>
        <v>-100</v>
      </c>
      <c r="AF94" s="4">
        <f>IF(Graphs!$B$12="Yes",M94,$Y$127)</f>
        <v>-100</v>
      </c>
      <c r="AG94" s="4">
        <f>IF(Graphs!$B$12="Yes",N94,$Y$127)</f>
        <v>-100</v>
      </c>
      <c r="AH94" s="27">
        <f>IF(Graphs!$B$12="Yes",O94,$Y$127)</f>
        <v>-100</v>
      </c>
    </row>
    <row r="95" spans="1:34" x14ac:dyDescent="0.25">
      <c r="A95" s="3">
        <v>9</v>
      </c>
      <c r="B95" s="3" t="s">
        <v>36</v>
      </c>
      <c r="C95" s="3">
        <v>1174.6590716696303</v>
      </c>
      <c r="D95" s="3" t="str">
        <f t="shared" si="12"/>
        <v>No</v>
      </c>
      <c r="E95" s="4">
        <v>0.71</v>
      </c>
      <c r="F95" s="3">
        <f t="shared" si="13"/>
        <v>1770</v>
      </c>
      <c r="G95" s="4">
        <f>((2*C95*'String Lengths'!E15)^2)*F95/1000000000000</f>
        <v>279.01679189573798</v>
      </c>
      <c r="H95" s="4">
        <f t="shared" si="14"/>
        <v>110.46810898721937</v>
      </c>
      <c r="I95" s="4">
        <f>PI()*(E95^2)*F95*'String Lengths'!E15*C95/2000000000</f>
        <v>0.27823283597487769</v>
      </c>
      <c r="J95" s="4">
        <f>4*H95/'String Lengths'!E15</f>
        <v>2.6146297985140681</v>
      </c>
      <c r="K95" s="4">
        <f t="shared" si="15"/>
        <v>14.689822098087861</v>
      </c>
      <c r="L95" s="4">
        <f>K95*(PI()^3)*(E95^4)/(0.128*H95*('String Lengths'!E15^2)*$L$127)</f>
        <v>2.2136757557198488</v>
      </c>
      <c r="M95" s="4">
        <f>0.008*('String Lengths'!E15^2)*C95*SQRT('Misc ref'!$B$9*F95/(K95*1000000000))/(PI()*E95)</f>
        <v>9.5822738072792717</v>
      </c>
      <c r="N95" s="4">
        <f t="shared" si="16"/>
        <v>11.255904854942882</v>
      </c>
      <c r="O95" s="4">
        <f t="shared" si="17"/>
        <v>5.8159828213522689</v>
      </c>
      <c r="Y95" s="26">
        <f>IF(Graphs!$B$12="Yes",E95,$Y$127)</f>
        <v>-100</v>
      </c>
      <c r="Z95" s="4">
        <f>IF(Graphs!$B$12="Yes",F95,$Y$127)</f>
        <v>-100</v>
      </c>
      <c r="AA95" s="4">
        <f>IF(Graphs!$B$12="Yes",H95,$Y$127)</f>
        <v>-100</v>
      </c>
      <c r="AB95" s="4">
        <f>IF(Graphs!$B$12="Yes",I95,$Y$127)</f>
        <v>-100</v>
      </c>
      <c r="AC95" s="4">
        <f>IF(Graphs!$B$12="Yes",J95,$Y$127)</f>
        <v>-100</v>
      </c>
      <c r="AD95" s="4">
        <f>IF(Graphs!$B$12="Yes",K95,$Y$127)</f>
        <v>-100</v>
      </c>
      <c r="AE95" s="4">
        <f>IF(Graphs!$B$12="Yes",L95,$Y$127)</f>
        <v>-100</v>
      </c>
      <c r="AF95" s="4">
        <f>IF(Graphs!$B$12="Yes",M95,$Y$127)</f>
        <v>-100</v>
      </c>
      <c r="AG95" s="4">
        <f>IF(Graphs!$B$12="Yes",N95,$Y$127)</f>
        <v>-100</v>
      </c>
      <c r="AH95" s="27">
        <f>IF(Graphs!$B$12="Yes",O95,$Y$127)</f>
        <v>-100</v>
      </c>
    </row>
    <row r="96" spans="1:34" x14ac:dyDescent="0.25">
      <c r="A96" s="3">
        <v>10</v>
      </c>
      <c r="B96" s="3" t="s">
        <v>37</v>
      </c>
      <c r="C96" s="3">
        <v>1046.5022612023947</v>
      </c>
      <c r="D96" s="3" t="str">
        <f t="shared" si="12"/>
        <v>No</v>
      </c>
      <c r="E96" s="4">
        <v>0.77</v>
      </c>
      <c r="F96" s="3">
        <f t="shared" si="13"/>
        <v>1770</v>
      </c>
      <c r="G96" s="4">
        <f>((2*C96*'String Lengths'!E16)^2)*F96/1000000000000</f>
        <v>256.83628283588462</v>
      </c>
      <c r="H96" s="4">
        <f t="shared" si="14"/>
        <v>119.59904381156358</v>
      </c>
      <c r="I96" s="4">
        <f>PI()*(E96^2)*F96*'String Lengths'!E16*C96/2000000000</f>
        <v>0.31396855397388773</v>
      </c>
      <c r="J96" s="4">
        <f>4*H96/'String Lengths'!E16</f>
        <v>2.6285504134409576</v>
      </c>
      <c r="K96" s="4">
        <f t="shared" si="15"/>
        <v>13.780209402772352</v>
      </c>
      <c r="L96" s="4">
        <f>K96*(PI()^3)*(E96^4)/(0.128*H96*('String Lengths'!E16^2)*$L$127)</f>
        <v>2.2878241541590913</v>
      </c>
      <c r="M96" s="4">
        <f>0.008*('String Lengths'!E16^2)*C96*SQRT('Misc ref'!$B$9*F96/(K96*1000000000))/(PI()*E96)</f>
        <v>9.4257140493855793</v>
      </c>
      <c r="N96" s="4">
        <f t="shared" si="16"/>
        <v>9.8640310661291899</v>
      </c>
      <c r="O96" s="4">
        <f t="shared" si="17"/>
        <v>6.4169277404929872</v>
      </c>
      <c r="Y96" s="26">
        <f>IF(Graphs!$B$12="Yes",E96,$Y$127)</f>
        <v>-100</v>
      </c>
      <c r="Z96" s="4">
        <f>IF(Graphs!$B$12="Yes",F96,$Y$127)</f>
        <v>-100</v>
      </c>
      <c r="AA96" s="4">
        <f>IF(Graphs!$B$12="Yes",H96,$Y$127)</f>
        <v>-100</v>
      </c>
      <c r="AB96" s="4">
        <f>IF(Graphs!$B$12="Yes",I96,$Y$127)</f>
        <v>-100</v>
      </c>
      <c r="AC96" s="4">
        <f>IF(Graphs!$B$12="Yes",J96,$Y$127)</f>
        <v>-100</v>
      </c>
      <c r="AD96" s="4">
        <f>IF(Graphs!$B$12="Yes",K96,$Y$127)</f>
        <v>-100</v>
      </c>
      <c r="AE96" s="4">
        <f>IF(Graphs!$B$12="Yes",L96,$Y$127)</f>
        <v>-100</v>
      </c>
      <c r="AF96" s="4">
        <f>IF(Graphs!$B$12="Yes",M96,$Y$127)</f>
        <v>-100</v>
      </c>
      <c r="AG96" s="4">
        <f>IF(Graphs!$B$12="Yes",N96,$Y$127)</f>
        <v>-100</v>
      </c>
      <c r="AH96" s="27">
        <f>IF(Graphs!$B$12="Yes",O96,$Y$127)</f>
        <v>-100</v>
      </c>
    </row>
    <row r="97" spans="1:34" x14ac:dyDescent="0.25">
      <c r="A97" s="3">
        <v>11</v>
      </c>
      <c r="B97" s="3" t="s">
        <v>38</v>
      </c>
      <c r="C97" s="3">
        <v>987.76660251224826</v>
      </c>
      <c r="D97" s="3" t="str">
        <f t="shared" si="12"/>
        <v>No</v>
      </c>
      <c r="E97" s="4">
        <v>0.81</v>
      </c>
      <c r="F97" s="3">
        <f t="shared" si="13"/>
        <v>1770</v>
      </c>
      <c r="G97" s="4">
        <f>((2*C97*'String Lengths'!E17)^2)*F97/1000000000000</f>
        <v>268.08615517065016</v>
      </c>
      <c r="H97" s="4">
        <f t="shared" si="14"/>
        <v>138.14472471796299</v>
      </c>
      <c r="I97" s="4">
        <f>PI()*(E97^2)*F97*'String Lengths'!E17*C97/2000000000</f>
        <v>0.35496353878946496</v>
      </c>
      <c r="J97" s="4">
        <f>4*H97/'String Lengths'!E17</f>
        <v>2.804969029806355</v>
      </c>
      <c r="K97" s="4">
        <f t="shared" si="15"/>
        <v>14.241561604778536</v>
      </c>
      <c r="L97" s="4">
        <f>K97*(PI()^3)*(E97^4)/(0.128*H97*('String Lengths'!E17^2)*$L$127)</f>
        <v>2.1394657440902467</v>
      </c>
      <c r="M97" s="4">
        <f>0.008*('String Lengths'!E17^2)*C97*SQRT('Misc ref'!$B$9*F97/(K97*1000000000))/(PI()*E97)</f>
        <v>9.7470436760525629</v>
      </c>
      <c r="N97" s="4">
        <f t="shared" si="16"/>
        <v>9.6278042164329349</v>
      </c>
      <c r="O97" s="4">
        <f t="shared" si="17"/>
        <v>7.3386729210007013</v>
      </c>
      <c r="Y97" s="26">
        <f>IF(Graphs!$B$12="Yes",E97,$Y$127)</f>
        <v>-100</v>
      </c>
      <c r="Z97" s="4">
        <f>IF(Graphs!$B$12="Yes",F97,$Y$127)</f>
        <v>-100</v>
      </c>
      <c r="AA97" s="4">
        <f>IF(Graphs!$B$12="Yes",H97,$Y$127)</f>
        <v>-100</v>
      </c>
      <c r="AB97" s="4">
        <f>IF(Graphs!$B$12="Yes",I97,$Y$127)</f>
        <v>-100</v>
      </c>
      <c r="AC97" s="4">
        <f>IF(Graphs!$B$12="Yes",J97,$Y$127)</f>
        <v>-100</v>
      </c>
      <c r="AD97" s="4">
        <f>IF(Graphs!$B$12="Yes",K97,$Y$127)</f>
        <v>-100</v>
      </c>
      <c r="AE97" s="4">
        <f>IF(Graphs!$B$12="Yes",L97,$Y$127)</f>
        <v>-100</v>
      </c>
      <c r="AF97" s="4">
        <f>IF(Graphs!$B$12="Yes",M97,$Y$127)</f>
        <v>-100</v>
      </c>
      <c r="AG97" s="4">
        <f>IF(Graphs!$B$12="Yes",N97,$Y$127)</f>
        <v>-100</v>
      </c>
      <c r="AH97" s="27">
        <f>IF(Graphs!$B$12="Yes",O97,$Y$127)</f>
        <v>-100</v>
      </c>
    </row>
    <row r="98" spans="1:34" x14ac:dyDescent="0.25">
      <c r="A98" s="3">
        <v>12</v>
      </c>
      <c r="B98" s="3" t="s">
        <v>39</v>
      </c>
      <c r="C98" s="3">
        <v>880</v>
      </c>
      <c r="D98" s="3" t="str">
        <f t="shared" si="12"/>
        <v>No</v>
      </c>
      <c r="E98" s="4">
        <v>0.84</v>
      </c>
      <c r="F98" s="3">
        <f t="shared" si="13"/>
        <v>1770</v>
      </c>
      <c r="G98" s="4">
        <f>((2*C98*'String Lengths'!E18)^2)*F98/1000000000000</f>
        <v>248.746975488</v>
      </c>
      <c r="H98" s="4">
        <f t="shared" si="14"/>
        <v>137.84983872837577</v>
      </c>
      <c r="I98" s="4">
        <f>PI()*(E98^2)*F98*'String Lengths'!E18*C98/2000000000</f>
        <v>0.36771723945896234</v>
      </c>
      <c r="J98" s="4">
        <f>4*H98/'String Lengths'!E18</f>
        <v>2.5887293657910941</v>
      </c>
      <c r="K98" s="4">
        <f t="shared" si="15"/>
        <v>13.448470548623911</v>
      </c>
      <c r="L98" s="4">
        <f>K98*(PI()^3)*(E98^4)/(0.128*H98*('String Lengths'!E18^2)*$L$127)</f>
        <v>2.0030831503158102</v>
      </c>
      <c r="M98" s="4">
        <f>0.008*('String Lengths'!E18^2)*C98*SQRT('Misc ref'!$B$9*F98/(K98*1000000000))/(PI()*E98)</f>
        <v>10.073400286698345</v>
      </c>
      <c r="N98" s="4">
        <f t="shared" si="16"/>
        <v>8.8645922522945444</v>
      </c>
      <c r="O98" s="4">
        <f t="shared" si="17"/>
        <v>7.4528323113643307</v>
      </c>
      <c r="Y98" s="26">
        <f>IF(Graphs!$B$12="Yes",E98,$Y$127)</f>
        <v>-100</v>
      </c>
      <c r="Z98" s="4">
        <f>IF(Graphs!$B$12="Yes",F98,$Y$127)</f>
        <v>-100</v>
      </c>
      <c r="AA98" s="4">
        <f>IF(Graphs!$B$12="Yes",H98,$Y$127)</f>
        <v>-100</v>
      </c>
      <c r="AB98" s="4">
        <f>IF(Graphs!$B$12="Yes",I98,$Y$127)</f>
        <v>-100</v>
      </c>
      <c r="AC98" s="4">
        <f>IF(Graphs!$B$12="Yes",J98,$Y$127)</f>
        <v>-100</v>
      </c>
      <c r="AD98" s="4">
        <f>IF(Graphs!$B$12="Yes",K98,$Y$127)</f>
        <v>-100</v>
      </c>
      <c r="AE98" s="4">
        <f>IF(Graphs!$B$12="Yes",L98,$Y$127)</f>
        <v>-100</v>
      </c>
      <c r="AF98" s="4">
        <f>IF(Graphs!$B$12="Yes",M98,$Y$127)</f>
        <v>-100</v>
      </c>
      <c r="AG98" s="4">
        <f>IF(Graphs!$B$12="Yes",N98,$Y$127)</f>
        <v>-100</v>
      </c>
      <c r="AH98" s="27">
        <f>IF(Graphs!$B$12="Yes",O98,$Y$127)</f>
        <v>-100</v>
      </c>
    </row>
    <row r="99" spans="1:34" x14ac:dyDescent="0.25">
      <c r="A99" s="3">
        <v>13</v>
      </c>
      <c r="B99" s="3" t="s">
        <v>40</v>
      </c>
      <c r="C99" s="3">
        <v>783.99087196349853</v>
      </c>
      <c r="D99" s="3" t="str">
        <f t="shared" si="12"/>
        <v>No</v>
      </c>
      <c r="E99" s="4">
        <v>0.91</v>
      </c>
      <c r="F99" s="3">
        <f t="shared" si="13"/>
        <v>1770</v>
      </c>
      <c r="G99" s="4">
        <f>((2*C99*'String Lengths'!E19)^2)*F99/1000000000000</f>
        <v>232.2090971465326</v>
      </c>
      <c r="H99" s="4">
        <f t="shared" si="14"/>
        <v>151.02606115414125</v>
      </c>
      <c r="I99" s="4">
        <f>PI()*(E99^2)*F99*'String Lengths'!E19*C99/2000000000</f>
        <v>0.41696433970674451</v>
      </c>
      <c r="J99" s="4">
        <f>4*H99/'String Lengths'!E19</f>
        <v>2.6151698901149998</v>
      </c>
      <c r="K99" s="4">
        <f t="shared" si="15"/>
        <v>12.770259599885586</v>
      </c>
      <c r="L99" s="4">
        <f>K99*(PI()^3)*(E99^4)/(0.128*H99*('String Lengths'!E19^2)*$L$127)</f>
        <v>2.0331239016027194</v>
      </c>
      <c r="M99" s="4">
        <f>0.008*('String Lengths'!E19^2)*C99*SQRT('Misc ref'!$B$9*F99/(K99*1000000000))/(PI()*E99)</f>
        <v>9.9987027552811352</v>
      </c>
      <c r="N99" s="4">
        <f t="shared" si="16"/>
        <v>7.8388916916166931</v>
      </c>
      <c r="O99" s="4">
        <f t="shared" si="17"/>
        <v>8.305626398734649</v>
      </c>
      <c r="Y99" s="26">
        <f>IF(Graphs!$B$12="Yes",E99,$Y$127)</f>
        <v>-100</v>
      </c>
      <c r="Z99" s="4">
        <f>IF(Graphs!$B$12="Yes",F99,$Y$127)</f>
        <v>-100</v>
      </c>
      <c r="AA99" s="4">
        <f>IF(Graphs!$B$12="Yes",H99,$Y$127)</f>
        <v>-100</v>
      </c>
      <c r="AB99" s="4">
        <f>IF(Graphs!$B$12="Yes",I99,$Y$127)</f>
        <v>-100</v>
      </c>
      <c r="AC99" s="4">
        <f>IF(Graphs!$B$12="Yes",J99,$Y$127)</f>
        <v>-100</v>
      </c>
      <c r="AD99" s="4">
        <f>IF(Graphs!$B$12="Yes",K99,$Y$127)</f>
        <v>-100</v>
      </c>
      <c r="AE99" s="4">
        <f>IF(Graphs!$B$12="Yes",L99,$Y$127)</f>
        <v>-100</v>
      </c>
      <c r="AF99" s="4">
        <f>IF(Graphs!$B$12="Yes",M99,$Y$127)</f>
        <v>-100</v>
      </c>
      <c r="AG99" s="4">
        <f>IF(Graphs!$B$12="Yes",N99,$Y$127)</f>
        <v>-100</v>
      </c>
      <c r="AH99" s="27">
        <f>IF(Graphs!$B$12="Yes",O99,$Y$127)</f>
        <v>-100</v>
      </c>
    </row>
    <row r="100" spans="1:34" x14ac:dyDescent="0.25">
      <c r="A100" s="2">
        <v>14</v>
      </c>
      <c r="B100" s="2" t="s">
        <v>41</v>
      </c>
      <c r="C100" s="2">
        <v>698.45646286600777</v>
      </c>
      <c r="D100" s="2" t="str">
        <f t="shared" si="12"/>
        <v>No</v>
      </c>
      <c r="E100" s="15">
        <v>0.95</v>
      </c>
      <c r="F100" s="2">
        <f t="shared" si="13"/>
        <v>1770</v>
      </c>
      <c r="G100" s="15">
        <f>((2*C100*'String Lengths'!E20)^2)*F100/1000000000000</f>
        <v>215.86983300478803</v>
      </c>
      <c r="H100" s="15">
        <f t="shared" si="14"/>
        <v>153.01325276332412</v>
      </c>
      <c r="I100" s="15">
        <f>PI()*(E100^2)*F100*'String Lengths'!E20*C100/2000000000</f>
        <v>0.43814685924862928</v>
      </c>
      <c r="J100" s="15">
        <f>4*H100/'String Lengths'!E20</f>
        <v>2.4482120442131858</v>
      </c>
      <c r="K100" s="15">
        <f t="shared" si="15"/>
        <v>12.100193730101505</v>
      </c>
      <c r="L100" s="15">
        <f>K100*(PI()^3)*(E100^4)/(0.128*H100*('String Lengths'!E20^2)*$L$127)</f>
        <v>1.928200035171673</v>
      </c>
      <c r="M100" s="15">
        <f>0.008*('String Lengths'!E20^2)*C100*SQRT('Misc ref'!$B$9*F100/(K100*1000000000))/(PI()*E100)</f>
        <v>10.26714126506911</v>
      </c>
      <c r="N100" s="15">
        <f t="shared" si="16"/>
        <v>7.171151171745799</v>
      </c>
      <c r="O100" s="15">
        <f t="shared" si="17"/>
        <v>8.5768816139684745</v>
      </c>
      <c r="Y100" s="26">
        <f>IF(Graphs!$B$12="Yes",E100,$Y$127)</f>
        <v>-100</v>
      </c>
      <c r="Z100" s="4">
        <f>IF(Graphs!$B$12="Yes",F100,$Y$127)</f>
        <v>-100</v>
      </c>
      <c r="AA100" s="4">
        <f>IF(Graphs!$B$12="Yes",H100,$Y$127)</f>
        <v>-100</v>
      </c>
      <c r="AB100" s="4">
        <f>IF(Graphs!$B$12="Yes",I100,$Y$127)</f>
        <v>-100</v>
      </c>
      <c r="AC100" s="4">
        <f>IF(Graphs!$B$12="Yes",J100,$Y$127)</f>
        <v>-100</v>
      </c>
      <c r="AD100" s="4">
        <f>IF(Graphs!$B$12="Yes",K100,$Y$127)</f>
        <v>-100</v>
      </c>
      <c r="AE100" s="4">
        <f>IF(Graphs!$B$12="Yes",L100,$Y$127)</f>
        <v>-100</v>
      </c>
      <c r="AF100" s="4">
        <f>IF(Graphs!$B$12="Yes",M100,$Y$127)</f>
        <v>-100</v>
      </c>
      <c r="AG100" s="4">
        <f>IF(Graphs!$B$12="Yes",N100,$Y$127)</f>
        <v>-100</v>
      </c>
      <c r="AH100" s="27">
        <f>IF(Graphs!$B$12="Yes",O100,$Y$127)</f>
        <v>-100</v>
      </c>
    </row>
    <row r="101" spans="1:34" x14ac:dyDescent="0.25">
      <c r="A101" s="3">
        <v>15</v>
      </c>
      <c r="B101" s="3" t="s">
        <v>42</v>
      </c>
      <c r="C101" s="3">
        <v>659.25511382573984</v>
      </c>
      <c r="D101" s="3" t="str">
        <f t="shared" si="12"/>
        <v>No</v>
      </c>
      <c r="E101" s="4">
        <v>0.95</v>
      </c>
      <c r="F101" s="3">
        <f t="shared" si="13"/>
        <v>1770</v>
      </c>
      <c r="G101" s="4">
        <f>((2*C101*'String Lengths'!E21)^2)*F101/1000000000000</f>
        <v>227.65546504249318</v>
      </c>
      <c r="H101" s="4">
        <f t="shared" si="14"/>
        <v>161.36716617891895</v>
      </c>
      <c r="I101" s="4">
        <f>PI()*(E101^2)*F101*'String Lengths'!E21*C101/2000000000</f>
        <v>0.44994845540211359</v>
      </c>
      <c r="J101" s="4">
        <f>4*H101/'String Lengths'!E21</f>
        <v>2.3730465614546903</v>
      </c>
      <c r="K101" s="4">
        <f t="shared" si="15"/>
        <v>12.583517196433377</v>
      </c>
      <c r="L101" s="4">
        <f>K101*(PI()^3)*(E101^4)/(0.128*H101*('String Lengths'!E21^2)*$L$127)</f>
        <v>1.6062675813317702</v>
      </c>
      <c r="M101" s="4">
        <f>0.008*('String Lengths'!E21^2)*C101*SQRT('Misc ref'!$B$9*F101/(K101*1000000000))/(PI()*E101)</f>
        <v>11.249070370645381</v>
      </c>
      <c r="N101" s="4">
        <f t="shared" si="16"/>
        <v>7.4160071676335786</v>
      </c>
      <c r="O101" s="4">
        <f t="shared" si="17"/>
        <v>8.9194718438809808</v>
      </c>
      <c r="Y101" s="26">
        <f>IF(Graphs!$B$12="Yes",E101,$Y$127)</f>
        <v>-100</v>
      </c>
      <c r="Z101" s="4">
        <f>IF(Graphs!$B$12="Yes",F101,$Y$127)</f>
        <v>-100</v>
      </c>
      <c r="AA101" s="4">
        <f>IF(Graphs!$B$12="Yes",H101,$Y$127)</f>
        <v>-100</v>
      </c>
      <c r="AB101" s="4">
        <f>IF(Graphs!$B$12="Yes",I101,$Y$127)</f>
        <v>-100</v>
      </c>
      <c r="AC101" s="4">
        <f>IF(Graphs!$B$12="Yes",J101,$Y$127)</f>
        <v>-100</v>
      </c>
      <c r="AD101" s="4">
        <f>IF(Graphs!$B$12="Yes",K101,$Y$127)</f>
        <v>-100</v>
      </c>
      <c r="AE101" s="4">
        <f>IF(Graphs!$B$12="Yes",L101,$Y$127)</f>
        <v>-100</v>
      </c>
      <c r="AF101" s="4">
        <f>IF(Graphs!$B$12="Yes",M101,$Y$127)</f>
        <v>-100</v>
      </c>
      <c r="AG101" s="4">
        <f>IF(Graphs!$B$12="Yes",N101,$Y$127)</f>
        <v>-100</v>
      </c>
      <c r="AH101" s="27">
        <f>IF(Graphs!$B$12="Yes",O101,$Y$127)</f>
        <v>-100</v>
      </c>
    </row>
    <row r="102" spans="1:34" x14ac:dyDescent="0.25">
      <c r="A102" s="3">
        <v>16</v>
      </c>
      <c r="B102" s="3" t="s">
        <v>43</v>
      </c>
      <c r="C102" s="3">
        <v>587.32953583481515</v>
      </c>
      <c r="D102" s="3" t="str">
        <f t="shared" si="12"/>
        <v>Yes</v>
      </c>
      <c r="E102" s="4">
        <v>1.01</v>
      </c>
      <c r="F102" s="3">
        <f t="shared" si="13"/>
        <v>1770</v>
      </c>
      <c r="G102" s="4">
        <f>((2*C102*'String Lengths'!E22)^2)*F102/1000000000000</f>
        <v>209.66801379028399</v>
      </c>
      <c r="H102" s="4">
        <f t="shared" si="14"/>
        <v>167.98279770045693</v>
      </c>
      <c r="I102" s="4">
        <f>PI()*(E102^2)*F102*'String Lengths'!E22*C102/2000000000</f>
        <v>0.48807363983117152</v>
      </c>
      <c r="J102" s="4">
        <f>4*H102/'String Lengths'!E22</f>
        <v>2.2932805146820057</v>
      </c>
      <c r="K102" s="4">
        <f t="shared" si="15"/>
        <v>10.018440081890592</v>
      </c>
      <c r="L102" s="4">
        <f>K102*(PI()^3)*(E102^4)/(0.128*H102*('String Lengths'!E22^2)*$L$127)</f>
        <v>1.3525706398805302</v>
      </c>
      <c r="M102" s="4">
        <f>0.008*('String Lengths'!E22^2)*C102*SQRT('Misc ref'!$B$9*F102/(K102*1000000000))/(PI()*E102)</f>
        <v>12.258733470734244</v>
      </c>
      <c r="N102" s="4">
        <f t="shared" si="16"/>
        <v>7.1999162392890561</v>
      </c>
      <c r="O102" s="4">
        <f t="shared" si="17"/>
        <v>8.0266205756767803</v>
      </c>
      <c r="Y102" s="26">
        <f>IF(Graphs!$B$12="Yes",E102,$Y$127)</f>
        <v>-100</v>
      </c>
      <c r="Z102" s="4">
        <f>IF(Graphs!$B$12="Yes",F102,$Y$127)</f>
        <v>-100</v>
      </c>
      <c r="AA102" s="4">
        <f>IF(Graphs!$B$12="Yes",H102,$Y$127)</f>
        <v>-100</v>
      </c>
      <c r="AB102" s="4">
        <f>IF(Graphs!$B$12="Yes",I102,$Y$127)</f>
        <v>-100</v>
      </c>
      <c r="AC102" s="4">
        <f>IF(Graphs!$B$12="Yes",J102,$Y$127)</f>
        <v>-100</v>
      </c>
      <c r="AD102" s="4">
        <f>IF(Graphs!$B$12="Yes",K102,$Y$127)</f>
        <v>-100</v>
      </c>
      <c r="AE102" s="4">
        <f>IF(Graphs!$B$12="Yes",L102,$Y$127)</f>
        <v>-100</v>
      </c>
      <c r="AF102" s="4">
        <f>IF(Graphs!$B$12="Yes",M102,$Y$127)</f>
        <v>-100</v>
      </c>
      <c r="AG102" s="4">
        <f>IF(Graphs!$B$12="Yes",N102,$Y$127)</f>
        <v>-100</v>
      </c>
      <c r="AH102" s="27">
        <f>IF(Graphs!$B$12="Yes",O102,$Y$127)</f>
        <v>-100</v>
      </c>
    </row>
    <row r="103" spans="1:34" x14ac:dyDescent="0.25">
      <c r="A103" s="3">
        <v>17</v>
      </c>
      <c r="B103" s="3" t="s">
        <v>44</v>
      </c>
      <c r="C103" s="3">
        <v>523.25113060119736</v>
      </c>
      <c r="D103" s="3" t="str">
        <f t="shared" si="12"/>
        <v>Yes</v>
      </c>
      <c r="E103" s="4">
        <v>1.05</v>
      </c>
      <c r="F103" s="3">
        <f t="shared" si="13"/>
        <v>1770</v>
      </c>
      <c r="G103" s="4">
        <f>((2*C103*'String Lengths'!E23)^2)*F103/1000000000000</f>
        <v>192.34226062968426</v>
      </c>
      <c r="H103" s="4">
        <f t="shared" si="14"/>
        <v>166.54944721209975</v>
      </c>
      <c r="I103" s="4">
        <f>PI()*(E103^2)*F103*'String Lengths'!E23*C103/2000000000</f>
        <v>0.505233885725622</v>
      </c>
      <c r="J103" s="4">
        <f>4*H103/'String Lengths'!E23</f>
        <v>2.1149136153917429</v>
      </c>
      <c r="K103" s="4">
        <f t="shared" si="15"/>
        <v>9.4537620802583628</v>
      </c>
      <c r="L103" s="4">
        <f>K103*(PI()^3)*(E103^4)/(0.128*H103*('String Lengths'!E23^2)*$L$127)</f>
        <v>1.3009840374435671</v>
      </c>
      <c r="M103" s="4">
        <f>0.008*('String Lengths'!E23^2)*C103*SQRT('Misc ref'!$B$9*F103/(K103*1000000000))/(PI()*E103)</f>
        <v>12.499412386242874</v>
      </c>
      <c r="N103" s="4">
        <f t="shared" si="16"/>
        <v>6.5403316629521946</v>
      </c>
      <c r="O103" s="4">
        <f t="shared" si="17"/>
        <v>8.1860265309720734</v>
      </c>
      <c r="Y103" s="26">
        <f>IF(Graphs!$B$12="Yes",E103,$Y$127)</f>
        <v>-100</v>
      </c>
      <c r="Z103" s="4">
        <f>IF(Graphs!$B$12="Yes",F103,$Y$127)</f>
        <v>-100</v>
      </c>
      <c r="AA103" s="4">
        <f>IF(Graphs!$B$12="Yes",H103,$Y$127)</f>
        <v>-100</v>
      </c>
      <c r="AB103" s="4">
        <f>IF(Graphs!$B$12="Yes",I103,$Y$127)</f>
        <v>-100</v>
      </c>
      <c r="AC103" s="4">
        <f>IF(Graphs!$B$12="Yes",J103,$Y$127)</f>
        <v>-100</v>
      </c>
      <c r="AD103" s="4">
        <f>IF(Graphs!$B$12="Yes",K103,$Y$127)</f>
        <v>-100</v>
      </c>
      <c r="AE103" s="4">
        <f>IF(Graphs!$B$12="Yes",L103,$Y$127)</f>
        <v>-100</v>
      </c>
      <c r="AF103" s="4">
        <f>IF(Graphs!$B$12="Yes",M103,$Y$127)</f>
        <v>-100</v>
      </c>
      <c r="AG103" s="4">
        <f>IF(Graphs!$B$12="Yes",N103,$Y$127)</f>
        <v>-100</v>
      </c>
      <c r="AH103" s="27">
        <f>IF(Graphs!$B$12="Yes",O103,$Y$127)</f>
        <v>-100</v>
      </c>
    </row>
    <row r="104" spans="1:34" x14ac:dyDescent="0.25">
      <c r="A104" s="3">
        <v>18</v>
      </c>
      <c r="B104" s="3" t="s">
        <v>45</v>
      </c>
      <c r="C104" s="3">
        <v>493.88330125612413</v>
      </c>
      <c r="D104" s="3" t="str">
        <f t="shared" si="12"/>
        <v>Yes</v>
      </c>
      <c r="E104" s="4">
        <v>1.08</v>
      </c>
      <c r="F104" s="3">
        <f t="shared" si="13"/>
        <v>1770</v>
      </c>
      <c r="G104" s="4">
        <f>((2*C104*'String Lengths'!E24)^2)*F104/1000000000000</f>
        <v>200.81248041303803</v>
      </c>
      <c r="H104" s="4">
        <f t="shared" si="14"/>
        <v>183.96198745341951</v>
      </c>
      <c r="I104" s="4">
        <f>PI()*(E104^2)*F104*'String Lengths'!E24*C104/2000000000</f>
        <v>0.5461593535350594</v>
      </c>
      <c r="J104" s="4">
        <f>4*H104/'String Lengths'!E24</f>
        <v>2.157911876286446</v>
      </c>
      <c r="K104" s="4">
        <f t="shared" si="15"/>
        <v>9.7298220435000662</v>
      </c>
      <c r="L104" s="4">
        <f>K104*(PI()^3)*(E104^4)/(0.128*H104*('String Lengths'!E24^2)*$L$127)</f>
        <v>1.1578104759221224</v>
      </c>
      <c r="M104" s="4">
        <f>0.008*('String Lengths'!E24^2)*C104*SQRT('Misc ref'!$B$9*F104/(K104*1000000000))/(PI()*E104)</f>
        <v>13.249724353810011</v>
      </c>
      <c r="N104" s="4">
        <f t="shared" si="16"/>
        <v>6.5438176045933538</v>
      </c>
      <c r="O104" s="4">
        <f t="shared" si="17"/>
        <v>8.9133772811769472</v>
      </c>
      <c r="Y104" s="26">
        <f>IF(Graphs!$B$12="Yes",E104,$Y$127)</f>
        <v>-100</v>
      </c>
      <c r="Z104" s="4">
        <f>IF(Graphs!$B$12="Yes",F104,$Y$127)</f>
        <v>-100</v>
      </c>
      <c r="AA104" s="4">
        <f>IF(Graphs!$B$12="Yes",H104,$Y$127)</f>
        <v>-100</v>
      </c>
      <c r="AB104" s="4">
        <f>IF(Graphs!$B$12="Yes",I104,$Y$127)</f>
        <v>-100</v>
      </c>
      <c r="AC104" s="4">
        <f>IF(Graphs!$B$12="Yes",J104,$Y$127)</f>
        <v>-100</v>
      </c>
      <c r="AD104" s="4">
        <f>IF(Graphs!$B$12="Yes",K104,$Y$127)</f>
        <v>-100</v>
      </c>
      <c r="AE104" s="4">
        <f>IF(Graphs!$B$12="Yes",L104,$Y$127)</f>
        <v>-100</v>
      </c>
      <c r="AF104" s="4">
        <f>IF(Graphs!$B$12="Yes",M104,$Y$127)</f>
        <v>-100</v>
      </c>
      <c r="AG104" s="4">
        <f>IF(Graphs!$B$12="Yes",N104,$Y$127)</f>
        <v>-100</v>
      </c>
      <c r="AH104" s="27">
        <f>IF(Graphs!$B$12="Yes",O104,$Y$127)</f>
        <v>-100</v>
      </c>
    </row>
    <row r="105" spans="1:34" x14ac:dyDescent="0.25">
      <c r="A105" s="3">
        <v>19</v>
      </c>
      <c r="B105" s="3" t="s">
        <v>46</v>
      </c>
      <c r="C105" s="3">
        <v>440</v>
      </c>
      <c r="D105" s="3" t="str">
        <f t="shared" si="12"/>
        <v>Yes</v>
      </c>
      <c r="E105" s="4">
        <v>1.1599999999999999</v>
      </c>
      <c r="F105" s="3">
        <f t="shared" si="13"/>
        <v>1770</v>
      </c>
      <c r="G105" s="4">
        <f>((2*C105*'String Lengths'!E25)^2)*F105/1000000000000</f>
        <v>184.61659603199999</v>
      </c>
      <c r="H105" s="4">
        <f t="shared" si="14"/>
        <v>195.10868370989155</v>
      </c>
      <c r="I105" s="4">
        <f>PI()*(E105^2)*F105*'String Lengths'!E25*C105/2000000000</f>
        <v>0.60412646677573567</v>
      </c>
      <c r="J105" s="4">
        <f>4*H105/'String Lengths'!E25</f>
        <v>2.126525163050589</v>
      </c>
      <c r="K105" s="4">
        <f t="shared" si="15"/>
        <v>9.2019685330536198</v>
      </c>
      <c r="L105" s="4">
        <f>K105*(PI()^3)*(E105^4)/(0.128*H105*('String Lengths'!E25^2)*$L$127)</f>
        <v>1.1862558843598041</v>
      </c>
      <c r="M105" s="4">
        <f>0.008*('String Lengths'!E25^2)*C105*SQRT('Misc ref'!$B$9*F105/(K105*1000000000))/(PI()*E105)</f>
        <v>13.089901870945846</v>
      </c>
      <c r="N105" s="4">
        <f t="shared" si="16"/>
        <v>5.7595568232161725</v>
      </c>
      <c r="O105" s="4">
        <f t="shared" si="17"/>
        <v>9.7249326800107152</v>
      </c>
      <c r="Y105" s="26">
        <f>IF(Graphs!$B$12="Yes",E105,$Y$127)</f>
        <v>-100</v>
      </c>
      <c r="Z105" s="4">
        <f>IF(Graphs!$B$12="Yes",F105,$Y$127)</f>
        <v>-100</v>
      </c>
      <c r="AA105" s="4">
        <f>IF(Graphs!$B$12="Yes",H105,$Y$127)</f>
        <v>-100</v>
      </c>
      <c r="AB105" s="4">
        <f>IF(Graphs!$B$12="Yes",I105,$Y$127)</f>
        <v>-100</v>
      </c>
      <c r="AC105" s="4">
        <f>IF(Graphs!$B$12="Yes",J105,$Y$127)</f>
        <v>-100</v>
      </c>
      <c r="AD105" s="4">
        <f>IF(Graphs!$B$12="Yes",K105,$Y$127)</f>
        <v>-100</v>
      </c>
      <c r="AE105" s="4">
        <f>IF(Graphs!$B$12="Yes",L105,$Y$127)</f>
        <v>-100</v>
      </c>
      <c r="AF105" s="4">
        <f>IF(Graphs!$B$12="Yes",M105,$Y$127)</f>
        <v>-100</v>
      </c>
      <c r="AG105" s="4">
        <f>IF(Graphs!$B$12="Yes",N105,$Y$127)</f>
        <v>-100</v>
      </c>
      <c r="AH105" s="27">
        <f>IF(Graphs!$B$12="Yes",O105,$Y$127)</f>
        <v>-100</v>
      </c>
    </row>
    <row r="106" spans="1:34" x14ac:dyDescent="0.25">
      <c r="A106" s="3">
        <v>20</v>
      </c>
      <c r="B106" s="3" t="s">
        <v>47</v>
      </c>
      <c r="C106" s="3">
        <v>391.99543598174927</v>
      </c>
      <c r="D106" s="3" t="str">
        <f t="shared" si="12"/>
        <v>Yes</v>
      </c>
      <c r="E106" s="4">
        <v>1.21</v>
      </c>
      <c r="F106" s="3">
        <f t="shared" si="13"/>
        <v>1770</v>
      </c>
      <c r="G106" s="4">
        <f>((2*C106*'String Lengths'!E26)^2)*F106/1000000000000</f>
        <v>171.46531920394975</v>
      </c>
      <c r="H106" s="4">
        <f t="shared" si="14"/>
        <v>197.16821935397891</v>
      </c>
      <c r="I106" s="4">
        <f>PI()*(E106^2)*F106*'String Lengths'!E26*C106/2000000000</f>
        <v>0.63348363681468678</v>
      </c>
      <c r="J106" s="4">
        <f>4*H106/'String Lengths'!E26</f>
        <v>1.9865815552038177</v>
      </c>
      <c r="K106" s="4">
        <f t="shared" si="15"/>
        <v>8.7733443543908649</v>
      </c>
      <c r="L106" s="4">
        <f>K106*(PI()^3)*(E106^4)/(0.128*H106*('String Lengths'!E26^2)*$L$127)</f>
        <v>1.1323042456097228</v>
      </c>
      <c r="M106" s="4">
        <f>0.008*('String Lengths'!E26^2)*C106*SQRT('Misc ref'!$B$9*F106/(K106*1000000000))/(PI()*E106)</f>
        <v>13.398124616456824</v>
      </c>
      <c r="N106" s="4">
        <f t="shared" si="16"/>
        <v>5.2520037003658002</v>
      </c>
      <c r="O106" s="4">
        <f t="shared" si="17"/>
        <v>10.088481403501705</v>
      </c>
      <c r="Y106" s="26">
        <f>IF(Graphs!$B$12="Yes",E106,$Y$127)</f>
        <v>-100</v>
      </c>
      <c r="Z106" s="4">
        <f>IF(Graphs!$B$12="Yes",F106,$Y$127)</f>
        <v>-100</v>
      </c>
      <c r="AA106" s="4">
        <f>IF(Graphs!$B$12="Yes",H106,$Y$127)</f>
        <v>-100</v>
      </c>
      <c r="AB106" s="4">
        <f>IF(Graphs!$B$12="Yes",I106,$Y$127)</f>
        <v>-100</v>
      </c>
      <c r="AC106" s="4">
        <f>IF(Graphs!$B$12="Yes",J106,$Y$127)</f>
        <v>-100</v>
      </c>
      <c r="AD106" s="4">
        <f>IF(Graphs!$B$12="Yes",K106,$Y$127)</f>
        <v>-100</v>
      </c>
      <c r="AE106" s="4">
        <f>IF(Graphs!$B$12="Yes",L106,$Y$127)</f>
        <v>-100</v>
      </c>
      <c r="AF106" s="4">
        <f>IF(Graphs!$B$12="Yes",M106,$Y$127)</f>
        <v>-100</v>
      </c>
      <c r="AG106" s="4">
        <f>IF(Graphs!$B$12="Yes",N106,$Y$127)</f>
        <v>-100</v>
      </c>
      <c r="AH106" s="27">
        <f>IF(Graphs!$B$12="Yes",O106,$Y$127)</f>
        <v>-100</v>
      </c>
    </row>
    <row r="107" spans="1:34" x14ac:dyDescent="0.25">
      <c r="A107" s="2">
        <v>21</v>
      </c>
      <c r="B107" s="2" t="s">
        <v>48</v>
      </c>
      <c r="C107" s="2">
        <v>349.22823143300388</v>
      </c>
      <c r="D107" s="2" t="str">
        <f t="shared" si="12"/>
        <v>Yes</v>
      </c>
      <c r="E107" s="15">
        <v>1.27</v>
      </c>
      <c r="F107" s="2">
        <f t="shared" si="13"/>
        <v>1770</v>
      </c>
      <c r="G107" s="15">
        <f>((2*C107*'String Lengths'!E27)^2)*F107/1000000000000</f>
        <v>161.89287648093878</v>
      </c>
      <c r="H107" s="15">
        <f t="shared" si="14"/>
        <v>205.08082831374767</v>
      </c>
      <c r="I107" s="15">
        <f>PI()*(E107^2)*F107*'String Lengths'!E27*C107/2000000000</f>
        <v>0.67810637340533064</v>
      </c>
      <c r="J107" s="15">
        <f>4*H107/'String Lengths'!E27</f>
        <v>1.8945111160623342</v>
      </c>
      <c r="K107" s="15">
        <f t="shared" si="15"/>
        <v>8.461360928477756</v>
      </c>
      <c r="L107" s="15">
        <f>K107*(PI()^3)*(E107^4)/(0.128*H107*('String Lengths'!E27^2)*$L$127)</f>
        <v>1.0710966364080425</v>
      </c>
      <c r="M107" s="15">
        <f>0.008*('String Lengths'!E27^2)*C107*SQRT('Misc ref'!$B$9*F107/(K107*1000000000))/(PI()*E107)</f>
        <v>13.775623130785558</v>
      </c>
      <c r="N107" s="15">
        <f t="shared" si="16"/>
        <v>4.8108365028518199</v>
      </c>
      <c r="O107" s="15">
        <f t="shared" si="17"/>
        <v>10.718587164507566</v>
      </c>
      <c r="Y107" s="26">
        <f>IF(Graphs!$B$12="Yes",E107,$Y$127)</f>
        <v>-100</v>
      </c>
      <c r="Z107" s="4">
        <f>IF(Graphs!$B$12="Yes",F107,$Y$127)</f>
        <v>-100</v>
      </c>
      <c r="AA107" s="4">
        <f>IF(Graphs!$B$12="Yes",H107,$Y$127)</f>
        <v>-100</v>
      </c>
      <c r="AB107" s="4">
        <f>IF(Graphs!$B$12="Yes",I107,$Y$127)</f>
        <v>-100</v>
      </c>
      <c r="AC107" s="4">
        <f>IF(Graphs!$B$12="Yes",J107,$Y$127)</f>
        <v>-100</v>
      </c>
      <c r="AD107" s="4">
        <f>IF(Graphs!$B$12="Yes",K107,$Y$127)</f>
        <v>-100</v>
      </c>
      <c r="AE107" s="4">
        <f>IF(Graphs!$B$12="Yes",L107,$Y$127)</f>
        <v>-100</v>
      </c>
      <c r="AF107" s="4">
        <f>IF(Graphs!$B$12="Yes",M107,$Y$127)</f>
        <v>-100</v>
      </c>
      <c r="AG107" s="4">
        <f>IF(Graphs!$B$12="Yes",N107,$Y$127)</f>
        <v>-100</v>
      </c>
      <c r="AH107" s="27">
        <f>IF(Graphs!$B$12="Yes",O107,$Y$127)</f>
        <v>-100</v>
      </c>
    </row>
    <row r="108" spans="1:34" x14ac:dyDescent="0.25">
      <c r="A108" s="3">
        <v>22</v>
      </c>
      <c r="B108" s="3" t="s">
        <v>49</v>
      </c>
      <c r="C108" s="3">
        <v>329.62755691286992</v>
      </c>
      <c r="D108" s="3" t="str">
        <f t="shared" si="12"/>
        <v>Yes</v>
      </c>
      <c r="E108" s="4">
        <v>1.27</v>
      </c>
      <c r="F108" s="3">
        <f t="shared" si="13"/>
        <v>1770</v>
      </c>
      <c r="G108" s="4">
        <f>((2*C108*'String Lengths'!E28)^2)*F108/1000000000000</f>
        <v>168.48916852112285</v>
      </c>
      <c r="H108" s="4">
        <f t="shared" si="14"/>
        <v>213.43680459142908</v>
      </c>
      <c r="I108" s="4">
        <f>PI()*(E108^2)*F108*'String Lengths'!E28*C108/2000000000</f>
        <v>0.69178310294129108</v>
      </c>
      <c r="J108" s="4">
        <f>4*H108/'String Lengths'!E28</f>
        <v>1.8242461930891374</v>
      </c>
      <c r="K108" s="4">
        <f t="shared" si="15"/>
        <v>8.6763461572817882</v>
      </c>
      <c r="L108" s="4">
        <f>K108*(PI()^3)*(E108^4)/(0.128*H108*('String Lengths'!E28^2)*$L$127)</f>
        <v>0.90336891920007434</v>
      </c>
      <c r="M108" s="4">
        <f>0.008*('String Lengths'!E28^2)*C108*SQRT('Misc ref'!$B$9*F108/(K108*1000000000))/(PI()*E108)</f>
        <v>15.000060424686199</v>
      </c>
      <c r="N108" s="4">
        <f t="shared" si="16"/>
        <v>4.9444332713347379</v>
      </c>
      <c r="O108" s="4">
        <f t="shared" si="17"/>
        <v>10.990923722833791</v>
      </c>
      <c r="Y108" s="26">
        <f>IF(Graphs!$B$12="Yes",E108,$Y$127)</f>
        <v>-100</v>
      </c>
      <c r="Z108" s="4">
        <f>IF(Graphs!$B$12="Yes",F108,$Y$127)</f>
        <v>-100</v>
      </c>
      <c r="AA108" s="4">
        <f>IF(Graphs!$B$12="Yes",H108,$Y$127)</f>
        <v>-100</v>
      </c>
      <c r="AB108" s="4">
        <f>IF(Graphs!$B$12="Yes",I108,$Y$127)</f>
        <v>-100</v>
      </c>
      <c r="AC108" s="4">
        <f>IF(Graphs!$B$12="Yes",J108,$Y$127)</f>
        <v>-100</v>
      </c>
      <c r="AD108" s="4">
        <f>IF(Graphs!$B$12="Yes",K108,$Y$127)</f>
        <v>-100</v>
      </c>
      <c r="AE108" s="4">
        <f>IF(Graphs!$B$12="Yes",L108,$Y$127)</f>
        <v>-100</v>
      </c>
      <c r="AF108" s="4">
        <f>IF(Graphs!$B$12="Yes",M108,$Y$127)</f>
        <v>-100</v>
      </c>
      <c r="AG108" s="4">
        <f>IF(Graphs!$B$12="Yes",N108,$Y$127)</f>
        <v>-100</v>
      </c>
      <c r="AH108" s="27">
        <f>IF(Graphs!$B$12="Yes",O108,$Y$127)</f>
        <v>-100</v>
      </c>
    </row>
    <row r="109" spans="1:34" x14ac:dyDescent="0.25">
      <c r="A109" s="3">
        <v>23</v>
      </c>
      <c r="B109" s="3" t="s">
        <v>50</v>
      </c>
      <c r="C109" s="3">
        <v>293.66476791740757</v>
      </c>
      <c r="D109" s="3" t="str">
        <f t="shared" si="12"/>
        <v>Yes</v>
      </c>
      <c r="E109" s="4">
        <v>1.36</v>
      </c>
      <c r="F109" s="3">
        <f t="shared" si="13"/>
        <v>1770</v>
      </c>
      <c r="G109" s="4">
        <f>((2*C109*'String Lengths'!E29)^2)*F109/1000000000000</f>
        <v>156.94694544135257</v>
      </c>
      <c r="H109" s="4">
        <f t="shared" si="14"/>
        <v>227.99250265880383</v>
      </c>
      <c r="I109" s="4">
        <f>PI()*(E109^2)*F109*'String Lengths'!E29*C109/2000000000</f>
        <v>0.7656508432143434</v>
      </c>
      <c r="J109" s="4">
        <f>4*H109/'String Lengths'!E29</f>
        <v>1.7987574174264602</v>
      </c>
      <c r="K109" s="4">
        <f t="shared" si="15"/>
        <v>8.300163984843838</v>
      </c>
      <c r="L109" s="4">
        <f>K109*(PI()^3)*(E109^4)/(0.128*H109*('String Lengths'!E29^2)*$L$127)</f>
        <v>0.906525924114986</v>
      </c>
      <c r="M109" s="4">
        <f>0.008*('String Lengths'!E29^2)*C109*SQRT('Misc ref'!$B$9*F109/(K109*1000000000))/(PI()*E109)</f>
        <v>14.973918554818452</v>
      </c>
      <c r="N109" s="4">
        <f t="shared" si="16"/>
        <v>4.3973123172149231</v>
      </c>
      <c r="O109" s="4">
        <f t="shared" si="17"/>
        <v>12.057419493329057</v>
      </c>
      <c r="Y109" s="26">
        <f>IF(Graphs!$B$12="Yes",E109,$Y$127)</f>
        <v>-100</v>
      </c>
      <c r="Z109" s="4">
        <f>IF(Graphs!$B$12="Yes",F109,$Y$127)</f>
        <v>-100</v>
      </c>
      <c r="AA109" s="4">
        <f>IF(Graphs!$B$12="Yes",H109,$Y$127)</f>
        <v>-100</v>
      </c>
      <c r="AB109" s="4">
        <f>IF(Graphs!$B$12="Yes",I109,$Y$127)</f>
        <v>-100</v>
      </c>
      <c r="AC109" s="4">
        <f>IF(Graphs!$B$12="Yes",J109,$Y$127)</f>
        <v>-100</v>
      </c>
      <c r="AD109" s="4">
        <f>IF(Graphs!$B$12="Yes",K109,$Y$127)</f>
        <v>-100</v>
      </c>
      <c r="AE109" s="4">
        <f>IF(Graphs!$B$12="Yes",L109,$Y$127)</f>
        <v>-100</v>
      </c>
      <c r="AF109" s="4">
        <f>IF(Graphs!$B$12="Yes",M109,$Y$127)</f>
        <v>-100</v>
      </c>
      <c r="AG109" s="4">
        <f>IF(Graphs!$B$12="Yes",N109,$Y$127)</f>
        <v>-100</v>
      </c>
      <c r="AH109" s="27">
        <f>IF(Graphs!$B$12="Yes",O109,$Y$127)</f>
        <v>-100</v>
      </c>
    </row>
    <row r="110" spans="1:34" x14ac:dyDescent="0.25">
      <c r="A110" s="3">
        <v>24</v>
      </c>
      <c r="B110" s="3" t="s">
        <v>51</v>
      </c>
      <c r="C110" s="3">
        <v>261.62556530059868</v>
      </c>
      <c r="D110" s="3" t="str">
        <f t="shared" si="12"/>
        <v>Yes</v>
      </c>
      <c r="E110" s="4">
        <v>1.45</v>
      </c>
      <c r="F110" s="3">
        <f t="shared" si="13"/>
        <v>1770</v>
      </c>
      <c r="G110" s="4">
        <f>((2*C110*'String Lengths'!E30)^2)*F110/1000000000000</f>
        <v>146.59494542826778</v>
      </c>
      <c r="H110" s="4">
        <f t="shared" si="14"/>
        <v>242.07218039794918</v>
      </c>
      <c r="I110" s="4">
        <f>PI()*(E110^2)*F110*'String Lengths'!E30*C110/2000000000</f>
        <v>0.84114722615407433</v>
      </c>
      <c r="J110" s="4">
        <f>4*H110/'String Lengths'!E30</f>
        <v>1.7605249483487213</v>
      </c>
      <c r="K110" s="4">
        <f t="shared" si="15"/>
        <v>7.9627733602573807</v>
      </c>
      <c r="L110" s="4">
        <f>K110*(PI()^3)*(E110^4)/(0.128*H110*('String Lengths'!E30^2)*$L$127)</f>
        <v>0.89937437461048975</v>
      </c>
      <c r="M110" s="4">
        <f>0.008*('String Lengths'!E30^2)*C110*SQRT('Misc ref'!$B$9*F110/(K110*1000000000))/(PI()*E110)</f>
        <v>15.033334680536861</v>
      </c>
      <c r="N110" s="4">
        <f t="shared" si="16"/>
        <v>3.9331046841485513</v>
      </c>
      <c r="O110" s="4">
        <f t="shared" si="17"/>
        <v>13.148924771593917</v>
      </c>
      <c r="Y110" s="26">
        <f>IF(Graphs!$B$12="Yes",E110,$Y$127)</f>
        <v>-100</v>
      </c>
      <c r="Z110" s="4">
        <f>IF(Graphs!$B$12="Yes",F110,$Y$127)</f>
        <v>-100</v>
      </c>
      <c r="AA110" s="4">
        <f>IF(Graphs!$B$12="Yes",H110,$Y$127)</f>
        <v>-100</v>
      </c>
      <c r="AB110" s="4">
        <f>IF(Graphs!$B$12="Yes",I110,$Y$127)</f>
        <v>-100</v>
      </c>
      <c r="AC110" s="4">
        <f>IF(Graphs!$B$12="Yes",J110,$Y$127)</f>
        <v>-100</v>
      </c>
      <c r="AD110" s="4">
        <f>IF(Graphs!$B$12="Yes",K110,$Y$127)</f>
        <v>-100</v>
      </c>
      <c r="AE110" s="4">
        <f>IF(Graphs!$B$12="Yes",L110,$Y$127)</f>
        <v>-100</v>
      </c>
      <c r="AF110" s="4">
        <f>IF(Graphs!$B$12="Yes",M110,$Y$127)</f>
        <v>-100</v>
      </c>
      <c r="AG110" s="4">
        <f>IF(Graphs!$B$12="Yes",N110,$Y$127)</f>
        <v>-100</v>
      </c>
      <c r="AH110" s="27">
        <f>IF(Graphs!$B$12="Yes",O110,$Y$127)</f>
        <v>-100</v>
      </c>
    </row>
    <row r="111" spans="1:34" x14ac:dyDescent="0.25">
      <c r="A111" s="3">
        <v>25</v>
      </c>
      <c r="B111" s="3" t="s">
        <v>52</v>
      </c>
      <c r="C111" s="3">
        <v>246.94165062806206</v>
      </c>
      <c r="D111" s="3" t="str">
        <f t="shared" si="12"/>
        <v>Yes</v>
      </c>
      <c r="E111" s="4">
        <v>1.5</v>
      </c>
      <c r="F111" s="3">
        <f t="shared" si="13"/>
        <v>1770</v>
      </c>
      <c r="G111" s="4">
        <f>((2*C111*'String Lengths'!E31)^2)*F111/1000000000000</f>
        <v>154.90862390390188</v>
      </c>
      <c r="H111" s="4">
        <f t="shared" si="14"/>
        <v>273.74613459423887</v>
      </c>
      <c r="I111" s="4">
        <f>PI()*(E111^2)*F111*'String Lengths'!E31*C111/2000000000</f>
        <v>0.9253304006900902</v>
      </c>
      <c r="J111" s="4">
        <f>4*H111/'String Lengths'!E31</f>
        <v>1.8280209321818957</v>
      </c>
      <c r="K111" s="4">
        <f t="shared" si="15"/>
        <v>8.2337313558099066</v>
      </c>
      <c r="L111" s="4">
        <f>K111*(PI()^3)*(E111^4)/(0.128*H111*('String Lengths'!E31^2)*$L$127)</f>
        <v>0.79402558330162565</v>
      </c>
      <c r="M111" s="4">
        <f>0.008*('String Lengths'!E31^2)*C111*SQRT('Misc ref'!$B$9*F111/(K111*1000000000))/(PI()*E111)</f>
        <v>15.999570815361398</v>
      </c>
      <c r="N111" s="4">
        <f t="shared" si="16"/>
        <v>3.9509604264859126</v>
      </c>
      <c r="O111" s="4">
        <f t="shared" si="17"/>
        <v>14.550204340712435</v>
      </c>
      <c r="Y111" s="26">
        <f>IF(Graphs!$B$12="Yes",E111,$Y$127)</f>
        <v>-100</v>
      </c>
      <c r="Z111" s="4">
        <f>IF(Graphs!$B$12="Yes",F111,$Y$127)</f>
        <v>-100</v>
      </c>
      <c r="AA111" s="4">
        <f>IF(Graphs!$B$12="Yes",H111,$Y$127)</f>
        <v>-100</v>
      </c>
      <c r="AB111" s="4">
        <f>IF(Graphs!$B$12="Yes",I111,$Y$127)</f>
        <v>-100</v>
      </c>
      <c r="AC111" s="4">
        <f>IF(Graphs!$B$12="Yes",J111,$Y$127)</f>
        <v>-100</v>
      </c>
      <c r="AD111" s="4">
        <f>IF(Graphs!$B$12="Yes",K111,$Y$127)</f>
        <v>-100</v>
      </c>
      <c r="AE111" s="4">
        <f>IF(Graphs!$B$12="Yes",L111,$Y$127)</f>
        <v>-100</v>
      </c>
      <c r="AF111" s="4">
        <f>IF(Graphs!$B$12="Yes",M111,$Y$127)</f>
        <v>-100</v>
      </c>
      <c r="AG111" s="4">
        <f>IF(Graphs!$B$12="Yes",N111,$Y$127)</f>
        <v>-100</v>
      </c>
      <c r="AH111" s="27">
        <f>IF(Graphs!$B$12="Yes",O111,$Y$127)</f>
        <v>-100</v>
      </c>
    </row>
    <row r="112" spans="1:34" x14ac:dyDescent="0.25">
      <c r="A112" s="3">
        <v>26</v>
      </c>
      <c r="B112" s="3" t="s">
        <v>53</v>
      </c>
      <c r="C112" s="3">
        <v>220</v>
      </c>
      <c r="D112" s="3" t="str">
        <f t="shared" si="12"/>
        <v>Yes</v>
      </c>
      <c r="E112" s="4">
        <v>1.6</v>
      </c>
      <c r="F112" s="3">
        <f t="shared" si="13"/>
        <v>1770</v>
      </c>
      <c r="G112" s="4">
        <f>((2*C112*'String Lengths'!E32)^2)*F112/1000000000000</f>
        <v>146.11842484799999</v>
      </c>
      <c r="H112" s="4">
        <f t="shared" si="14"/>
        <v>293.78852483621705</v>
      </c>
      <c r="I112" s="4">
        <f>PI()*(E112^2)*F112*'String Lengths'!E32*C112/2000000000</f>
        <v>1.0225133121126864</v>
      </c>
      <c r="J112" s="4">
        <f>4*H112/'String Lengths'!E32</f>
        <v>1.799623429318328</v>
      </c>
      <c r="K112" s="4">
        <f t="shared" si="15"/>
        <v>7.9472426825137914</v>
      </c>
      <c r="L112" s="4">
        <f>K112*(PI()^3)*(E112^4)/(0.128*H112*('String Lengths'!E32^2)*$L$127)</f>
        <v>0.7778746545838684</v>
      </c>
      <c r="M112" s="4">
        <f>0.008*('String Lengths'!E32^2)*C112*SQRT('Misc ref'!$B$9*F112/(K112*1000000000))/(PI()*E112)</f>
        <v>16.164816172649317</v>
      </c>
      <c r="N112" s="4">
        <f t="shared" si="16"/>
        <v>3.55625955798285</v>
      </c>
      <c r="O112" s="4">
        <f t="shared" si="17"/>
        <v>15.978879505715566</v>
      </c>
      <c r="Y112" s="26">
        <f>IF(Graphs!$B$12="Yes",E112,$Y$127)</f>
        <v>-100</v>
      </c>
      <c r="Z112" s="4">
        <f>IF(Graphs!$B$12="Yes",F112,$Y$127)</f>
        <v>-100</v>
      </c>
      <c r="AA112" s="4">
        <f>IF(Graphs!$B$12="Yes",H112,$Y$127)</f>
        <v>-100</v>
      </c>
      <c r="AB112" s="4">
        <f>IF(Graphs!$B$12="Yes",I112,$Y$127)</f>
        <v>-100</v>
      </c>
      <c r="AC112" s="4">
        <f>IF(Graphs!$B$12="Yes",J112,$Y$127)</f>
        <v>-100</v>
      </c>
      <c r="AD112" s="4">
        <f>IF(Graphs!$B$12="Yes",K112,$Y$127)</f>
        <v>-100</v>
      </c>
      <c r="AE112" s="4">
        <f>IF(Graphs!$B$12="Yes",L112,$Y$127)</f>
        <v>-100</v>
      </c>
      <c r="AF112" s="4">
        <f>IF(Graphs!$B$12="Yes",M112,$Y$127)</f>
        <v>-100</v>
      </c>
      <c r="AG112" s="4">
        <f>IF(Graphs!$B$12="Yes",N112,$Y$127)</f>
        <v>-100</v>
      </c>
      <c r="AH112" s="27">
        <f>IF(Graphs!$B$12="Yes",O112,$Y$127)</f>
        <v>-100</v>
      </c>
    </row>
    <row r="113" spans="1:34" x14ac:dyDescent="0.25">
      <c r="A113" s="3">
        <v>27</v>
      </c>
      <c r="B113" s="3" t="s">
        <v>54</v>
      </c>
      <c r="C113" s="3">
        <v>195.99771799087463</v>
      </c>
      <c r="D113" s="3" t="str">
        <f t="shared" si="12"/>
        <v>Yes</v>
      </c>
      <c r="E113" s="4">
        <v>1.72</v>
      </c>
      <c r="F113" s="3">
        <f t="shared" si="13"/>
        <v>1770</v>
      </c>
      <c r="G113" s="4">
        <f>((2*C113*'String Lengths'!E33)^2)*F113/1000000000000</f>
        <v>138.65377908129733</v>
      </c>
      <c r="H113" s="4">
        <f t="shared" si="14"/>
        <v>322.16509590065499</v>
      </c>
      <c r="I113" s="4">
        <f>PI()*(E113^2)*F113*'String Lengths'!E33*C113/2000000000</f>
        <v>1.1510634499568209</v>
      </c>
      <c r="J113" s="4">
        <f>4*H113/'String Lengths'!E33</f>
        <v>1.8048464756339215</v>
      </c>
      <c r="K113" s="4">
        <f t="shared" si="15"/>
        <v>7.7039562166751994</v>
      </c>
      <c r="L113" s="4">
        <f>K113*(PI()^3)*(E113^4)/(0.128*H113*('String Lengths'!E33^2)*$L$127)</f>
        <v>0.76811649289332662</v>
      </c>
      <c r="M113" s="4">
        <f>0.008*('String Lengths'!E33^2)*C113*SQRT('Misc ref'!$B$9*F113/(K113*1000000000))/(PI()*E113)</f>
        <v>16.267171133992147</v>
      </c>
      <c r="N113" s="4">
        <f t="shared" si="16"/>
        <v>3.1883284204294893</v>
      </c>
      <c r="O113" s="4">
        <f t="shared" si="17"/>
        <v>17.900311190972769</v>
      </c>
      <c r="Y113" s="26">
        <f>IF(Graphs!$B$12="Yes",E113,$Y$127)</f>
        <v>-100</v>
      </c>
      <c r="Z113" s="4">
        <f>IF(Graphs!$B$12="Yes",F113,$Y$127)</f>
        <v>-100</v>
      </c>
      <c r="AA113" s="4">
        <f>IF(Graphs!$B$12="Yes",H113,$Y$127)</f>
        <v>-100</v>
      </c>
      <c r="AB113" s="4">
        <f>IF(Graphs!$B$12="Yes",I113,$Y$127)</f>
        <v>-100</v>
      </c>
      <c r="AC113" s="4">
        <f>IF(Graphs!$B$12="Yes",J113,$Y$127)</f>
        <v>-100</v>
      </c>
      <c r="AD113" s="4">
        <f>IF(Graphs!$B$12="Yes",K113,$Y$127)</f>
        <v>-100</v>
      </c>
      <c r="AE113" s="4">
        <f>IF(Graphs!$B$12="Yes",L113,$Y$127)</f>
        <v>-100</v>
      </c>
      <c r="AF113" s="4">
        <f>IF(Graphs!$B$12="Yes",M113,$Y$127)</f>
        <v>-100</v>
      </c>
      <c r="AG113" s="4">
        <f>IF(Graphs!$B$12="Yes",N113,$Y$127)</f>
        <v>-100</v>
      </c>
      <c r="AH113" s="27">
        <f>IF(Graphs!$B$12="Yes",O113,$Y$127)</f>
        <v>-100</v>
      </c>
    </row>
    <row r="114" spans="1:34" x14ac:dyDescent="0.25">
      <c r="A114" s="2">
        <v>28</v>
      </c>
      <c r="B114" s="2" t="s">
        <v>55</v>
      </c>
      <c r="C114" s="2">
        <v>174.61411571650194</v>
      </c>
      <c r="D114" s="2" t="str">
        <f t="shared" si="12"/>
        <v>Yes</v>
      </c>
      <c r="E114" s="15">
        <v>1.8</v>
      </c>
      <c r="F114" s="2">
        <f t="shared" si="13"/>
        <v>1770</v>
      </c>
      <c r="G114" s="15">
        <f>((2*C114*'String Lengths'!E34)^2)*F114/1000000000000</f>
        <v>129.65681844850081</v>
      </c>
      <c r="H114" s="15">
        <f t="shared" si="14"/>
        <v>329.93641574376494</v>
      </c>
      <c r="I114" s="15">
        <f>PI()*(E114^2)*F114*'String Lengths'!E34*C114/2000000000</f>
        <v>1.2190435053443858</v>
      </c>
      <c r="J114" s="15">
        <f>4*H114/'String Lengths'!E34</f>
        <v>1.7028976296452385</v>
      </c>
      <c r="K114" s="15">
        <f t="shared" si="15"/>
        <v>7.4107288052144025</v>
      </c>
      <c r="L114" s="15">
        <f>K114*(PI()^3)*(E114^4)/(0.128*H114*('String Lengths'!E34^2)*$L$127)</f>
        <v>0.73449981434523592</v>
      </c>
      <c r="M114" s="15">
        <f>0.008*('String Lengths'!E34^2)*C114*SQRT('Misc ref'!$B$9*F114/(K114*1000000000))/(PI()*E114)</f>
        <v>16.635265458456217</v>
      </c>
      <c r="N114" s="15">
        <f t="shared" si="16"/>
        <v>2.9047521677376018</v>
      </c>
      <c r="O114" s="15">
        <f t="shared" si="17"/>
        <v>18.858007849488345</v>
      </c>
      <c r="Y114" s="26">
        <f>IF(Graphs!$B$12="Yes",E114,$Y$127)</f>
        <v>-100</v>
      </c>
      <c r="Z114" s="4">
        <f>IF(Graphs!$B$12="Yes",F114,$Y$127)</f>
        <v>-100</v>
      </c>
      <c r="AA114" s="4">
        <f>IF(Graphs!$B$12="Yes",H114,$Y$127)</f>
        <v>-100</v>
      </c>
      <c r="AB114" s="4">
        <f>IF(Graphs!$B$12="Yes",I114,$Y$127)</f>
        <v>-100</v>
      </c>
      <c r="AC114" s="4">
        <f>IF(Graphs!$B$12="Yes",J114,$Y$127)</f>
        <v>-100</v>
      </c>
      <c r="AD114" s="4">
        <f>IF(Graphs!$B$12="Yes",K114,$Y$127)</f>
        <v>-100</v>
      </c>
      <c r="AE114" s="4">
        <f>IF(Graphs!$B$12="Yes",L114,$Y$127)</f>
        <v>-100</v>
      </c>
      <c r="AF114" s="4">
        <f>IF(Graphs!$B$12="Yes",M114,$Y$127)</f>
        <v>-100</v>
      </c>
      <c r="AG114" s="4">
        <f>IF(Graphs!$B$12="Yes",N114,$Y$127)</f>
        <v>-100</v>
      </c>
      <c r="AH114" s="27">
        <f>IF(Graphs!$B$12="Yes",O114,$Y$127)</f>
        <v>-100</v>
      </c>
    </row>
    <row r="115" spans="1:34" x14ac:dyDescent="0.25">
      <c r="A115" s="3">
        <v>29</v>
      </c>
      <c r="B115" s="3" t="s">
        <v>56</v>
      </c>
      <c r="C115" s="3">
        <v>164.81377845643496</v>
      </c>
      <c r="D115" s="3" t="str">
        <f t="shared" si="12"/>
        <v>Yes</v>
      </c>
      <c r="E115" s="4">
        <v>1.9</v>
      </c>
      <c r="F115" s="3">
        <f t="shared" si="13"/>
        <v>1770</v>
      </c>
      <c r="G115" s="4">
        <f>((2*C115*'String Lengths'!E35)^2)*F115/1000000000000</f>
        <v>136.67070631570911</v>
      </c>
      <c r="H115" s="4">
        <f t="shared" si="14"/>
        <v>387.50072744742977</v>
      </c>
      <c r="I115" s="4">
        <f>PI()*(E115^2)*F115*'String Lengths'!E35*C115/2000000000</f>
        <v>1.3945093672940509</v>
      </c>
      <c r="J115" s="4">
        <f>4*H115/'String Lengths'!E35</f>
        <v>1.8386748633330001</v>
      </c>
      <c r="K115" s="4">
        <f t="shared" si="15"/>
        <v>7.6393242462215181</v>
      </c>
      <c r="L115" s="4">
        <f>K115*(PI()^3)*(E115^4)/(0.128*H115*('String Lengths'!E35^2)*$L$127)</f>
        <v>0.67641944335245141</v>
      </c>
      <c r="M115" s="4">
        <f>0.008*('String Lengths'!E35^2)*C115*SQRT('Misc ref'!$B$9*F115/(K115*1000000000))/(PI()*E115)</f>
        <v>17.334748271272311</v>
      </c>
      <c r="N115" s="4">
        <f t="shared" si="16"/>
        <v>2.8570053611795432</v>
      </c>
      <c r="O115" s="4">
        <f t="shared" si="17"/>
        <v>21.659679549613713</v>
      </c>
      <c r="Y115" s="26">
        <f>IF(Graphs!$B$12="Yes",E115,$Y$127)</f>
        <v>-100</v>
      </c>
      <c r="Z115" s="4">
        <f>IF(Graphs!$B$12="Yes",F115,$Y$127)</f>
        <v>-100</v>
      </c>
      <c r="AA115" s="4">
        <f>IF(Graphs!$B$12="Yes",H115,$Y$127)</f>
        <v>-100</v>
      </c>
      <c r="AB115" s="4">
        <f>IF(Graphs!$B$12="Yes",I115,$Y$127)</f>
        <v>-100</v>
      </c>
      <c r="AC115" s="4">
        <f>IF(Graphs!$B$12="Yes",J115,$Y$127)</f>
        <v>-100</v>
      </c>
      <c r="AD115" s="4">
        <f>IF(Graphs!$B$12="Yes",K115,$Y$127)</f>
        <v>-100</v>
      </c>
      <c r="AE115" s="4">
        <f>IF(Graphs!$B$12="Yes",L115,$Y$127)</f>
        <v>-100</v>
      </c>
      <c r="AF115" s="4">
        <f>IF(Graphs!$B$12="Yes",M115,$Y$127)</f>
        <v>-100</v>
      </c>
      <c r="AG115" s="4">
        <f>IF(Graphs!$B$12="Yes",N115,$Y$127)</f>
        <v>-100</v>
      </c>
      <c r="AH115" s="27">
        <f>IF(Graphs!$B$12="Yes",O115,$Y$127)</f>
        <v>-100</v>
      </c>
    </row>
    <row r="116" spans="1:34" x14ac:dyDescent="0.25">
      <c r="A116" s="3">
        <v>30</v>
      </c>
      <c r="B116" s="3" t="s">
        <v>57</v>
      </c>
      <c r="C116" s="3">
        <v>146.83238395870379</v>
      </c>
      <c r="D116" s="3" t="str">
        <f t="shared" si="12"/>
        <v>Yes</v>
      </c>
      <c r="E116" s="4">
        <v>2.0299999999999998</v>
      </c>
      <c r="F116" s="3">
        <f t="shared" si="13"/>
        <v>1770</v>
      </c>
      <c r="G116" s="4">
        <f>((2*C116*'String Lengths'!E36)^2)*F116/1000000000000</f>
        <v>125.57163003978152</v>
      </c>
      <c r="H116" s="4">
        <f t="shared" si="14"/>
        <v>406.41851910008836</v>
      </c>
      <c r="I116" s="4">
        <f>PI()*(E116^2)*F116*'String Lengths'!E36*C116/2000000000</f>
        <v>1.5258588336709518</v>
      </c>
      <c r="J116" s="4">
        <f>4*H116/'String Lengths'!E36</f>
        <v>1.792363921058824</v>
      </c>
      <c r="K116" s="4">
        <f t="shared" si="15"/>
        <v>7.2775850390794528</v>
      </c>
      <c r="L116" s="4">
        <f>K116*(PI()^3)*(E116^4)/(0.128*H116*('String Lengths'!E36^2)*$L$127)</f>
        <v>0.69160445779144486</v>
      </c>
      <c r="M116" s="4">
        <f>0.008*('String Lengths'!E36^2)*C116*SQRT('Misc ref'!$B$9*F116/(K116*1000000000))/(PI()*E116)</f>
        <v>17.143389353933117</v>
      </c>
      <c r="N116" s="4">
        <f t="shared" si="16"/>
        <v>2.5172047279702623</v>
      </c>
      <c r="O116" s="4">
        <f t="shared" si="17"/>
        <v>23.554248147217695</v>
      </c>
      <c r="Y116" s="26">
        <f>IF(Graphs!$B$12="Yes",E116,$Y$127)</f>
        <v>-100</v>
      </c>
      <c r="Z116" s="4">
        <f>IF(Graphs!$B$12="Yes",F116,$Y$127)</f>
        <v>-100</v>
      </c>
      <c r="AA116" s="4">
        <f>IF(Graphs!$B$12="Yes",H116,$Y$127)</f>
        <v>-100</v>
      </c>
      <c r="AB116" s="4">
        <f>IF(Graphs!$B$12="Yes",I116,$Y$127)</f>
        <v>-100</v>
      </c>
      <c r="AC116" s="4">
        <f>IF(Graphs!$B$12="Yes",J116,$Y$127)</f>
        <v>-100</v>
      </c>
      <c r="AD116" s="4">
        <f>IF(Graphs!$B$12="Yes",K116,$Y$127)</f>
        <v>-100</v>
      </c>
      <c r="AE116" s="4">
        <f>IF(Graphs!$B$12="Yes",L116,$Y$127)</f>
        <v>-100</v>
      </c>
      <c r="AF116" s="4">
        <f>IF(Graphs!$B$12="Yes",M116,$Y$127)</f>
        <v>-100</v>
      </c>
      <c r="AG116" s="4">
        <f>IF(Graphs!$B$12="Yes",N116,$Y$127)</f>
        <v>-100</v>
      </c>
      <c r="AH116" s="27">
        <f>IF(Graphs!$B$12="Yes",O116,$Y$127)</f>
        <v>-100</v>
      </c>
    </row>
    <row r="117" spans="1:34" x14ac:dyDescent="0.25">
      <c r="A117" s="3">
        <v>31</v>
      </c>
      <c r="B117" s="3" t="s">
        <v>58</v>
      </c>
      <c r="C117" s="3">
        <v>130.81278265029934</v>
      </c>
      <c r="D117" s="3" t="str">
        <f t="shared" si="12"/>
        <v>Yes</v>
      </c>
      <c r="E117" s="4">
        <v>2.1</v>
      </c>
      <c r="F117" s="3">
        <f t="shared" si="13"/>
        <v>1770</v>
      </c>
      <c r="G117" s="4">
        <f>((2*C117*'String Lengths'!E37)^2)*F117/1000000000000</f>
        <v>112.82056037722205</v>
      </c>
      <c r="H117" s="4">
        <f t="shared" si="14"/>
        <v>390.76595862959834</v>
      </c>
      <c r="I117" s="4">
        <f>PI()*(E117^2)*F117*'String Lengths'!E37*C117/2000000000</f>
        <v>1.547779999127699</v>
      </c>
      <c r="J117" s="4">
        <f>4*H117/'String Lengths'!E37</f>
        <v>1.6197552689309775</v>
      </c>
      <c r="K117" s="4">
        <f t="shared" si="15"/>
        <v>6.862004344319157</v>
      </c>
      <c r="L117" s="4">
        <f>K117*(PI()^3)*(E117^4)/(0.128*H117*('String Lengths'!E37^2)*$L$127)</f>
        <v>0.68616920635936107</v>
      </c>
      <c r="M117" s="4">
        <f>0.008*('String Lengths'!E37^2)*C117*SQRT('Misc ref'!$B$9*F117/(K117*1000000000))/(PI()*E117)</f>
        <v>17.211153133865096</v>
      </c>
      <c r="N117" s="4">
        <f t="shared" si="16"/>
        <v>2.2514388340613132</v>
      </c>
      <c r="O117" s="4">
        <f t="shared" si="17"/>
        <v>23.767278736808276</v>
      </c>
      <c r="Y117" s="26">
        <f>IF(Graphs!$B$12="Yes",E117,$Y$127)</f>
        <v>-100</v>
      </c>
      <c r="Z117" s="4">
        <f>IF(Graphs!$B$12="Yes",F117,$Y$127)</f>
        <v>-100</v>
      </c>
      <c r="AA117" s="4">
        <f>IF(Graphs!$B$12="Yes",H117,$Y$127)</f>
        <v>-100</v>
      </c>
      <c r="AB117" s="4">
        <f>IF(Graphs!$B$12="Yes",I117,$Y$127)</f>
        <v>-100</v>
      </c>
      <c r="AC117" s="4">
        <f>IF(Graphs!$B$12="Yes",J117,$Y$127)</f>
        <v>-100</v>
      </c>
      <c r="AD117" s="4">
        <f>IF(Graphs!$B$12="Yes",K117,$Y$127)</f>
        <v>-100</v>
      </c>
      <c r="AE117" s="4">
        <f>IF(Graphs!$B$12="Yes",L117,$Y$127)</f>
        <v>-100</v>
      </c>
      <c r="AF117" s="4">
        <f>IF(Graphs!$B$12="Yes",M117,$Y$127)</f>
        <v>-100</v>
      </c>
      <c r="AG117" s="4">
        <f>IF(Graphs!$B$12="Yes",N117,$Y$127)</f>
        <v>-100</v>
      </c>
      <c r="AH117" s="27">
        <f>IF(Graphs!$B$12="Yes",O117,$Y$127)</f>
        <v>-100</v>
      </c>
    </row>
    <row r="118" spans="1:34" x14ac:dyDescent="0.25">
      <c r="A118" s="3">
        <v>32</v>
      </c>
      <c r="B118" s="3" t="s">
        <v>59</v>
      </c>
      <c r="C118" s="3">
        <v>123.47082531403103</v>
      </c>
      <c r="D118" s="3" t="str">
        <f t="shared" si="12"/>
        <v>Yes</v>
      </c>
      <c r="E118" s="4">
        <v>2.1</v>
      </c>
      <c r="F118" s="3">
        <f t="shared" si="13"/>
        <v>1770</v>
      </c>
      <c r="G118" s="4">
        <f>((2*C118*'String Lengths'!E38)^2)*F118/1000000000000</f>
        <v>111.85554440942695</v>
      </c>
      <c r="H118" s="4">
        <f t="shared" si="14"/>
        <v>387.42352362938669</v>
      </c>
      <c r="I118" s="4">
        <f>PI()*(E118^2)*F118*'String Lengths'!E38*C118/2000000000</f>
        <v>1.5411462787052779</v>
      </c>
      <c r="J118" s="4">
        <f>4*H118/'String Lengths'!E38</f>
        <v>1.5222928236911069</v>
      </c>
      <c r="K118" s="4">
        <f t="shared" si="15"/>
        <v>6.8305527079494937</v>
      </c>
      <c r="L118" s="4">
        <f>K118*(PI()^3)*(E118^4)/(0.128*H118*('String Lengths'!E38^2)*$L$127)</f>
        <v>0.61905023046733121</v>
      </c>
      <c r="M118" s="4">
        <f>0.008*('String Lengths'!E38^2)*C118*SQRT('Misc ref'!$B$9*F118/(K118*1000000000))/(PI()*E118)</f>
        <v>18.120185357702407</v>
      </c>
      <c r="N118" s="4">
        <f t="shared" si="16"/>
        <v>2.2373142409587365</v>
      </c>
      <c r="O118" s="4">
        <f t="shared" si="17"/>
        <v>23.658342663495329</v>
      </c>
      <c r="Y118" s="26">
        <f>IF(Graphs!$B$12="Yes",E118,$Y$127)</f>
        <v>-100</v>
      </c>
      <c r="Z118" s="4">
        <f>IF(Graphs!$B$12="Yes",F118,$Y$127)</f>
        <v>-100</v>
      </c>
      <c r="AA118" s="4">
        <f>IF(Graphs!$B$12="Yes",H118,$Y$127)</f>
        <v>-100</v>
      </c>
      <c r="AB118" s="4">
        <f>IF(Graphs!$B$12="Yes",I118,$Y$127)</f>
        <v>-100</v>
      </c>
      <c r="AC118" s="4">
        <f>IF(Graphs!$B$12="Yes",J118,$Y$127)</f>
        <v>-100</v>
      </c>
      <c r="AD118" s="4">
        <f>IF(Graphs!$B$12="Yes",K118,$Y$127)</f>
        <v>-100</v>
      </c>
      <c r="AE118" s="4">
        <f>IF(Graphs!$B$12="Yes",L118,$Y$127)</f>
        <v>-100</v>
      </c>
      <c r="AF118" s="4">
        <f>IF(Graphs!$B$12="Yes",M118,$Y$127)</f>
        <v>-100</v>
      </c>
      <c r="AG118" s="4">
        <f>IF(Graphs!$B$12="Yes",N118,$Y$127)</f>
        <v>-100</v>
      </c>
      <c r="AH118" s="27">
        <f>IF(Graphs!$B$12="Yes",O118,$Y$127)</f>
        <v>-100</v>
      </c>
    </row>
    <row r="119" spans="1:34" x14ac:dyDescent="0.25">
      <c r="A119" s="3">
        <v>33</v>
      </c>
      <c r="B119" s="3" t="s">
        <v>60</v>
      </c>
      <c r="C119" s="3">
        <v>110</v>
      </c>
      <c r="D119" s="3" t="str">
        <f t="shared" si="12"/>
        <v>Yes</v>
      </c>
      <c r="E119" s="4">
        <v>2.1</v>
      </c>
      <c r="F119" s="3">
        <f t="shared" si="13"/>
        <v>1770</v>
      </c>
      <c r="G119" s="4">
        <f>((2*C119*'String Lengths'!E39)^2)*F119/1000000000000</f>
        <v>97.532075652000003</v>
      </c>
      <c r="H119" s="4">
        <f t="shared" si="14"/>
        <v>337.81267272435008</v>
      </c>
      <c r="I119" s="4">
        <f>PI()*(E119^2)*F119*'String Lengths'!E39*C119/2000000000</f>
        <v>1.4390929229119453</v>
      </c>
      <c r="J119" s="4">
        <f>4*H119/'String Lengths'!E39</f>
        <v>1.266401772162512</v>
      </c>
      <c r="K119" s="4">
        <f t="shared" si="15"/>
        <v>6.363724649197124</v>
      </c>
      <c r="L119" s="4">
        <f>K119*(PI()^3)*(E119^4)/(0.128*H119*('String Lengths'!E39^2)*$L$127)</f>
        <v>0.60208552860170228</v>
      </c>
      <c r="M119" s="4">
        <f>0.008*('String Lengths'!E39^2)*C119*SQRT('Misc ref'!$B$9*F119/(K119*1000000000))/(PI()*E119)</f>
        <v>18.373694297641265</v>
      </c>
      <c r="N119" s="4">
        <f t="shared" si="16"/>
        <v>2.0211063727405394</v>
      </c>
      <c r="O119" s="4">
        <f t="shared" si="17"/>
        <v>22.041434244643028</v>
      </c>
      <c r="Y119" s="28">
        <f>IF(Graphs!$B$12="Yes",E119,$Y$127)</f>
        <v>-100</v>
      </c>
      <c r="Z119" s="15">
        <f>IF(Graphs!$B$12="Yes",F119,$Y$127)</f>
        <v>-100</v>
      </c>
      <c r="AA119" s="15">
        <f>IF(Graphs!$B$12="Yes",H119,$Y$127)</f>
        <v>-100</v>
      </c>
      <c r="AB119" s="15">
        <f>IF(Graphs!$B$12="Yes",I119,$Y$127)</f>
        <v>-100</v>
      </c>
      <c r="AC119" s="15">
        <f>IF(Graphs!$B$12="Yes",J119,$Y$127)</f>
        <v>-100</v>
      </c>
      <c r="AD119" s="15">
        <f>IF(Graphs!$B$12="Yes",K119,$Y$127)</f>
        <v>-100</v>
      </c>
      <c r="AE119" s="15">
        <f>IF(Graphs!$B$12="Yes",L119,$Y$127)</f>
        <v>-100</v>
      </c>
      <c r="AF119" s="15">
        <f>IF(Graphs!$B$12="Yes",M119,$Y$127)</f>
        <v>-100</v>
      </c>
      <c r="AG119" s="15">
        <f>IF(Graphs!$B$12="Yes",N119,$Y$127)</f>
        <v>-100</v>
      </c>
      <c r="AH119" s="29">
        <f>IF(Graphs!$B$12="Yes",O119,$Y$127)</f>
        <v>-100</v>
      </c>
    </row>
    <row r="121" spans="1:34" x14ac:dyDescent="0.25">
      <c r="E121" s="3" t="s">
        <v>86</v>
      </c>
    </row>
    <row r="127" spans="1:34" x14ac:dyDescent="0.25">
      <c r="E127" s="21">
        <v>0.98</v>
      </c>
      <c r="F127" s="21">
        <v>1770</v>
      </c>
      <c r="K127" s="19">
        <v>3.24746902</v>
      </c>
      <c r="L127" s="47">
        <f>Gut!$K$127</f>
        <v>1.2946883554665936E-4</v>
      </c>
      <c r="Y127" s="21">
        <v>-100</v>
      </c>
    </row>
    <row r="128" spans="1:34" x14ac:dyDescent="0.25">
      <c r="K128" s="20">
        <v>4.1009549999999999E-2</v>
      </c>
    </row>
    <row r="129" spans="11:11" x14ac:dyDescent="0.25">
      <c r="K129" s="19">
        <v>3.18497582</v>
      </c>
    </row>
    <row r="130" spans="11:11" x14ac:dyDescent="0.25">
      <c r="K130" s="20">
        <v>3.2591830000000002E-2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70D2-20C4-45E4-B47E-58E405825B96}">
  <dimension ref="A1:AH49"/>
  <sheetViews>
    <sheetView zoomScale="75" zoomScaleNormal="75" workbookViewId="0"/>
  </sheetViews>
  <sheetFormatPr defaultRowHeight="15" x14ac:dyDescent="0.25"/>
  <cols>
    <col min="1" max="5" width="9.140625" style="3"/>
    <col min="6" max="7" width="13.85546875" bestFit="1" customWidth="1"/>
    <col min="8" max="8" width="11.42578125" bestFit="1" customWidth="1"/>
    <col min="10" max="10" width="14.28515625" bestFit="1" customWidth="1"/>
    <col min="11" max="11" width="13.85546875" bestFit="1" customWidth="1"/>
    <col min="12" max="12" width="10.5703125" bestFit="1" customWidth="1"/>
    <col min="13" max="13" width="11" bestFit="1" customWidth="1"/>
  </cols>
  <sheetData>
    <row r="1" spans="1:34" x14ac:dyDescent="0.25">
      <c r="D1" s="30" t="s">
        <v>23</v>
      </c>
    </row>
    <row r="2" spans="1:34" x14ac:dyDescent="0.25">
      <c r="A2" s="3" t="s">
        <v>20</v>
      </c>
      <c r="B2" s="3" t="s">
        <v>21</v>
      </c>
      <c r="C2" s="3" t="s">
        <v>22</v>
      </c>
      <c r="D2" s="30" t="s">
        <v>70</v>
      </c>
      <c r="E2" s="3" t="s">
        <v>62</v>
      </c>
      <c r="F2" s="3" t="s">
        <v>66</v>
      </c>
      <c r="G2" s="3" t="s">
        <v>68</v>
      </c>
      <c r="H2" s="3" t="s">
        <v>71</v>
      </c>
      <c r="I2" s="3" t="s">
        <v>73</v>
      </c>
      <c r="J2" s="3" t="s">
        <v>75</v>
      </c>
      <c r="K2" s="3" t="s">
        <v>77</v>
      </c>
      <c r="L2" s="3" t="s">
        <v>79</v>
      </c>
      <c r="M2" s="3" t="s">
        <v>80</v>
      </c>
      <c r="N2" s="3" t="s">
        <v>82</v>
      </c>
      <c r="W2" s="7" t="s">
        <v>66</v>
      </c>
      <c r="Y2" s="9" t="s">
        <v>70</v>
      </c>
      <c r="Z2" s="24" t="s">
        <v>62</v>
      </c>
      <c r="AA2" s="24" t="s">
        <v>68</v>
      </c>
      <c r="AB2" s="24" t="s">
        <v>71</v>
      </c>
      <c r="AC2" s="24" t="s">
        <v>73</v>
      </c>
      <c r="AD2" s="24" t="s">
        <v>75</v>
      </c>
      <c r="AE2" s="24" t="s">
        <v>77</v>
      </c>
      <c r="AF2" s="24" t="s">
        <v>79</v>
      </c>
      <c r="AG2" s="24" t="s">
        <v>80</v>
      </c>
      <c r="AH2" s="10" t="s">
        <v>82</v>
      </c>
    </row>
    <row r="3" spans="1:34" x14ac:dyDescent="0.25">
      <c r="A3" s="3" t="s">
        <v>61</v>
      </c>
      <c r="C3" s="3" t="s">
        <v>25</v>
      </c>
      <c r="D3" s="30" t="s">
        <v>8</v>
      </c>
      <c r="E3" s="3" t="s">
        <v>63</v>
      </c>
      <c r="F3" s="3" t="s">
        <v>67</v>
      </c>
      <c r="G3" s="3" t="s">
        <v>69</v>
      </c>
      <c r="H3" s="3" t="s">
        <v>72</v>
      </c>
      <c r="I3" s="3" t="s">
        <v>74</v>
      </c>
      <c r="J3" s="3" t="s">
        <v>76</v>
      </c>
      <c r="K3" s="3" t="s">
        <v>78</v>
      </c>
      <c r="M3" s="3" t="s">
        <v>81</v>
      </c>
      <c r="N3" s="3" t="s">
        <v>83</v>
      </c>
      <c r="W3" s="8" t="s">
        <v>67</v>
      </c>
      <c r="Y3" s="11" t="s">
        <v>8</v>
      </c>
      <c r="Z3" s="3" t="s">
        <v>63</v>
      </c>
      <c r="AA3" s="3" t="s">
        <v>69</v>
      </c>
      <c r="AB3" s="3" t="s">
        <v>72</v>
      </c>
      <c r="AC3" s="3" t="s">
        <v>74</v>
      </c>
      <c r="AD3" s="3" t="s">
        <v>76</v>
      </c>
      <c r="AE3" s="3" t="s">
        <v>78</v>
      </c>
      <c r="AG3" s="3" t="s">
        <v>81</v>
      </c>
      <c r="AH3" s="12" t="s">
        <v>83</v>
      </c>
    </row>
    <row r="4" spans="1:34" x14ac:dyDescent="0.25">
      <c r="W4" s="46"/>
      <c r="Y4" s="25"/>
      <c r="AH4" s="17"/>
    </row>
    <row r="5" spans="1:34" x14ac:dyDescent="0.25">
      <c r="A5" s="1">
        <v>-1</v>
      </c>
      <c r="B5" s="3" t="s">
        <v>26</v>
      </c>
      <c r="C5" s="3">
        <v>3135.9634878539941</v>
      </c>
      <c r="D5" s="4">
        <v>0.51</v>
      </c>
      <c r="E5" s="3">
        <f>IF(D5&lt;=$D$47,$E$47,IF(D5&gt;=$D$48,$E$48,$E$49))</f>
        <v>1080</v>
      </c>
      <c r="F5" s="4">
        <f>((2*C5*'String Lengths'!E5)^2)*E5/1000000000000</f>
        <v>226.39741413622735</v>
      </c>
      <c r="G5" s="4">
        <f>F5*PI()*(D5^2)/4</f>
        <v>46.24893065906241</v>
      </c>
      <c r="H5" s="4">
        <f>PI()*(D5^2)*E5*'String Lengths'!E5*C5/2000000000</f>
        <v>0.10101313324970689</v>
      </c>
      <c r="I5" s="4">
        <f>4*G5/'String Lengths'!E5</f>
        <v>2.534187981318488</v>
      </c>
      <c r="J5" s="4">
        <f>$J$47+($J$48*F5)</f>
        <v>13.331368309823388</v>
      </c>
      <c r="K5" s="4">
        <f>J5*(PI()^3)*(D5^4)/(0.128*G5*('String Lengths'!E5^2)*$K$47)</f>
        <v>6.8467177044950605</v>
      </c>
      <c r="L5" s="4">
        <f>0.008*('String Lengths'!E5^2)*C5*SQRT('Misc ref'!$B$9*E5/(J5*1000000000))/(PI()*D5)</f>
        <v>5.448593020663302</v>
      </c>
      <c r="M5" s="4">
        <f>L5*C5/1000</f>
        <v>17.086588772976217</v>
      </c>
      <c r="N5" s="4">
        <f>J5*PI()*(D5^2)/4</f>
        <v>2.7233594116072717</v>
      </c>
      <c r="W5" s="36">
        <f>IF(Graphs!$B$14="Yes",F5,$Y$47)</f>
        <v>226.39741413622735</v>
      </c>
      <c r="Y5" s="26">
        <f>IF(Graphs!$B$14="Yes",D5,$Y$47)</f>
        <v>0.51</v>
      </c>
      <c r="Z5" s="3">
        <f>IF(Graphs!$B$14="Yes",E5,$Y$47)</f>
        <v>1080</v>
      </c>
      <c r="AA5" s="4">
        <f>IF(Graphs!$B$14="Yes",G5,$Y$47)</f>
        <v>46.24893065906241</v>
      </c>
      <c r="AB5" s="4">
        <f>IF(Graphs!$B$14="Yes",H5,$Y$47)</f>
        <v>0.10101313324970689</v>
      </c>
      <c r="AC5" s="4">
        <f>IF(Graphs!$B$14="Yes",I5,$Y$47)</f>
        <v>2.534187981318488</v>
      </c>
      <c r="AD5" s="4">
        <f>IF(Graphs!$B$14="Yes",J5,$Y$47)</f>
        <v>13.331368309823388</v>
      </c>
      <c r="AE5" s="4">
        <f>IF(Graphs!$B$14="Yes",K5,$Y$47)</f>
        <v>6.8467177044950605</v>
      </c>
      <c r="AF5" s="4">
        <f>IF(Graphs!$B$14="Yes",L5,$Y$47)</f>
        <v>5.448593020663302</v>
      </c>
      <c r="AG5" s="4">
        <f>IF(Graphs!$B$14="Yes",M5,$Y$47)</f>
        <v>17.086588772976217</v>
      </c>
      <c r="AH5" s="27">
        <f>IF(Graphs!$B$14="Yes",N5,$Y$47)</f>
        <v>2.7233594116072717</v>
      </c>
    </row>
    <row r="6" spans="1:34" x14ac:dyDescent="0.25">
      <c r="A6" s="2">
        <v>0</v>
      </c>
      <c r="B6" s="2" t="s">
        <v>27</v>
      </c>
      <c r="C6" s="2">
        <v>2793.8258514640311</v>
      </c>
      <c r="D6" s="15">
        <v>0.51</v>
      </c>
      <c r="E6" s="2">
        <f t="shared" ref="E6:E39" si="0">IF(D6&lt;=$D$47,$E$47,IF(D6&gt;=$D$48,$E$48,$E$49))</f>
        <v>1080</v>
      </c>
      <c r="F6" s="15">
        <f>((2*C6*'String Lengths'!E6)^2)*E6/1000000000000</f>
        <v>221.23429348403593</v>
      </c>
      <c r="G6" s="15">
        <f t="shared" ref="G6:G39" si="1">F6*PI()*(D6^2)/4</f>
        <v>45.194197724330699</v>
      </c>
      <c r="H6" s="15">
        <f>PI()*(D6^2)*E6*'String Lengths'!E6*C6/2000000000</f>
        <v>9.9854659522298009E-2</v>
      </c>
      <c r="I6" s="15">
        <f>4*G6/'String Lengths'!E6</f>
        <v>2.2318122333002814</v>
      </c>
      <c r="J6" s="15">
        <f t="shared" ref="J6:J39" si="2">$J$47+($J$48*F6)</f>
        <v>13.130626591915838</v>
      </c>
      <c r="K6" s="15">
        <f>J6*(PI()^3)*(D6^4)/(0.128*G6*('String Lengths'!E6^2)*$K$47)</f>
        <v>5.6051577901858822</v>
      </c>
      <c r="L6" s="15">
        <f>0.008*('String Lengths'!E6^2)*C6*SQRT('Misc ref'!$B$9*E6/(J6*1000000000))/(PI()*D6)</f>
        <v>6.0218739315884431</v>
      </c>
      <c r="M6" s="15">
        <f t="shared" ref="M6:M39" si="3">L6*C6/1000</f>
        <v>16.824067064329135</v>
      </c>
      <c r="N6" s="15">
        <f t="shared" ref="N6:N39" si="4">J6*PI()*(D6^2)/4</f>
        <v>2.6823514794835375</v>
      </c>
      <c r="W6" s="36">
        <f>IF(Graphs!$B$14="Yes",F6,$Y$47)</f>
        <v>221.23429348403593</v>
      </c>
      <c r="Y6" s="26">
        <f>IF(Graphs!$B$14="Yes",D6,$Y$47)</f>
        <v>0.51</v>
      </c>
      <c r="Z6" s="3">
        <f>IF(Graphs!$B$14="Yes",E6,$Y$47)</f>
        <v>1080</v>
      </c>
      <c r="AA6" s="4">
        <f>IF(Graphs!$B$14="Yes",G6,$Y$47)</f>
        <v>45.194197724330699</v>
      </c>
      <c r="AB6" s="4">
        <f>IF(Graphs!$B$14="Yes",H6,$Y$47)</f>
        <v>9.9854659522298009E-2</v>
      </c>
      <c r="AC6" s="4">
        <f>IF(Graphs!$B$14="Yes",I6,$Y$47)</f>
        <v>2.2318122333002814</v>
      </c>
      <c r="AD6" s="4">
        <f>IF(Graphs!$B$14="Yes",J6,$Y$47)</f>
        <v>13.130626591915838</v>
      </c>
      <c r="AE6" s="4">
        <f>IF(Graphs!$B$14="Yes",K6,$Y$47)</f>
        <v>5.6051577901858822</v>
      </c>
      <c r="AF6" s="4">
        <f>IF(Graphs!$B$14="Yes",L6,$Y$47)</f>
        <v>6.0218739315884431</v>
      </c>
      <c r="AG6" s="4">
        <f>IF(Graphs!$B$14="Yes",M6,$Y$47)</f>
        <v>16.824067064329135</v>
      </c>
      <c r="AH6" s="27">
        <f>IF(Graphs!$B$14="Yes",N6,$Y$47)</f>
        <v>2.6823514794835375</v>
      </c>
    </row>
    <row r="7" spans="1:34" x14ac:dyDescent="0.25">
      <c r="A7" s="3">
        <v>1</v>
      </c>
      <c r="B7" s="3" t="s">
        <v>28</v>
      </c>
      <c r="C7" s="3">
        <v>2637.0204553029594</v>
      </c>
      <c r="D7" s="4">
        <v>0.54</v>
      </c>
      <c r="E7" s="3">
        <f t="shared" si="0"/>
        <v>1080</v>
      </c>
      <c r="F7" s="4">
        <f>((2*C7*'String Lengths'!E7)^2)*E7/1000000000000</f>
        <v>227.37842258752676</v>
      </c>
      <c r="G7" s="4">
        <f t="shared" si="1"/>
        <v>52.074684846765514</v>
      </c>
      <c r="H7" s="4">
        <f>PI()*(D7^2)*E7*'String Lengths'!E7*C7/2000000000</f>
        <v>0.11349164826085259</v>
      </c>
      <c r="I7" s="4">
        <f>4*G7/'String Lengths'!E7</f>
        <v>2.3942383837593342</v>
      </c>
      <c r="J7" s="4">
        <f t="shared" si="2"/>
        <v>13.369509839929233</v>
      </c>
      <c r="K7" s="4">
        <f>J7*(PI()^3)*(D7^4)/(0.128*G7*('String Lengths'!E7^2)*$K$47)</f>
        <v>5.3963458473740822</v>
      </c>
      <c r="L7" s="4">
        <f>0.008*('String Lengths'!E7^2)*C7*SQRT('Misc ref'!$B$9*E7/(J7*1000000000))/(PI()*D7)</f>
        <v>6.1372765450259594</v>
      </c>
      <c r="M7" s="4">
        <f t="shared" si="3"/>
        <v>16.184123789084531</v>
      </c>
      <c r="N7" s="4">
        <f t="shared" si="4"/>
        <v>3.0619132789614021</v>
      </c>
      <c r="W7" s="36">
        <f>IF(Graphs!$B$14="Yes",F7,$Y$47)</f>
        <v>227.37842258752676</v>
      </c>
      <c r="Y7" s="26">
        <f>IF(Graphs!$B$14="Yes",D7,$Y$47)</f>
        <v>0.54</v>
      </c>
      <c r="Z7" s="3">
        <f>IF(Graphs!$B$14="Yes",E7,$Y$47)</f>
        <v>1080</v>
      </c>
      <c r="AA7" s="4">
        <f>IF(Graphs!$B$14="Yes",G7,$Y$47)</f>
        <v>52.074684846765514</v>
      </c>
      <c r="AB7" s="4">
        <f>IF(Graphs!$B$14="Yes",H7,$Y$47)</f>
        <v>0.11349164826085259</v>
      </c>
      <c r="AC7" s="4">
        <f>IF(Graphs!$B$14="Yes",I7,$Y$47)</f>
        <v>2.3942383837593342</v>
      </c>
      <c r="AD7" s="4">
        <f>IF(Graphs!$B$14="Yes",J7,$Y$47)</f>
        <v>13.369509839929233</v>
      </c>
      <c r="AE7" s="4">
        <f>IF(Graphs!$B$14="Yes",K7,$Y$47)</f>
        <v>5.3963458473740822</v>
      </c>
      <c r="AF7" s="4">
        <f>IF(Graphs!$B$14="Yes",L7,$Y$47)</f>
        <v>6.1372765450259594</v>
      </c>
      <c r="AG7" s="4">
        <f>IF(Graphs!$B$14="Yes",M7,$Y$47)</f>
        <v>16.184123789084531</v>
      </c>
      <c r="AH7" s="27">
        <f>IF(Graphs!$B$14="Yes",N7,$Y$47)</f>
        <v>3.0619132789614021</v>
      </c>
    </row>
    <row r="8" spans="1:34" x14ac:dyDescent="0.25">
      <c r="A8" s="3">
        <v>2</v>
      </c>
      <c r="B8" s="3" t="s">
        <v>29</v>
      </c>
      <c r="C8" s="3">
        <v>2349.3181433392606</v>
      </c>
      <c r="D8" s="4">
        <v>0.57999999999999996</v>
      </c>
      <c r="E8" s="3">
        <f t="shared" si="0"/>
        <v>1080</v>
      </c>
      <c r="F8" s="4">
        <f>((2*C8*'String Lengths'!E8)^2)*E8/1000000000000</f>
        <v>215.18630225743473</v>
      </c>
      <c r="G8" s="4">
        <f t="shared" si="1"/>
        <v>56.853930101941721</v>
      </c>
      <c r="H8" s="4">
        <f>PI()*(D8^2)*E8*'String Lengths'!E8*C8/2000000000</f>
        <v>0.12736938669257095</v>
      </c>
      <c r="I8" s="4">
        <f>4*G8/'String Lengths'!E8</f>
        <v>2.3938496885028093</v>
      </c>
      <c r="J8" s="4">
        <f t="shared" si="2"/>
        <v>12.895481176864882</v>
      </c>
      <c r="K8" s="4">
        <f>J8*(PI()^3)*(D8^4)/(0.128*G8*('String Lengths'!E8^2)*$K$47)</f>
        <v>5.3212814601888638</v>
      </c>
      <c r="L8" s="4">
        <f>0.008*('String Lengths'!E8^2)*C8*SQRT('Misc ref'!$B$9*E8/(J8*1000000000))/(PI()*D8)</f>
        <v>6.1804125440548656</v>
      </c>
      <c r="M8" s="4">
        <f t="shared" si="3"/>
        <v>14.519755323069653</v>
      </c>
      <c r="N8" s="4">
        <f t="shared" si="4"/>
        <v>3.4070885449914847</v>
      </c>
      <c r="W8" s="36">
        <f>IF(Graphs!$B$14="Yes",F8,$Y$47)</f>
        <v>215.18630225743473</v>
      </c>
      <c r="Y8" s="26">
        <f>IF(Graphs!$B$14="Yes",D8,$Y$47)</f>
        <v>0.57999999999999996</v>
      </c>
      <c r="Z8" s="3">
        <f>IF(Graphs!$B$14="Yes",E8,$Y$47)</f>
        <v>1080</v>
      </c>
      <c r="AA8" s="4">
        <f>IF(Graphs!$B$14="Yes",G8,$Y$47)</f>
        <v>56.853930101941721</v>
      </c>
      <c r="AB8" s="4">
        <f>IF(Graphs!$B$14="Yes",H8,$Y$47)</f>
        <v>0.12736938669257095</v>
      </c>
      <c r="AC8" s="4">
        <f>IF(Graphs!$B$14="Yes",I8,$Y$47)</f>
        <v>2.3938496885028093</v>
      </c>
      <c r="AD8" s="4">
        <f>IF(Graphs!$B$14="Yes",J8,$Y$47)</f>
        <v>12.895481176864882</v>
      </c>
      <c r="AE8" s="4">
        <f>IF(Graphs!$B$14="Yes",K8,$Y$47)</f>
        <v>5.3212814601888638</v>
      </c>
      <c r="AF8" s="4">
        <f>IF(Graphs!$B$14="Yes",L8,$Y$47)</f>
        <v>6.1804125440548656</v>
      </c>
      <c r="AG8" s="4">
        <f>IF(Graphs!$B$14="Yes",M8,$Y$47)</f>
        <v>14.519755323069653</v>
      </c>
      <c r="AH8" s="27">
        <f>IF(Graphs!$B$14="Yes",N8,$Y$47)</f>
        <v>3.4070885449914847</v>
      </c>
    </row>
    <row r="9" spans="1:34" x14ac:dyDescent="0.25">
      <c r="A9" s="3">
        <v>3</v>
      </c>
      <c r="B9" s="3" t="s">
        <v>30</v>
      </c>
      <c r="C9" s="3">
        <v>2093.0045224047894</v>
      </c>
      <c r="D9" s="4">
        <v>0.6</v>
      </c>
      <c r="E9" s="3">
        <f t="shared" si="0"/>
        <v>1080</v>
      </c>
      <c r="F9" s="4">
        <f>((2*C9*'String Lengths'!E9)^2)*E9/1000000000000</f>
        <v>200.76986625665938</v>
      </c>
      <c r="G9" s="4">
        <f t="shared" si="1"/>
        <v>56.766342320471374</v>
      </c>
      <c r="H9" s="4">
        <f>PI()*(D9^2)*E9*'String Lengths'!E9*C9/2000000000</f>
        <v>0.13165990115939322</v>
      </c>
      <c r="I9" s="4">
        <f>4*G9/'String Lengths'!E9</f>
        <v>2.2045181483678205</v>
      </c>
      <c r="J9" s="4">
        <f t="shared" si="2"/>
        <v>12.334971298469615</v>
      </c>
      <c r="K9" s="4">
        <f>J9*(PI()^3)*(D9^4)/(0.128*G9*('String Lengths'!E9^2)*$K$47)</f>
        <v>4.9665200159331793</v>
      </c>
      <c r="L9" s="4">
        <f>0.008*('String Lengths'!E9^2)*C9*SQRT('Misc ref'!$B$9*E9/(J9*1000000000))/(PI()*D9)</f>
        <v>6.3973407786066501</v>
      </c>
      <c r="M9" s="4">
        <f t="shared" si="3"/>
        <v>13.389663180988295</v>
      </c>
      <c r="N9" s="4">
        <f t="shared" si="4"/>
        <v>3.4876309692161778</v>
      </c>
      <c r="W9" s="36">
        <f>IF(Graphs!$B$14="Yes",F9,$Y$47)</f>
        <v>200.76986625665938</v>
      </c>
      <c r="Y9" s="26">
        <f>IF(Graphs!$B$14="Yes",D9,$Y$47)</f>
        <v>0.6</v>
      </c>
      <c r="Z9" s="3">
        <f>IF(Graphs!$B$14="Yes",E9,$Y$47)</f>
        <v>1080</v>
      </c>
      <c r="AA9" s="4">
        <f>IF(Graphs!$B$14="Yes",G9,$Y$47)</f>
        <v>56.766342320471374</v>
      </c>
      <c r="AB9" s="4">
        <f>IF(Graphs!$B$14="Yes",H9,$Y$47)</f>
        <v>0.13165990115939322</v>
      </c>
      <c r="AC9" s="4">
        <f>IF(Graphs!$B$14="Yes",I9,$Y$47)</f>
        <v>2.2045181483678205</v>
      </c>
      <c r="AD9" s="4">
        <f>IF(Graphs!$B$14="Yes",J9,$Y$47)</f>
        <v>12.334971298469615</v>
      </c>
      <c r="AE9" s="4">
        <f>IF(Graphs!$B$14="Yes",K9,$Y$47)</f>
        <v>4.9665200159331793</v>
      </c>
      <c r="AF9" s="4">
        <f>IF(Graphs!$B$14="Yes",L9,$Y$47)</f>
        <v>6.3973407786066501</v>
      </c>
      <c r="AG9" s="4">
        <f>IF(Graphs!$B$14="Yes",M9,$Y$47)</f>
        <v>13.389663180988295</v>
      </c>
      <c r="AH9" s="27">
        <f>IF(Graphs!$B$14="Yes",N9,$Y$47)</f>
        <v>3.4876309692161778</v>
      </c>
    </row>
    <row r="10" spans="1:34" x14ac:dyDescent="0.25">
      <c r="A10" s="3">
        <v>4</v>
      </c>
      <c r="B10" s="3" t="s">
        <v>31</v>
      </c>
      <c r="C10" s="3">
        <v>1975.5332050244965</v>
      </c>
      <c r="D10" s="4">
        <v>0.63</v>
      </c>
      <c r="E10" s="3">
        <f t="shared" si="0"/>
        <v>1080</v>
      </c>
      <c r="F10" s="4">
        <f>((2*C10*'String Lengths'!E10)^2)*E10/1000000000000</f>
        <v>215.28278414095828</v>
      </c>
      <c r="G10" s="4">
        <f t="shared" si="1"/>
        <v>67.108924930005443</v>
      </c>
      <c r="H10" s="4">
        <f>PI()*(D10^2)*E10*'String Lengths'!E10*C10/2000000000</f>
        <v>0.15030987328016418</v>
      </c>
      <c r="I10" s="4">
        <f>4*G10/'String Lengths'!E10</f>
        <v>2.3755371656639097</v>
      </c>
      <c r="J10" s="4">
        <f t="shared" si="2"/>
        <v>12.899232384777726</v>
      </c>
      <c r="K10" s="4">
        <f>J10*(PI()^3)*(D10^4)/(0.128*G10*('String Lengths'!E10^2)*$K$47)</f>
        <v>4.4367330885702554</v>
      </c>
      <c r="L10" s="4">
        <f>0.008*('String Lengths'!E10^2)*C10*SQRT('Misc ref'!$B$9*E10/(J10*1000000000))/(PI()*D10)</f>
        <v>6.7685233180877917</v>
      </c>
      <c r="M10" s="4">
        <f t="shared" si="3"/>
        <v>13.371442563865015</v>
      </c>
      <c r="N10" s="4">
        <f t="shared" si="4"/>
        <v>4.0210071660813771</v>
      </c>
      <c r="W10" s="36">
        <f>IF(Graphs!$B$14="Yes",F10,$Y$47)</f>
        <v>215.28278414095828</v>
      </c>
      <c r="Y10" s="26">
        <f>IF(Graphs!$B$14="Yes",D10,$Y$47)</f>
        <v>0.63</v>
      </c>
      <c r="Z10" s="3">
        <f>IF(Graphs!$B$14="Yes",E10,$Y$47)</f>
        <v>1080</v>
      </c>
      <c r="AA10" s="4">
        <f>IF(Graphs!$B$14="Yes",G10,$Y$47)</f>
        <v>67.108924930005443</v>
      </c>
      <c r="AB10" s="4">
        <f>IF(Graphs!$B$14="Yes",H10,$Y$47)</f>
        <v>0.15030987328016418</v>
      </c>
      <c r="AC10" s="4">
        <f>IF(Graphs!$B$14="Yes",I10,$Y$47)</f>
        <v>2.3755371656639097</v>
      </c>
      <c r="AD10" s="4">
        <f>IF(Graphs!$B$14="Yes",J10,$Y$47)</f>
        <v>12.899232384777726</v>
      </c>
      <c r="AE10" s="4">
        <f>IF(Graphs!$B$14="Yes",K10,$Y$47)</f>
        <v>4.4367330885702554</v>
      </c>
      <c r="AF10" s="4">
        <f>IF(Graphs!$B$14="Yes",L10,$Y$47)</f>
        <v>6.7685233180877917</v>
      </c>
      <c r="AG10" s="4">
        <f>IF(Graphs!$B$14="Yes",M10,$Y$47)</f>
        <v>13.371442563865015</v>
      </c>
      <c r="AH10" s="27">
        <f>IF(Graphs!$B$14="Yes",N10,$Y$47)</f>
        <v>4.0210071660813771</v>
      </c>
    </row>
    <row r="11" spans="1:34" x14ac:dyDescent="0.25">
      <c r="A11" s="3">
        <v>5</v>
      </c>
      <c r="B11" s="3" t="s">
        <v>32</v>
      </c>
      <c r="C11" s="3">
        <v>1760</v>
      </c>
      <c r="D11" s="4">
        <v>0.66</v>
      </c>
      <c r="E11" s="3">
        <f t="shared" si="0"/>
        <v>1080</v>
      </c>
      <c r="F11" s="4">
        <f>((2*C11*'String Lengths'!E11)^2)*E11/1000000000000</f>
        <v>199.17221068800001</v>
      </c>
      <c r="G11" s="4">
        <f t="shared" si="1"/>
        <v>68.140685179346207</v>
      </c>
      <c r="H11" s="4">
        <f>PI()*(D11^2)*E11*'String Lengths'!E11*C11/2000000000</f>
        <v>0.15867335408752375</v>
      </c>
      <c r="I11" s="4">
        <f>4*G11/'String Lengths'!E11</f>
        <v>2.2341208255523348</v>
      </c>
      <c r="J11" s="4">
        <f t="shared" si="2"/>
        <v>12.272854577772584</v>
      </c>
      <c r="K11" s="4">
        <f>J11*(PI()^3)*(D11^4)/(0.128*G11*('String Lengths'!E11^2)*$K$47)</f>
        <v>4.2960524930142929</v>
      </c>
      <c r="L11" s="4">
        <f>0.008*('String Lengths'!E11^2)*C11*SQRT('Misc ref'!$B$9*E11/(J11*1000000000))/(PI()*D11)</f>
        <v>6.8784532683003512</v>
      </c>
      <c r="M11" s="4">
        <f t="shared" si="3"/>
        <v>12.106077752208618</v>
      </c>
      <c r="N11" s="4">
        <f t="shared" si="4"/>
        <v>4.198782135053567</v>
      </c>
      <c r="W11" s="36">
        <f>IF(Graphs!$B$14="Yes",F11,$Y$47)</f>
        <v>199.17221068800001</v>
      </c>
      <c r="Y11" s="26">
        <f>IF(Graphs!$B$14="Yes",D11,$Y$47)</f>
        <v>0.66</v>
      </c>
      <c r="Z11" s="3">
        <f>IF(Graphs!$B$14="Yes",E11,$Y$47)</f>
        <v>1080</v>
      </c>
      <c r="AA11" s="4">
        <f>IF(Graphs!$B$14="Yes",G11,$Y$47)</f>
        <v>68.140685179346207</v>
      </c>
      <c r="AB11" s="4">
        <f>IF(Graphs!$B$14="Yes",H11,$Y$47)</f>
        <v>0.15867335408752375</v>
      </c>
      <c r="AC11" s="4">
        <f>IF(Graphs!$B$14="Yes",I11,$Y$47)</f>
        <v>2.2341208255523348</v>
      </c>
      <c r="AD11" s="4">
        <f>IF(Graphs!$B$14="Yes",J11,$Y$47)</f>
        <v>12.272854577772584</v>
      </c>
      <c r="AE11" s="4">
        <f>IF(Graphs!$B$14="Yes",K11,$Y$47)</f>
        <v>4.2960524930142929</v>
      </c>
      <c r="AF11" s="4">
        <f>IF(Graphs!$B$14="Yes",L11,$Y$47)</f>
        <v>6.8784532683003512</v>
      </c>
      <c r="AG11" s="4">
        <f>IF(Graphs!$B$14="Yes",M11,$Y$47)</f>
        <v>12.106077752208618</v>
      </c>
      <c r="AH11" s="27">
        <f>IF(Graphs!$B$14="Yes",N11,$Y$47)</f>
        <v>4.198782135053567</v>
      </c>
    </row>
    <row r="12" spans="1:34" x14ac:dyDescent="0.25">
      <c r="A12" s="3">
        <v>6</v>
      </c>
      <c r="B12" s="3" t="s">
        <v>33</v>
      </c>
      <c r="C12" s="3">
        <v>1567.9817439269971</v>
      </c>
      <c r="D12" s="4">
        <v>0.68</v>
      </c>
      <c r="E12" s="3">
        <f t="shared" si="0"/>
        <v>1080</v>
      </c>
      <c r="F12" s="4">
        <f>((2*C12*'String Lengths'!E12)^2)*E12/1000000000000</f>
        <v>187.87501682565798</v>
      </c>
      <c r="G12" s="4">
        <f t="shared" si="1"/>
        <v>68.230214918634317</v>
      </c>
      <c r="H12" s="4">
        <f>PI()*(D12^2)*E12*'String Lengths'!E12*C12/2000000000</f>
        <v>0.16358900118369579</v>
      </c>
      <c r="I12" s="4">
        <f>4*G12/'String Lengths'!E12</f>
        <v>2.0520365389062953</v>
      </c>
      <c r="J12" s="4">
        <f t="shared" si="2"/>
        <v>11.833620584180235</v>
      </c>
      <c r="K12" s="4">
        <f>J12*(PI()^3)*(D12^4)/(0.128*G12*('String Lengths'!E12^2)*$K$47)</f>
        <v>3.9223620352799431</v>
      </c>
      <c r="L12" s="4">
        <f>0.008*('String Lengths'!E12^2)*C12*SQRT('Misc ref'!$B$9*E12/(J12*1000000000))/(PI()*D12)</f>
        <v>7.1986613341727654</v>
      </c>
      <c r="M12" s="4">
        <f t="shared" si="3"/>
        <v>11.287369552696056</v>
      </c>
      <c r="N12" s="4">
        <f t="shared" si="4"/>
        <v>4.2975936309479801</v>
      </c>
      <c r="W12" s="36">
        <f>IF(Graphs!$B$14="Yes",F12,$Y$47)</f>
        <v>187.87501682565798</v>
      </c>
      <c r="Y12" s="26">
        <f>IF(Graphs!$B$14="Yes",D12,$Y$47)</f>
        <v>0.68</v>
      </c>
      <c r="Z12" s="3">
        <f>IF(Graphs!$B$14="Yes",E12,$Y$47)</f>
        <v>1080</v>
      </c>
      <c r="AA12" s="4">
        <f>IF(Graphs!$B$14="Yes",G12,$Y$47)</f>
        <v>68.230214918634317</v>
      </c>
      <c r="AB12" s="4">
        <f>IF(Graphs!$B$14="Yes",H12,$Y$47)</f>
        <v>0.16358900118369579</v>
      </c>
      <c r="AC12" s="4">
        <f>IF(Graphs!$B$14="Yes",I12,$Y$47)</f>
        <v>2.0520365389062953</v>
      </c>
      <c r="AD12" s="4">
        <f>IF(Graphs!$B$14="Yes",J12,$Y$47)</f>
        <v>11.833620584180235</v>
      </c>
      <c r="AE12" s="4">
        <f>IF(Graphs!$B$14="Yes",K12,$Y$47)</f>
        <v>3.9223620352799431</v>
      </c>
      <c r="AF12" s="4">
        <f>IF(Graphs!$B$14="Yes",L12,$Y$47)</f>
        <v>7.1986613341727654</v>
      </c>
      <c r="AG12" s="4">
        <f>IF(Graphs!$B$14="Yes",M12,$Y$47)</f>
        <v>11.287369552696056</v>
      </c>
      <c r="AH12" s="27">
        <f>IF(Graphs!$B$14="Yes",N12,$Y$47)</f>
        <v>4.2975936309479801</v>
      </c>
    </row>
    <row r="13" spans="1:34" x14ac:dyDescent="0.25">
      <c r="A13" s="2">
        <v>7</v>
      </c>
      <c r="B13" s="2" t="s">
        <v>34</v>
      </c>
      <c r="C13" s="2">
        <v>1396.9129257320155</v>
      </c>
      <c r="D13" s="15">
        <v>0.71</v>
      </c>
      <c r="E13" s="2">
        <f t="shared" si="0"/>
        <v>1080</v>
      </c>
      <c r="F13" s="15">
        <f>((2*C13*'String Lengths'!E13)^2)*E13/1000000000000</f>
        <v>174.80240472812719</v>
      </c>
      <c r="G13" s="15">
        <f t="shared" si="1"/>
        <v>69.207630714751076</v>
      </c>
      <c r="H13" s="15">
        <f>PI()*(D13^2)*E13*'String Lengths'!E13*C13/2000000000</f>
        <v>0.17202523427806549</v>
      </c>
      <c r="I13" s="15">
        <f>4*G13/'String Lengths'!E13</f>
        <v>1.9224341865208632</v>
      </c>
      <c r="J13" s="15">
        <f t="shared" si="2"/>
        <v>11.325358471637205</v>
      </c>
      <c r="K13" s="15">
        <f>J13*(PI()^3)*(D13^4)/(0.128*G13*('String Lengths'!E13^2)*$K$47)</f>
        <v>3.752155191434472</v>
      </c>
      <c r="L13" s="15">
        <f>0.008*('String Lengths'!E13^2)*C13*SQRT('Misc ref'!$B$9*E13/(J13*1000000000))/(PI()*D13)</f>
        <v>7.360124900687576</v>
      </c>
      <c r="M13" s="15">
        <f t="shared" si="3"/>
        <v>10.281453608772543</v>
      </c>
      <c r="N13" s="15">
        <f t="shared" si="4"/>
        <v>4.4839270262689075</v>
      </c>
      <c r="W13" s="36">
        <f>IF(Graphs!$B$14="Yes",F13,$Y$47)</f>
        <v>174.80240472812719</v>
      </c>
      <c r="Y13" s="26">
        <f>IF(Graphs!$B$14="Yes",D13,$Y$47)</f>
        <v>0.71</v>
      </c>
      <c r="Z13" s="3">
        <f>IF(Graphs!$B$14="Yes",E13,$Y$47)</f>
        <v>1080</v>
      </c>
      <c r="AA13" s="4">
        <f>IF(Graphs!$B$14="Yes",G13,$Y$47)</f>
        <v>69.207630714751076</v>
      </c>
      <c r="AB13" s="4">
        <f>IF(Graphs!$B$14="Yes",H13,$Y$47)</f>
        <v>0.17202523427806549</v>
      </c>
      <c r="AC13" s="4">
        <f>IF(Graphs!$B$14="Yes",I13,$Y$47)</f>
        <v>1.9224341865208632</v>
      </c>
      <c r="AD13" s="4">
        <f>IF(Graphs!$B$14="Yes",J13,$Y$47)</f>
        <v>11.325358471637205</v>
      </c>
      <c r="AE13" s="4">
        <f>IF(Graphs!$B$14="Yes",K13,$Y$47)</f>
        <v>3.752155191434472</v>
      </c>
      <c r="AF13" s="4">
        <f>IF(Graphs!$B$14="Yes",L13,$Y$47)</f>
        <v>7.360124900687576</v>
      </c>
      <c r="AG13" s="4">
        <f>IF(Graphs!$B$14="Yes",M13,$Y$47)</f>
        <v>10.281453608772543</v>
      </c>
      <c r="AH13" s="27">
        <f>IF(Graphs!$B$14="Yes",N13,$Y$47)</f>
        <v>4.4839270262689075</v>
      </c>
    </row>
    <row r="14" spans="1:34" x14ac:dyDescent="0.25">
      <c r="A14" s="3">
        <v>8</v>
      </c>
      <c r="B14" s="3" t="s">
        <v>35</v>
      </c>
      <c r="C14" s="3">
        <v>1318.5102276514797</v>
      </c>
      <c r="D14" s="4">
        <v>0.74</v>
      </c>
      <c r="E14" s="3">
        <f t="shared" si="0"/>
        <v>1080</v>
      </c>
      <c r="F14" s="4">
        <f>((2*C14*'String Lengths'!E14)^2)*E14/1000000000000</f>
        <v>178.1115956561562</v>
      </c>
      <c r="G14" s="4">
        <f t="shared" si="1"/>
        <v>76.602953611214176</v>
      </c>
      <c r="H14" s="4">
        <f>PI()*(D14^2)*E14*'String Lengths'!E14*C14/2000000000</f>
        <v>0.1886302306437925</v>
      </c>
      <c r="I14" s="4">
        <f>4*G14/'String Lengths'!E14</f>
        <v>1.9896871067847839</v>
      </c>
      <c r="J14" s="4">
        <f t="shared" si="2"/>
        <v>11.4540195501837</v>
      </c>
      <c r="K14" s="4">
        <f>J14*(PI()^3)*(D14^4)/(0.128*G14*('String Lengths'!E14^2)*$K$47)</f>
        <v>3.5373028872580328</v>
      </c>
      <c r="L14" s="4">
        <f>0.008*('String Lengths'!E14^2)*C14*SQRT('Misc ref'!$B$9*E14/(J14*1000000000))/(PI()*D14)</f>
        <v>7.5803534575767646</v>
      </c>
      <c r="M14" s="4">
        <f t="shared" si="3"/>
        <v>9.99477356302822</v>
      </c>
      <c r="N14" s="4">
        <f t="shared" si="4"/>
        <v>4.9261909368242511</v>
      </c>
      <c r="W14" s="36">
        <f>IF(Graphs!$B$14="Yes",F14,$Y$47)</f>
        <v>178.1115956561562</v>
      </c>
      <c r="Y14" s="26">
        <f>IF(Graphs!$B$14="Yes",D14,$Y$47)</f>
        <v>0.74</v>
      </c>
      <c r="Z14" s="3">
        <f>IF(Graphs!$B$14="Yes",E14,$Y$47)</f>
        <v>1080</v>
      </c>
      <c r="AA14" s="4">
        <f>IF(Graphs!$B$14="Yes",G14,$Y$47)</f>
        <v>76.602953611214176</v>
      </c>
      <c r="AB14" s="4">
        <f>IF(Graphs!$B$14="Yes",H14,$Y$47)</f>
        <v>0.1886302306437925</v>
      </c>
      <c r="AC14" s="4">
        <f>IF(Graphs!$B$14="Yes",I14,$Y$47)</f>
        <v>1.9896871067847839</v>
      </c>
      <c r="AD14" s="4">
        <f>IF(Graphs!$B$14="Yes",J14,$Y$47)</f>
        <v>11.4540195501837</v>
      </c>
      <c r="AE14" s="4">
        <f>IF(Graphs!$B$14="Yes",K14,$Y$47)</f>
        <v>3.5373028872580328</v>
      </c>
      <c r="AF14" s="4">
        <f>IF(Graphs!$B$14="Yes",L14,$Y$47)</f>
        <v>7.5803534575767646</v>
      </c>
      <c r="AG14" s="4">
        <f>IF(Graphs!$B$14="Yes",M14,$Y$47)</f>
        <v>9.99477356302822</v>
      </c>
      <c r="AH14" s="27">
        <f>IF(Graphs!$B$14="Yes",N14,$Y$47)</f>
        <v>4.9261909368242511</v>
      </c>
    </row>
    <row r="15" spans="1:34" x14ac:dyDescent="0.25">
      <c r="A15" s="3">
        <v>9</v>
      </c>
      <c r="B15" s="3" t="s">
        <v>36</v>
      </c>
      <c r="C15" s="3">
        <v>1174.6590716696303</v>
      </c>
      <c r="D15" s="4">
        <v>0.76</v>
      </c>
      <c r="E15" s="3">
        <f t="shared" si="0"/>
        <v>1080</v>
      </c>
      <c r="F15" s="4">
        <f>((2*C15*'String Lengths'!E15)^2)*E15/1000000000000</f>
        <v>170.24753403807742</v>
      </c>
      <c r="G15" s="4">
        <f t="shared" si="1"/>
        <v>77.23210928140584</v>
      </c>
      <c r="H15" s="4">
        <f>PI()*(D15^2)*E15*'String Lengths'!E15*C15/2000000000</f>
        <v>0.19452228331502752</v>
      </c>
      <c r="I15" s="4">
        <f>4*G15/'String Lengths'!E15</f>
        <v>1.8279789179030967</v>
      </c>
      <c r="J15" s="4">
        <f t="shared" si="2"/>
        <v>11.148265463597728</v>
      </c>
      <c r="K15" s="4">
        <f>J15*(PI()^3)*(D15^4)/(0.128*G15*('String Lengths'!E15^2)*$K$47)</f>
        <v>3.1547487142854171</v>
      </c>
      <c r="L15" s="4">
        <f>0.008*('String Lengths'!E15^2)*C15*SQRT('Misc ref'!$B$9*E15/(J15*1000000000))/(PI()*D15)</f>
        <v>8.0268139118473805</v>
      </c>
      <c r="M15" s="4">
        <f t="shared" si="3"/>
        <v>9.4287697781555178</v>
      </c>
      <c r="N15" s="4">
        <f t="shared" si="4"/>
        <v>5.0573658023741537</v>
      </c>
      <c r="W15" s="36">
        <f>IF(Graphs!$B$14="Yes",F15,$Y$47)</f>
        <v>170.24753403807742</v>
      </c>
      <c r="Y15" s="26">
        <f>IF(Graphs!$B$14="Yes",D15,$Y$47)</f>
        <v>0.76</v>
      </c>
      <c r="Z15" s="3">
        <f>IF(Graphs!$B$14="Yes",E15,$Y$47)</f>
        <v>1080</v>
      </c>
      <c r="AA15" s="4">
        <f>IF(Graphs!$B$14="Yes",G15,$Y$47)</f>
        <v>77.23210928140584</v>
      </c>
      <c r="AB15" s="4">
        <f>IF(Graphs!$B$14="Yes",H15,$Y$47)</f>
        <v>0.19452228331502752</v>
      </c>
      <c r="AC15" s="4">
        <f>IF(Graphs!$B$14="Yes",I15,$Y$47)</f>
        <v>1.8279789179030967</v>
      </c>
      <c r="AD15" s="4">
        <f>IF(Graphs!$B$14="Yes",J15,$Y$47)</f>
        <v>11.148265463597728</v>
      </c>
      <c r="AE15" s="4">
        <f>IF(Graphs!$B$14="Yes",K15,$Y$47)</f>
        <v>3.1547487142854171</v>
      </c>
      <c r="AF15" s="4">
        <f>IF(Graphs!$B$14="Yes",L15,$Y$47)</f>
        <v>8.0268139118473805</v>
      </c>
      <c r="AG15" s="4">
        <f>IF(Graphs!$B$14="Yes",M15,$Y$47)</f>
        <v>9.4287697781555178</v>
      </c>
      <c r="AH15" s="27">
        <f>IF(Graphs!$B$14="Yes",N15,$Y$47)</f>
        <v>5.0573658023741537</v>
      </c>
    </row>
    <row r="16" spans="1:34" x14ac:dyDescent="0.25">
      <c r="A16" s="3">
        <v>10</v>
      </c>
      <c r="B16" s="3" t="s">
        <v>37</v>
      </c>
      <c r="C16" s="3">
        <v>1046.5022612023947</v>
      </c>
      <c r="D16" s="4">
        <v>0.79</v>
      </c>
      <c r="E16" s="3">
        <f t="shared" si="0"/>
        <v>1080</v>
      </c>
      <c r="F16" s="4">
        <f>((2*C16*'String Lengths'!E16)^2)*E16/1000000000000</f>
        <v>156.71366410325163</v>
      </c>
      <c r="G16" s="4">
        <f t="shared" si="1"/>
        <v>76.815865617167162</v>
      </c>
      <c r="H16" s="4">
        <f>PI()*(D16^2)*E16*'String Lengths'!E16*C16/2000000000</f>
        <v>0.20165517617409751</v>
      </c>
      <c r="I16" s="4">
        <f>4*G16/'String Lengths'!E16</f>
        <v>1.6882607827948828</v>
      </c>
      <c r="J16" s="4">
        <f t="shared" si="2"/>
        <v>10.622069683241294</v>
      </c>
      <c r="K16" s="4">
        <f>J16*(PI()^3)*(D16^4)/(0.128*G16*('String Lengths'!E16^2)*$K$47)</f>
        <v>3.042273209268207</v>
      </c>
      <c r="L16" s="4">
        <f>0.008*('String Lengths'!E16^2)*C16*SQRT('Misc ref'!$B$9*E16/(J16*1000000000))/(PI()*D16)</f>
        <v>8.173846435433429</v>
      </c>
      <c r="M16" s="4">
        <f t="shared" si="3"/>
        <v>8.5539487774022174</v>
      </c>
      <c r="N16" s="4">
        <f t="shared" si="4"/>
        <v>5.206587964317265</v>
      </c>
      <c r="W16" s="36">
        <f>IF(Graphs!$B$14="Yes",F16,$Y$47)</f>
        <v>156.71366410325163</v>
      </c>
      <c r="Y16" s="26">
        <f>IF(Graphs!$B$14="Yes",D16,$Y$47)</f>
        <v>0.79</v>
      </c>
      <c r="Z16" s="3">
        <f>IF(Graphs!$B$14="Yes",E16,$Y$47)</f>
        <v>1080</v>
      </c>
      <c r="AA16" s="4">
        <f>IF(Graphs!$B$14="Yes",G16,$Y$47)</f>
        <v>76.815865617167162</v>
      </c>
      <c r="AB16" s="4">
        <f>IF(Graphs!$B$14="Yes",H16,$Y$47)</f>
        <v>0.20165517617409751</v>
      </c>
      <c r="AC16" s="4">
        <f>IF(Graphs!$B$14="Yes",I16,$Y$47)</f>
        <v>1.6882607827948828</v>
      </c>
      <c r="AD16" s="4">
        <f>IF(Graphs!$B$14="Yes",J16,$Y$47)</f>
        <v>10.622069683241294</v>
      </c>
      <c r="AE16" s="4">
        <f>IF(Graphs!$B$14="Yes",K16,$Y$47)</f>
        <v>3.042273209268207</v>
      </c>
      <c r="AF16" s="4">
        <f>IF(Graphs!$B$14="Yes",L16,$Y$47)</f>
        <v>8.173846435433429</v>
      </c>
      <c r="AG16" s="4">
        <f>IF(Graphs!$B$14="Yes",M16,$Y$47)</f>
        <v>8.5539487774022174</v>
      </c>
      <c r="AH16" s="27">
        <f>IF(Graphs!$B$14="Yes",N16,$Y$47)</f>
        <v>5.206587964317265</v>
      </c>
    </row>
    <row r="17" spans="1:34" x14ac:dyDescent="0.25">
      <c r="A17" s="3">
        <v>11</v>
      </c>
      <c r="B17" s="3" t="s">
        <v>38</v>
      </c>
      <c r="C17" s="3">
        <v>987.76660251224826</v>
      </c>
      <c r="D17" s="4">
        <v>0.82</v>
      </c>
      <c r="E17" s="3">
        <f t="shared" si="0"/>
        <v>1080</v>
      </c>
      <c r="F17" s="4">
        <f>((2*C17*'String Lengths'!E17)^2)*E17/1000000000000</f>
        <v>163.57799298548144</v>
      </c>
      <c r="G17" s="4">
        <f t="shared" si="1"/>
        <v>86.385820278866589</v>
      </c>
      <c r="H17" s="4">
        <f>PI()*(D17^2)*E17*'String Lengths'!E17*C17/2000000000</f>
        <v>0.22196878331778955</v>
      </c>
      <c r="I17" s="4">
        <f>4*G17/'String Lengths'!E17</f>
        <v>1.7540268076927226</v>
      </c>
      <c r="J17" s="4">
        <f t="shared" si="2"/>
        <v>10.888954241036078</v>
      </c>
      <c r="K17" s="4">
        <f>J17*(PI()^3)*(D17^4)/(0.128*G17*('String Lengths'!E17^2)*$K$47)</f>
        <v>2.7475213446541087</v>
      </c>
      <c r="L17" s="4">
        <f>0.008*('String Lengths'!E17^2)*C17*SQRT('Misc ref'!$B$9*E17/(J17*1000000000))/(PI()*D17)</f>
        <v>8.6011207203975584</v>
      </c>
      <c r="M17" s="4">
        <f t="shared" si="3"/>
        <v>8.4958997917847974</v>
      </c>
      <c r="N17" s="4">
        <f t="shared" si="4"/>
        <v>5.7504755188825039</v>
      </c>
      <c r="W17" s="36">
        <f>IF(Graphs!$B$14="Yes",F17,$Y$47)</f>
        <v>163.57799298548144</v>
      </c>
      <c r="Y17" s="26">
        <f>IF(Graphs!$B$14="Yes",D17,$Y$47)</f>
        <v>0.82</v>
      </c>
      <c r="Z17" s="3">
        <f>IF(Graphs!$B$14="Yes",E17,$Y$47)</f>
        <v>1080</v>
      </c>
      <c r="AA17" s="4">
        <f>IF(Graphs!$B$14="Yes",G17,$Y$47)</f>
        <v>86.385820278866589</v>
      </c>
      <c r="AB17" s="4">
        <f>IF(Graphs!$B$14="Yes",H17,$Y$47)</f>
        <v>0.22196878331778955</v>
      </c>
      <c r="AC17" s="4">
        <f>IF(Graphs!$B$14="Yes",I17,$Y$47)</f>
        <v>1.7540268076927226</v>
      </c>
      <c r="AD17" s="4">
        <f>IF(Graphs!$B$14="Yes",J17,$Y$47)</f>
        <v>10.888954241036078</v>
      </c>
      <c r="AE17" s="4">
        <f>IF(Graphs!$B$14="Yes",K17,$Y$47)</f>
        <v>2.7475213446541087</v>
      </c>
      <c r="AF17" s="4">
        <f>IF(Graphs!$B$14="Yes",L17,$Y$47)</f>
        <v>8.6011207203975584</v>
      </c>
      <c r="AG17" s="4">
        <f>IF(Graphs!$B$14="Yes",M17,$Y$47)</f>
        <v>8.4958997917847974</v>
      </c>
      <c r="AH17" s="27">
        <f>IF(Graphs!$B$14="Yes",N17,$Y$47)</f>
        <v>5.7504755188825039</v>
      </c>
    </row>
    <row r="18" spans="1:34" x14ac:dyDescent="0.25">
      <c r="A18" s="3">
        <v>12</v>
      </c>
      <c r="B18" s="3" t="s">
        <v>39</v>
      </c>
      <c r="C18" s="3">
        <v>880</v>
      </c>
      <c r="D18" s="4">
        <v>0.84</v>
      </c>
      <c r="E18" s="3">
        <f t="shared" si="0"/>
        <v>1080</v>
      </c>
      <c r="F18" s="4">
        <f>((2*C18*'String Lengths'!E18)^2)*E18/1000000000000</f>
        <v>151.77781555199999</v>
      </c>
      <c r="G18" s="4">
        <f t="shared" si="1"/>
        <v>84.11176600375471</v>
      </c>
      <c r="H18" s="4">
        <f>PI()*(D18^2)*E18*'String Lengths'!E18*C18/2000000000</f>
        <v>0.22436984102580751</v>
      </c>
      <c r="I18" s="4">
        <f>4*G18/'String Lengths'!E18</f>
        <v>1.5795636808216846</v>
      </c>
      <c r="J18" s="4">
        <f t="shared" si="2"/>
        <v>10.430164286436515</v>
      </c>
      <c r="K18" s="4">
        <f>J18*(PI()^3)*(D18^4)/(0.128*G18*('String Lengths'!E18^2)*$K$47)</f>
        <v>2.5460489053739876</v>
      </c>
      <c r="L18" s="4">
        <f>0.008*('String Lengths'!E18^2)*C18*SQRT('Misc ref'!$B$9*E18/(J18*1000000000))/(PI()*D18)</f>
        <v>8.9349517168475927</v>
      </c>
      <c r="M18" s="4">
        <f t="shared" si="3"/>
        <v>7.8627575108258814</v>
      </c>
      <c r="N18" s="4">
        <f t="shared" si="4"/>
        <v>5.7801565706478311</v>
      </c>
      <c r="W18" s="36">
        <f>IF(Graphs!$B$14="Yes",F18,$Y$47)</f>
        <v>151.77781555199999</v>
      </c>
      <c r="Y18" s="26">
        <f>IF(Graphs!$B$14="Yes",D18,$Y$47)</f>
        <v>0.84</v>
      </c>
      <c r="Z18" s="3">
        <f>IF(Graphs!$B$14="Yes",E18,$Y$47)</f>
        <v>1080</v>
      </c>
      <c r="AA18" s="4">
        <f>IF(Graphs!$B$14="Yes",G18,$Y$47)</f>
        <v>84.11176600375471</v>
      </c>
      <c r="AB18" s="4">
        <f>IF(Graphs!$B$14="Yes",H18,$Y$47)</f>
        <v>0.22436984102580751</v>
      </c>
      <c r="AC18" s="4">
        <f>IF(Graphs!$B$14="Yes",I18,$Y$47)</f>
        <v>1.5795636808216846</v>
      </c>
      <c r="AD18" s="4">
        <f>IF(Graphs!$B$14="Yes",J18,$Y$47)</f>
        <v>10.430164286436515</v>
      </c>
      <c r="AE18" s="4">
        <f>IF(Graphs!$B$14="Yes",K18,$Y$47)</f>
        <v>2.5460489053739876</v>
      </c>
      <c r="AF18" s="4">
        <f>IF(Graphs!$B$14="Yes",L18,$Y$47)</f>
        <v>8.9349517168475927</v>
      </c>
      <c r="AG18" s="4">
        <f>IF(Graphs!$B$14="Yes",M18,$Y$47)</f>
        <v>7.8627575108258814</v>
      </c>
      <c r="AH18" s="27">
        <f>IF(Graphs!$B$14="Yes",N18,$Y$47)</f>
        <v>5.7801565706478311</v>
      </c>
    </row>
    <row r="19" spans="1:34" x14ac:dyDescent="0.25">
      <c r="A19" s="3">
        <v>13</v>
      </c>
      <c r="B19" s="3" t="s">
        <v>40</v>
      </c>
      <c r="C19" s="3">
        <v>783.99087196349853</v>
      </c>
      <c r="D19" s="4">
        <v>0.88</v>
      </c>
      <c r="E19" s="3">
        <f t="shared" si="0"/>
        <v>1080</v>
      </c>
      <c r="F19" s="4">
        <f>((2*C19*'String Lengths'!E19)^2)*E19/1000000000000</f>
        <v>141.68690673347754</v>
      </c>
      <c r="G19" s="4">
        <f t="shared" si="1"/>
        <v>86.175724770807022</v>
      </c>
      <c r="H19" s="4">
        <f>PI()*(D19^2)*E19*'String Lengths'!E19*C19/2000000000</f>
        <v>0.23792055426206415</v>
      </c>
      <c r="I19" s="4">
        <f>4*G19/'String Lengths'!E19</f>
        <v>1.4922203423516367</v>
      </c>
      <c r="J19" s="4">
        <f t="shared" si="2"/>
        <v>10.037830558845068</v>
      </c>
      <c r="K19" s="4">
        <f>J19*(PI()^3)*(D19^4)/(0.128*G19*('String Lengths'!E19^2)*$K$47)</f>
        <v>2.4492665484582679</v>
      </c>
      <c r="L19" s="4">
        <f>0.008*('String Lengths'!E19^2)*C19*SQRT('Misc ref'!$B$9*E19/(J19*1000000000))/(PI()*D19)</f>
        <v>9.1097729994127814</v>
      </c>
      <c r="M19" s="4">
        <f t="shared" si="3"/>
        <v>7.1419788771991612</v>
      </c>
      <c r="N19" s="4">
        <f t="shared" si="4"/>
        <v>6.1051323899828187</v>
      </c>
      <c r="W19" s="36">
        <f>IF(Graphs!$B$14="Yes",F19,$Y$47)</f>
        <v>141.68690673347754</v>
      </c>
      <c r="Y19" s="26">
        <f>IF(Graphs!$B$14="Yes",D19,$Y$47)</f>
        <v>0.88</v>
      </c>
      <c r="Z19" s="3">
        <f>IF(Graphs!$B$14="Yes",E19,$Y$47)</f>
        <v>1080</v>
      </c>
      <c r="AA19" s="4">
        <f>IF(Graphs!$B$14="Yes",G19,$Y$47)</f>
        <v>86.175724770807022</v>
      </c>
      <c r="AB19" s="4">
        <f>IF(Graphs!$B$14="Yes",H19,$Y$47)</f>
        <v>0.23792055426206415</v>
      </c>
      <c r="AC19" s="4">
        <f>IF(Graphs!$B$14="Yes",I19,$Y$47)</f>
        <v>1.4922203423516367</v>
      </c>
      <c r="AD19" s="4">
        <f>IF(Graphs!$B$14="Yes",J19,$Y$47)</f>
        <v>10.037830558845068</v>
      </c>
      <c r="AE19" s="4">
        <f>IF(Graphs!$B$14="Yes",K19,$Y$47)</f>
        <v>2.4492665484582679</v>
      </c>
      <c r="AF19" s="4">
        <f>IF(Graphs!$B$14="Yes",L19,$Y$47)</f>
        <v>9.1097729994127814</v>
      </c>
      <c r="AG19" s="4">
        <f>IF(Graphs!$B$14="Yes",M19,$Y$47)</f>
        <v>7.1419788771991612</v>
      </c>
      <c r="AH19" s="27">
        <f>IF(Graphs!$B$14="Yes",N19,$Y$47)</f>
        <v>6.1051323899828187</v>
      </c>
    </row>
    <row r="20" spans="1:34" x14ac:dyDescent="0.25">
      <c r="A20" s="2">
        <v>14</v>
      </c>
      <c r="B20" s="2" t="s">
        <v>41</v>
      </c>
      <c r="C20" s="2">
        <v>698.45646286600777</v>
      </c>
      <c r="D20" s="15">
        <v>0.94</v>
      </c>
      <c r="E20" s="2">
        <f t="shared" si="0"/>
        <v>1080</v>
      </c>
      <c r="F20" s="15">
        <f>((2*C20*'String Lengths'!E20)^2)*E20/1000000000000</f>
        <v>131.71718624020963</v>
      </c>
      <c r="G20" s="15">
        <f t="shared" si="1"/>
        <v>91.408805391806823</v>
      </c>
      <c r="H20" s="15">
        <f>PI()*(D20^2)*E20*'String Lengths'!E20*C20/2000000000</f>
        <v>0.26174517740654862</v>
      </c>
      <c r="I20" s="15">
        <f>4*G20/'String Lengths'!E20</f>
        <v>1.4625408862689091</v>
      </c>
      <c r="J20" s="15">
        <f t="shared" si="2"/>
        <v>9.6502086236444509</v>
      </c>
      <c r="K20" s="15">
        <f>J20*(PI()^3)*(D20^4)/(0.128*G20*('String Lengths'!E20^2)*$K$47)</f>
        <v>2.4674847234410726</v>
      </c>
      <c r="L20" s="15">
        <f>0.008*('String Lengths'!E20^2)*C20*SQRT('Misc ref'!$B$9*E20/(J20*1000000000))/(PI()*D20)</f>
        <v>9.0760806096482511</v>
      </c>
      <c r="M20" s="15">
        <f t="shared" si="3"/>
        <v>6.339247159301677</v>
      </c>
      <c r="N20" s="15">
        <f t="shared" si="4"/>
        <v>6.6970307159489453</v>
      </c>
      <c r="W20" s="36">
        <f>IF(Graphs!$B$14="Yes",F20,$Y$47)</f>
        <v>131.71718624020963</v>
      </c>
      <c r="Y20" s="26">
        <f>IF(Graphs!$B$14="Yes",D20,$Y$47)</f>
        <v>0.94</v>
      </c>
      <c r="Z20" s="3">
        <f>IF(Graphs!$B$14="Yes",E20,$Y$47)</f>
        <v>1080</v>
      </c>
      <c r="AA20" s="4">
        <f>IF(Graphs!$B$14="Yes",G20,$Y$47)</f>
        <v>91.408805391806823</v>
      </c>
      <c r="AB20" s="4">
        <f>IF(Graphs!$B$14="Yes",H20,$Y$47)</f>
        <v>0.26174517740654862</v>
      </c>
      <c r="AC20" s="4">
        <f>IF(Graphs!$B$14="Yes",I20,$Y$47)</f>
        <v>1.4625408862689091</v>
      </c>
      <c r="AD20" s="4">
        <f>IF(Graphs!$B$14="Yes",J20,$Y$47)</f>
        <v>9.6502086236444509</v>
      </c>
      <c r="AE20" s="4">
        <f>IF(Graphs!$B$14="Yes",K20,$Y$47)</f>
        <v>2.4674847234410726</v>
      </c>
      <c r="AF20" s="4">
        <f>IF(Graphs!$B$14="Yes",L20,$Y$47)</f>
        <v>9.0760806096482511</v>
      </c>
      <c r="AG20" s="4">
        <f>IF(Graphs!$B$14="Yes",M20,$Y$47)</f>
        <v>6.339247159301677</v>
      </c>
      <c r="AH20" s="27">
        <f>IF(Graphs!$B$14="Yes",N20,$Y$47)</f>
        <v>6.6970307159489453</v>
      </c>
    </row>
    <row r="21" spans="1:34" x14ac:dyDescent="0.25">
      <c r="A21" s="3">
        <v>15</v>
      </c>
      <c r="B21" s="3" t="s">
        <v>42</v>
      </c>
      <c r="C21" s="3">
        <v>659.25511382573984</v>
      </c>
      <c r="D21" s="4">
        <v>0.99</v>
      </c>
      <c r="E21" s="3">
        <f t="shared" si="0"/>
        <v>1080</v>
      </c>
      <c r="F21" s="4">
        <f>((2*C21*'String Lengths'!E21)^2)*E21/1000000000000</f>
        <v>138.90841934796197</v>
      </c>
      <c r="G21" s="4">
        <f t="shared" si="1"/>
        <v>106.9273589293489</v>
      </c>
      <c r="H21" s="4">
        <f>PI()*(D21^2)*E21*'String Lengths'!E21*C21/2000000000</f>
        <v>0.29815111171465364</v>
      </c>
      <c r="I21" s="4">
        <f>4*G21/'String Lengths'!E21</f>
        <v>1.5724611607257191</v>
      </c>
      <c r="J21" s="4">
        <f t="shared" si="2"/>
        <v>9.9298031915752141</v>
      </c>
      <c r="K21" s="4">
        <f>J21*(PI()^3)*(D21^4)/(0.128*G21*('String Lengths'!E21^2)*$K$47)</f>
        <v>2.2559484820837157</v>
      </c>
      <c r="L21" s="4">
        <f>0.008*('String Lengths'!E21^2)*C21*SQRT('Misc ref'!$B$9*E21/(J21*1000000000))/(PI()*D21)</f>
        <v>9.4920713024761394</v>
      </c>
      <c r="M21" s="4">
        <f t="shared" si="3"/>
        <v>6.2576965469559456</v>
      </c>
      <c r="N21" s="4">
        <f t="shared" si="4"/>
        <v>7.6436520906890237</v>
      </c>
      <c r="W21" s="36">
        <f>IF(Graphs!$B$14="Yes",F21,$Y$47)</f>
        <v>138.90841934796197</v>
      </c>
      <c r="Y21" s="26">
        <f>IF(Graphs!$B$14="Yes",D21,$Y$47)</f>
        <v>0.99</v>
      </c>
      <c r="Z21" s="3">
        <f>IF(Graphs!$B$14="Yes",E21,$Y$47)</f>
        <v>1080</v>
      </c>
      <c r="AA21" s="4">
        <f>IF(Graphs!$B$14="Yes",G21,$Y$47)</f>
        <v>106.9273589293489</v>
      </c>
      <c r="AB21" s="4">
        <f>IF(Graphs!$B$14="Yes",H21,$Y$47)</f>
        <v>0.29815111171465364</v>
      </c>
      <c r="AC21" s="4">
        <f>IF(Graphs!$B$14="Yes",I21,$Y$47)</f>
        <v>1.5724611607257191</v>
      </c>
      <c r="AD21" s="4">
        <f>IF(Graphs!$B$14="Yes",J21,$Y$47)</f>
        <v>9.9298031915752141</v>
      </c>
      <c r="AE21" s="4">
        <f>IF(Graphs!$B$14="Yes",K21,$Y$47)</f>
        <v>2.2559484820837157</v>
      </c>
      <c r="AF21" s="4">
        <f>IF(Graphs!$B$14="Yes",L21,$Y$47)</f>
        <v>9.4920713024761394</v>
      </c>
      <c r="AG21" s="4">
        <f>IF(Graphs!$B$14="Yes",M21,$Y$47)</f>
        <v>6.2576965469559456</v>
      </c>
      <c r="AH21" s="27">
        <f>IF(Graphs!$B$14="Yes",N21,$Y$47)</f>
        <v>7.6436520906890237</v>
      </c>
    </row>
    <row r="22" spans="1:34" x14ac:dyDescent="0.25">
      <c r="A22" s="3">
        <v>16</v>
      </c>
      <c r="B22" s="3" t="s">
        <v>43</v>
      </c>
      <c r="C22" s="3">
        <v>587.32953583481515</v>
      </c>
      <c r="D22" s="4">
        <v>1.05</v>
      </c>
      <c r="E22" s="3">
        <f t="shared" si="0"/>
        <v>1080</v>
      </c>
      <c r="F22" s="4">
        <f>((2*C22*'String Lengths'!E22)^2)*E22/1000000000000</f>
        <v>127.93302536356312</v>
      </c>
      <c r="G22" s="4">
        <f t="shared" si="1"/>
        <v>110.77739538215987</v>
      </c>
      <c r="H22" s="4">
        <f>PI()*(D22^2)*E22*'String Lengths'!E22*C22/2000000000</f>
        <v>0.32186347242292956</v>
      </c>
      <c r="I22" s="4">
        <f>4*G22/'String Lengths'!E22</f>
        <v>1.5123193908827286</v>
      </c>
      <c r="J22" s="4">
        <f t="shared" si="2"/>
        <v>9.5030807514933038</v>
      </c>
      <c r="K22" s="4">
        <f>J22*(PI()^3)*(D22^4)/(0.128*G22*('String Lengths'!E22^2)*$K$47)</f>
        <v>2.2725300360212541</v>
      </c>
      <c r="L22" s="4">
        <f>0.008*('String Lengths'!E22^2)*C22*SQRT('Misc ref'!$B$9*E22/(J22*1000000000))/(PI()*D22)</f>
        <v>9.4573783726303233</v>
      </c>
      <c r="M22" s="4">
        <f t="shared" si="3"/>
        <v>5.5545976498111873</v>
      </c>
      <c r="N22" s="4">
        <f t="shared" si="4"/>
        <v>8.2287316411466325</v>
      </c>
      <c r="W22" s="36">
        <f>IF(Graphs!$B$14="Yes",F22,$Y$47)</f>
        <v>127.93302536356312</v>
      </c>
      <c r="Y22" s="26">
        <f>IF(Graphs!$B$14="Yes",D22,$Y$47)</f>
        <v>1.05</v>
      </c>
      <c r="Z22" s="3">
        <f>IF(Graphs!$B$14="Yes",E22,$Y$47)</f>
        <v>1080</v>
      </c>
      <c r="AA22" s="4">
        <f>IF(Graphs!$B$14="Yes",G22,$Y$47)</f>
        <v>110.77739538215987</v>
      </c>
      <c r="AB22" s="4">
        <f>IF(Graphs!$B$14="Yes",H22,$Y$47)</f>
        <v>0.32186347242292956</v>
      </c>
      <c r="AC22" s="4">
        <f>IF(Graphs!$B$14="Yes",I22,$Y$47)</f>
        <v>1.5123193908827286</v>
      </c>
      <c r="AD22" s="4">
        <f>IF(Graphs!$B$14="Yes",J22,$Y$47)</f>
        <v>9.5030807514933038</v>
      </c>
      <c r="AE22" s="4">
        <f>IF(Graphs!$B$14="Yes",K22,$Y$47)</f>
        <v>2.2725300360212541</v>
      </c>
      <c r="AF22" s="4">
        <f>IF(Graphs!$B$14="Yes",L22,$Y$47)</f>
        <v>9.4573783726303233</v>
      </c>
      <c r="AG22" s="4">
        <f>IF(Graphs!$B$14="Yes",M22,$Y$47)</f>
        <v>5.5545976498111873</v>
      </c>
      <c r="AH22" s="27">
        <f>IF(Graphs!$B$14="Yes",N22,$Y$47)</f>
        <v>8.2287316411466325</v>
      </c>
    </row>
    <row r="23" spans="1:34" x14ac:dyDescent="0.25">
      <c r="A23" s="3">
        <v>17</v>
      </c>
      <c r="B23" s="3" t="s">
        <v>44</v>
      </c>
      <c r="C23" s="3">
        <v>523.25113060119736</v>
      </c>
      <c r="D23" s="4">
        <v>1.1000000000000001</v>
      </c>
      <c r="E23" s="3">
        <f t="shared" si="0"/>
        <v>1080</v>
      </c>
      <c r="F23" s="4">
        <f>((2*C23*'String Lengths'!E23)^2)*E23/1000000000000</f>
        <v>117.36137936726497</v>
      </c>
      <c r="G23" s="4">
        <f t="shared" si="1"/>
        <v>111.53224828869773</v>
      </c>
      <c r="H23" s="4">
        <f>PI()*(D23^2)*E23*'String Lengths'!E23*C23/2000000000</f>
        <v>0.33833718532162033</v>
      </c>
      <c r="I23" s="4">
        <f>4*G23/'String Lengths'!E23</f>
        <v>1.4162825179517171</v>
      </c>
      <c r="J23" s="4">
        <f t="shared" si="2"/>
        <v>9.0920560008889133</v>
      </c>
      <c r="K23" s="4">
        <f>J23*(PI()^3)*(D23^4)/(0.128*G23*('String Lengths'!E23^2)*$K$47)</f>
        <v>2.2505345505886258</v>
      </c>
      <c r="L23" s="4">
        <f>0.008*('String Lengths'!E23^2)*C23*SQRT('Misc ref'!$B$9*E23/(J23*1000000000))/(PI()*D23)</f>
        <v>9.5034816038694494</v>
      </c>
      <c r="M23" s="4">
        <f t="shared" si="3"/>
        <v>4.9727074938723703</v>
      </c>
      <c r="N23" s="4">
        <f t="shared" si="4"/>
        <v>8.6404697423719306</v>
      </c>
      <c r="W23" s="36">
        <f>IF(Graphs!$B$14="Yes",F23,$Y$47)</f>
        <v>117.36137936726497</v>
      </c>
      <c r="Y23" s="26">
        <f>IF(Graphs!$B$14="Yes",D23,$Y$47)</f>
        <v>1.1000000000000001</v>
      </c>
      <c r="Z23" s="3">
        <f>IF(Graphs!$B$14="Yes",E23,$Y$47)</f>
        <v>1080</v>
      </c>
      <c r="AA23" s="4">
        <f>IF(Graphs!$B$14="Yes",G23,$Y$47)</f>
        <v>111.53224828869773</v>
      </c>
      <c r="AB23" s="4">
        <f>IF(Graphs!$B$14="Yes",H23,$Y$47)</f>
        <v>0.33833718532162033</v>
      </c>
      <c r="AC23" s="4">
        <f>IF(Graphs!$B$14="Yes",I23,$Y$47)</f>
        <v>1.4162825179517171</v>
      </c>
      <c r="AD23" s="4">
        <f>IF(Graphs!$B$14="Yes",J23,$Y$47)</f>
        <v>9.0920560008889133</v>
      </c>
      <c r="AE23" s="4">
        <f>IF(Graphs!$B$14="Yes",K23,$Y$47)</f>
        <v>2.2505345505886258</v>
      </c>
      <c r="AF23" s="4">
        <f>IF(Graphs!$B$14="Yes",L23,$Y$47)</f>
        <v>9.5034816038694494</v>
      </c>
      <c r="AG23" s="4">
        <f>IF(Graphs!$B$14="Yes",M23,$Y$47)</f>
        <v>4.9727074938723703</v>
      </c>
      <c r="AH23" s="27">
        <f>IF(Graphs!$B$14="Yes",N23,$Y$47)</f>
        <v>8.6404697423719306</v>
      </c>
    </row>
    <row r="24" spans="1:34" x14ac:dyDescent="0.25">
      <c r="A24" s="3">
        <v>18</v>
      </c>
      <c r="B24" s="3" t="s">
        <v>45</v>
      </c>
      <c r="C24" s="3">
        <v>493.88330125612413</v>
      </c>
      <c r="D24" s="4">
        <v>1.1399999999999999</v>
      </c>
      <c r="E24" s="3">
        <f t="shared" si="0"/>
        <v>1080</v>
      </c>
      <c r="F24" s="4">
        <f>((2*C24*'String Lengths'!E24)^2)*E24/1000000000000</f>
        <v>122.52964906558253</v>
      </c>
      <c r="G24" s="4">
        <f t="shared" si="1"/>
        <v>125.06643591465995</v>
      </c>
      <c r="H24" s="4">
        <f>PI()*(D24^2)*E24*'String Lengths'!E24*C24/2000000000</f>
        <v>0.37130607650876907</v>
      </c>
      <c r="I24" s="4">
        <f>4*G24/'String Lengths'!E24</f>
        <v>1.4670549667408792</v>
      </c>
      <c r="J24" s="4">
        <f t="shared" si="2"/>
        <v>9.2929979132979241</v>
      </c>
      <c r="K24" s="4">
        <f>J24*(PI()^3)*(D24^4)/(0.128*G24*('String Lengths'!E24^2)*$K$47)</f>
        <v>2.0192966267650827</v>
      </c>
      <c r="L24" s="4">
        <f>0.008*('String Lengths'!E24^2)*C24*SQRT('Misc ref'!$B$9*E24/(J24*1000000000))/(PI()*D24)</f>
        <v>10.032877759264558</v>
      </c>
      <c r="M24" s="4">
        <f t="shared" si="3"/>
        <v>4.9550707888447247</v>
      </c>
      <c r="N24" s="4">
        <f t="shared" si="4"/>
        <v>9.4853950602312356</v>
      </c>
      <c r="W24" s="36">
        <f>IF(Graphs!$B$14="Yes",F24,$Y$47)</f>
        <v>122.52964906558253</v>
      </c>
      <c r="Y24" s="26">
        <f>IF(Graphs!$B$14="Yes",D24,$Y$47)</f>
        <v>1.1399999999999999</v>
      </c>
      <c r="Z24" s="3">
        <f>IF(Graphs!$B$14="Yes",E24,$Y$47)</f>
        <v>1080</v>
      </c>
      <c r="AA24" s="4">
        <f>IF(Graphs!$B$14="Yes",G24,$Y$47)</f>
        <v>125.06643591465995</v>
      </c>
      <c r="AB24" s="4">
        <f>IF(Graphs!$B$14="Yes",H24,$Y$47)</f>
        <v>0.37130607650876907</v>
      </c>
      <c r="AC24" s="4">
        <f>IF(Graphs!$B$14="Yes",I24,$Y$47)</f>
        <v>1.4670549667408792</v>
      </c>
      <c r="AD24" s="4">
        <f>IF(Graphs!$B$14="Yes",J24,$Y$47)</f>
        <v>9.2929979132979241</v>
      </c>
      <c r="AE24" s="4">
        <f>IF(Graphs!$B$14="Yes",K24,$Y$47)</f>
        <v>2.0192966267650827</v>
      </c>
      <c r="AF24" s="4">
        <f>IF(Graphs!$B$14="Yes",L24,$Y$47)</f>
        <v>10.032877759264558</v>
      </c>
      <c r="AG24" s="4">
        <f>IF(Graphs!$B$14="Yes",M24,$Y$47)</f>
        <v>4.9550707888447247</v>
      </c>
      <c r="AH24" s="27">
        <f>IF(Graphs!$B$14="Yes",N24,$Y$47)</f>
        <v>9.4853950602312356</v>
      </c>
    </row>
    <row r="25" spans="1:34" x14ac:dyDescent="0.25">
      <c r="A25" s="3">
        <v>19</v>
      </c>
      <c r="B25" s="3" t="s">
        <v>46</v>
      </c>
      <c r="C25" s="3">
        <v>440</v>
      </c>
      <c r="D25" s="4">
        <v>1.18</v>
      </c>
      <c r="E25" s="3">
        <f t="shared" si="0"/>
        <v>1080</v>
      </c>
      <c r="F25" s="4">
        <f>((2*C25*'String Lengths'!E25)^2)*E25/1000000000000</f>
        <v>112.647414528</v>
      </c>
      <c r="G25" s="4">
        <f t="shared" si="1"/>
        <v>123.18990612360572</v>
      </c>
      <c r="H25" s="4">
        <f>PI()*(D25^2)*E25*'String Lengths'!E25*C25/2000000000</f>
        <v>0.38144013538396615</v>
      </c>
      <c r="I25" s="4">
        <f>4*G25/'String Lengths'!E25</f>
        <v>1.3426692765515611</v>
      </c>
      <c r="J25" s="4">
        <f t="shared" si="2"/>
        <v>8.9087774250554777</v>
      </c>
      <c r="K25" s="4">
        <f>J25*(PI()^3)*(D25^4)/(0.128*G25*('String Lengths'!E25^2)*$K$47)</f>
        <v>1.9476606577047926</v>
      </c>
      <c r="L25" s="4">
        <f>0.008*('String Lengths'!E25^2)*C25*SQRT('Misc ref'!$B$9*E25/(J25*1000000000))/(PI()*D25)</f>
        <v>10.215718916040041</v>
      </c>
      <c r="M25" s="4">
        <f t="shared" si="3"/>
        <v>4.4949163230576179</v>
      </c>
      <c r="N25" s="4">
        <f t="shared" si="4"/>
        <v>9.7425356744063674</v>
      </c>
      <c r="W25" s="36">
        <f>IF(Graphs!$B$14="Yes",F25,$Y$47)</f>
        <v>112.647414528</v>
      </c>
      <c r="Y25" s="26">
        <f>IF(Graphs!$B$14="Yes",D25,$Y$47)</f>
        <v>1.18</v>
      </c>
      <c r="Z25" s="3">
        <f>IF(Graphs!$B$14="Yes",E25,$Y$47)</f>
        <v>1080</v>
      </c>
      <c r="AA25" s="4">
        <f>IF(Graphs!$B$14="Yes",G25,$Y$47)</f>
        <v>123.18990612360572</v>
      </c>
      <c r="AB25" s="4">
        <f>IF(Graphs!$B$14="Yes",H25,$Y$47)</f>
        <v>0.38144013538396615</v>
      </c>
      <c r="AC25" s="4">
        <f>IF(Graphs!$B$14="Yes",I25,$Y$47)</f>
        <v>1.3426692765515611</v>
      </c>
      <c r="AD25" s="4">
        <f>IF(Graphs!$B$14="Yes",J25,$Y$47)</f>
        <v>8.9087774250554777</v>
      </c>
      <c r="AE25" s="4">
        <f>IF(Graphs!$B$14="Yes",K25,$Y$47)</f>
        <v>1.9476606577047926</v>
      </c>
      <c r="AF25" s="4">
        <f>IF(Graphs!$B$14="Yes",L25,$Y$47)</f>
        <v>10.215718916040041</v>
      </c>
      <c r="AG25" s="4">
        <f>IF(Graphs!$B$14="Yes",M25,$Y$47)</f>
        <v>4.4949163230576179</v>
      </c>
      <c r="AH25" s="27">
        <f>IF(Graphs!$B$14="Yes",N25,$Y$47)</f>
        <v>9.7425356744063674</v>
      </c>
    </row>
    <row r="26" spans="1:34" x14ac:dyDescent="0.25">
      <c r="A26" s="3">
        <v>20</v>
      </c>
      <c r="B26" s="3" t="s">
        <v>47</v>
      </c>
      <c r="C26" s="3">
        <v>391.99543598174927</v>
      </c>
      <c r="D26" s="4">
        <v>1.25</v>
      </c>
      <c r="E26" s="3">
        <f t="shared" si="0"/>
        <v>1115</v>
      </c>
      <c r="F26" s="4">
        <f>((2*C26*'String Lengths'!E26)^2)*E26/1000000000000</f>
        <v>108.01346379231865</v>
      </c>
      <c r="G26" s="4">
        <f t="shared" si="1"/>
        <v>132.55246263231851</v>
      </c>
      <c r="H26" s="4">
        <f>PI()*(D26^2)*E26*'String Lengths'!E26*C26/2000000000</f>
        <v>0.42587906089627853</v>
      </c>
      <c r="I26" s="4">
        <f>4*G26/'String Lengths'!E26</f>
        <v>1.3355411852122772</v>
      </c>
      <c r="J26" s="4">
        <f t="shared" si="2"/>
        <v>8.7286097911682461</v>
      </c>
      <c r="K26" s="4">
        <f>J26*(PI()^3)*(D26^4)/(0.128*G26*('String Lengths'!E26^2)*$K$47)</f>
        <v>1.9084936674975184</v>
      </c>
      <c r="L26" s="4">
        <f>0.008*('String Lengths'!E26^2)*C26*SQRT('Misc ref'!$B$9*E26/(J26*1000000000))/(PI()*D26)</f>
        <v>10.320012399263863</v>
      </c>
      <c r="M26" s="4">
        <f t="shared" si="3"/>
        <v>4.0453977597864963</v>
      </c>
      <c r="N26" s="4">
        <f t="shared" si="4"/>
        <v>10.71161577968207</v>
      </c>
      <c r="W26" s="36">
        <f>IF(Graphs!$B$14="Yes",F26,$Y$47)</f>
        <v>108.01346379231865</v>
      </c>
      <c r="Y26" s="26">
        <f>IF(Graphs!$B$14="Yes",D26,$Y$47)</f>
        <v>1.25</v>
      </c>
      <c r="Z26" s="3">
        <f>IF(Graphs!$B$14="Yes",E26,$Y$47)</f>
        <v>1115</v>
      </c>
      <c r="AA26" s="4">
        <f>IF(Graphs!$B$14="Yes",G26,$Y$47)</f>
        <v>132.55246263231851</v>
      </c>
      <c r="AB26" s="4">
        <f>IF(Graphs!$B$14="Yes",H26,$Y$47)</f>
        <v>0.42587906089627853</v>
      </c>
      <c r="AC26" s="4">
        <f>IF(Graphs!$B$14="Yes",I26,$Y$47)</f>
        <v>1.3355411852122772</v>
      </c>
      <c r="AD26" s="4">
        <f>IF(Graphs!$B$14="Yes",J26,$Y$47)</f>
        <v>8.7286097911682461</v>
      </c>
      <c r="AE26" s="4">
        <f>IF(Graphs!$B$14="Yes",K26,$Y$47)</f>
        <v>1.9084936674975184</v>
      </c>
      <c r="AF26" s="4">
        <f>IF(Graphs!$B$14="Yes",L26,$Y$47)</f>
        <v>10.320012399263863</v>
      </c>
      <c r="AG26" s="4">
        <f>IF(Graphs!$B$14="Yes",M26,$Y$47)</f>
        <v>4.0453977597864963</v>
      </c>
      <c r="AH26" s="27">
        <f>IF(Graphs!$B$14="Yes",N26,$Y$47)</f>
        <v>10.71161577968207</v>
      </c>
    </row>
    <row r="27" spans="1:34" x14ac:dyDescent="0.25">
      <c r="A27" s="2">
        <v>21</v>
      </c>
      <c r="B27" s="2" t="s">
        <v>48</v>
      </c>
      <c r="C27" s="2">
        <v>349.22823143300388</v>
      </c>
      <c r="D27" s="15">
        <v>1.32</v>
      </c>
      <c r="E27" s="2">
        <f t="shared" si="0"/>
        <v>1115</v>
      </c>
      <c r="F27" s="15">
        <f>((2*C27*'String Lengths'!E27)^2)*E27/1000000000000</f>
        <v>101.98336569279476</v>
      </c>
      <c r="G27" s="15">
        <f t="shared" si="1"/>
        <v>139.56196783071707</v>
      </c>
      <c r="H27" s="15">
        <f>PI()*(D27^2)*E27*'String Lengths'!E27*C27/2000000000</f>
        <v>0.46146614800197239</v>
      </c>
      <c r="I27" s="15">
        <f>4*G27/'String Lengths'!E27</f>
        <v>1.289256053863437</v>
      </c>
      <c r="J27" s="15">
        <f t="shared" si="2"/>
        <v>8.4941600594666049</v>
      </c>
      <c r="K27" s="15">
        <f>J27*(PI()^3)*(D27^4)/(0.128*G27*('String Lengths'!E27^2)*$K$47)</f>
        <v>1.8439438600394511</v>
      </c>
      <c r="L27" s="15">
        <f>0.008*('String Lengths'!E27^2)*C27*SQRT('Misc ref'!$B$9*E27/(J27*1000000000))/(PI()*D27)</f>
        <v>10.499091809623625</v>
      </c>
      <c r="M27" s="15">
        <f t="shared" si="3"/>
        <v>3.666579264327595</v>
      </c>
      <c r="N27" s="15">
        <f t="shared" si="4"/>
        <v>11.624069130442457</v>
      </c>
      <c r="W27" s="36">
        <f>IF(Graphs!$B$14="Yes",F27,$Y$47)</f>
        <v>101.98336569279476</v>
      </c>
      <c r="Y27" s="26">
        <f>IF(Graphs!$B$14="Yes",D27,$Y$47)</f>
        <v>1.32</v>
      </c>
      <c r="Z27" s="3">
        <f>IF(Graphs!$B$14="Yes",E27,$Y$47)</f>
        <v>1115</v>
      </c>
      <c r="AA27" s="4">
        <f>IF(Graphs!$B$14="Yes",G27,$Y$47)</f>
        <v>139.56196783071707</v>
      </c>
      <c r="AB27" s="4">
        <f>IF(Graphs!$B$14="Yes",H27,$Y$47)</f>
        <v>0.46146614800197239</v>
      </c>
      <c r="AC27" s="4">
        <f>IF(Graphs!$B$14="Yes",I27,$Y$47)</f>
        <v>1.289256053863437</v>
      </c>
      <c r="AD27" s="4">
        <f>IF(Graphs!$B$14="Yes",J27,$Y$47)</f>
        <v>8.4941600594666049</v>
      </c>
      <c r="AE27" s="4">
        <f>IF(Graphs!$B$14="Yes",K27,$Y$47)</f>
        <v>1.8439438600394511</v>
      </c>
      <c r="AF27" s="4">
        <f>IF(Graphs!$B$14="Yes",L27,$Y$47)</f>
        <v>10.499091809623625</v>
      </c>
      <c r="AG27" s="4">
        <f>IF(Graphs!$B$14="Yes",M27,$Y$47)</f>
        <v>3.666579264327595</v>
      </c>
      <c r="AH27" s="27">
        <f>IF(Graphs!$B$14="Yes",N27,$Y$47)</f>
        <v>11.624069130442457</v>
      </c>
    </row>
    <row r="28" spans="1:34" x14ac:dyDescent="0.25">
      <c r="A28" s="3">
        <v>22</v>
      </c>
      <c r="B28" s="3" t="s">
        <v>49</v>
      </c>
      <c r="C28" s="3">
        <v>329.62755691286992</v>
      </c>
      <c r="D28" s="4">
        <v>1.36</v>
      </c>
      <c r="E28" s="3">
        <f t="shared" si="0"/>
        <v>1115</v>
      </c>
      <c r="F28" s="4">
        <f>((2*C28*'String Lengths'!E28)^2)*E28/1000000000000</f>
        <v>106.13865700624406</v>
      </c>
      <c r="G28" s="4">
        <f t="shared" si="1"/>
        <v>154.18470217211399</v>
      </c>
      <c r="H28" s="4">
        <f>PI()*(D28^2)*E28*'String Lengths'!E28*C28/2000000000</f>
        <v>0.49973748388372874</v>
      </c>
      <c r="I28" s="4">
        <f>4*G28/'String Lengths'!E28</f>
        <v>1.3178179672830255</v>
      </c>
      <c r="J28" s="4">
        <f t="shared" si="2"/>
        <v>8.6557174533102081</v>
      </c>
      <c r="K28" s="4">
        <f>J28*(PI()^3)*(D28^4)/(0.128*G28*('String Lengths'!E28^2)*$K$47)</f>
        <v>1.6405902228204561</v>
      </c>
      <c r="L28" s="4">
        <f>0.008*('String Lengths'!E28^2)*C28*SQRT('Misc ref'!$B$9*E28/(J28*1000000000))/(PI()*D28)</f>
        <v>11.130778006287825</v>
      </c>
      <c r="M28" s="4">
        <f t="shared" si="3"/>
        <v>3.6690111607521607</v>
      </c>
      <c r="N28" s="4">
        <f t="shared" si="4"/>
        <v>12.573922218990306</v>
      </c>
      <c r="W28" s="36">
        <f>IF(Graphs!$B$14="Yes",F28,$Y$47)</f>
        <v>106.13865700624406</v>
      </c>
      <c r="Y28" s="26">
        <f>IF(Graphs!$B$14="Yes",D28,$Y$47)</f>
        <v>1.36</v>
      </c>
      <c r="Z28" s="3">
        <f>IF(Graphs!$B$14="Yes",E28,$Y$47)</f>
        <v>1115</v>
      </c>
      <c r="AA28" s="4">
        <f>IF(Graphs!$B$14="Yes",G28,$Y$47)</f>
        <v>154.18470217211399</v>
      </c>
      <c r="AB28" s="4">
        <f>IF(Graphs!$B$14="Yes",H28,$Y$47)</f>
        <v>0.49973748388372874</v>
      </c>
      <c r="AC28" s="4">
        <f>IF(Graphs!$B$14="Yes",I28,$Y$47)</f>
        <v>1.3178179672830255</v>
      </c>
      <c r="AD28" s="4">
        <f>IF(Graphs!$B$14="Yes",J28,$Y$47)</f>
        <v>8.6557174533102081</v>
      </c>
      <c r="AE28" s="4">
        <f>IF(Graphs!$B$14="Yes",K28,$Y$47)</f>
        <v>1.6405902228204561</v>
      </c>
      <c r="AF28" s="4">
        <f>IF(Graphs!$B$14="Yes",L28,$Y$47)</f>
        <v>11.130778006287825</v>
      </c>
      <c r="AG28" s="4">
        <f>IF(Graphs!$B$14="Yes",M28,$Y$47)</f>
        <v>3.6690111607521607</v>
      </c>
      <c r="AH28" s="27">
        <f>IF(Graphs!$B$14="Yes",N28,$Y$47)</f>
        <v>12.573922218990306</v>
      </c>
    </row>
    <row r="29" spans="1:34" x14ac:dyDescent="0.25">
      <c r="A29" s="3">
        <v>23</v>
      </c>
      <c r="B29" s="3" t="s">
        <v>50</v>
      </c>
      <c r="C29" s="3">
        <v>293.66476791740757</v>
      </c>
      <c r="D29" s="4">
        <v>1.42</v>
      </c>
      <c r="E29" s="3">
        <f t="shared" si="0"/>
        <v>1115</v>
      </c>
      <c r="F29" s="4">
        <f>((2*C29*'String Lengths'!E29)^2)*E29/1000000000000</f>
        <v>98.867708568987624</v>
      </c>
      <c r="G29" s="4">
        <f t="shared" si="1"/>
        <v>156.5745019331562</v>
      </c>
      <c r="H29" s="4">
        <f>PI()*(D29^2)*E29*'String Lengths'!E29*C29/2000000000</f>
        <v>0.52581290188472651</v>
      </c>
      <c r="I29" s="4">
        <f>4*G29/'String Lengths'!E29</f>
        <v>1.2353017903996544</v>
      </c>
      <c r="J29" s="4">
        <f t="shared" si="2"/>
        <v>8.3730235597455529</v>
      </c>
      <c r="K29" s="4">
        <f>J29*(PI()^3)*(D29^4)/(0.128*G29*('String Lengths'!E29^2)*$K$47)</f>
        <v>1.5826072091116901</v>
      </c>
      <c r="L29" s="4">
        <f>0.008*('String Lengths'!E29^2)*C29*SQRT('Misc ref'!$B$9*E29/(J29*1000000000))/(PI()*D29)</f>
        <v>11.332846616203254</v>
      </c>
      <c r="M29" s="4">
        <f t="shared" si="3"/>
        <v>3.3280577713909061</v>
      </c>
      <c r="N29" s="4">
        <f t="shared" si="4"/>
        <v>13.26016363196033</v>
      </c>
      <c r="W29" s="36">
        <f>IF(Graphs!$B$14="Yes",F29,$Y$47)</f>
        <v>98.867708568987624</v>
      </c>
      <c r="Y29" s="26">
        <f>IF(Graphs!$B$14="Yes",D29,$Y$47)</f>
        <v>1.42</v>
      </c>
      <c r="Z29" s="3">
        <f>IF(Graphs!$B$14="Yes",E29,$Y$47)</f>
        <v>1115</v>
      </c>
      <c r="AA29" s="4">
        <f>IF(Graphs!$B$14="Yes",G29,$Y$47)</f>
        <v>156.5745019331562</v>
      </c>
      <c r="AB29" s="4">
        <f>IF(Graphs!$B$14="Yes",H29,$Y$47)</f>
        <v>0.52581290188472651</v>
      </c>
      <c r="AC29" s="4">
        <f>IF(Graphs!$B$14="Yes",I29,$Y$47)</f>
        <v>1.2353017903996544</v>
      </c>
      <c r="AD29" s="4">
        <f>IF(Graphs!$B$14="Yes",J29,$Y$47)</f>
        <v>8.3730235597455529</v>
      </c>
      <c r="AE29" s="4">
        <f>IF(Graphs!$B$14="Yes",K29,$Y$47)</f>
        <v>1.5826072091116901</v>
      </c>
      <c r="AF29" s="4">
        <f>IF(Graphs!$B$14="Yes",L29,$Y$47)</f>
        <v>11.332846616203254</v>
      </c>
      <c r="AG29" s="4">
        <f>IF(Graphs!$B$14="Yes",M29,$Y$47)</f>
        <v>3.3280577713909061</v>
      </c>
      <c r="AH29" s="27">
        <f>IF(Graphs!$B$14="Yes",N29,$Y$47)</f>
        <v>13.26016363196033</v>
      </c>
    </row>
    <row r="30" spans="1:34" x14ac:dyDescent="0.25">
      <c r="A30" s="3">
        <v>24</v>
      </c>
      <c r="B30" s="3" t="s">
        <v>51</v>
      </c>
      <c r="C30" s="3">
        <v>261.62556530059868</v>
      </c>
      <c r="D30" s="4">
        <v>1.47</v>
      </c>
      <c r="E30" s="3">
        <f t="shared" si="0"/>
        <v>1115</v>
      </c>
      <c r="F30" s="4">
        <f>((2*C30*'String Lengths'!E30)^2)*E30/1000000000000</f>
        <v>92.346533419502009</v>
      </c>
      <c r="G30" s="4">
        <f t="shared" si="1"/>
        <v>156.72747904457299</v>
      </c>
      <c r="H30" s="4">
        <f>PI()*(D30^2)*E30*'String Lengths'!E30*C30/2000000000</f>
        <v>0.54459328636501281</v>
      </c>
      <c r="I30" s="4">
        <f>4*G30/'String Lengths'!E30</f>
        <v>1.1398362112332581</v>
      </c>
      <c r="J30" s="4">
        <f t="shared" si="2"/>
        <v>8.1194807916275646</v>
      </c>
      <c r="K30" s="4">
        <f>J30*(PI()^3)*(D30^4)/(0.128*G30*('String Lengths'!E30^2)*$K$47)</f>
        <v>1.4962407453377806</v>
      </c>
      <c r="L30" s="4">
        <f>0.008*('String Lengths'!E30^2)*C30*SQRT('Misc ref'!$B$9*E30/(J30*1000000000))/(PI()*D30)</f>
        <v>11.655337187527262</v>
      </c>
      <c r="M30" s="4">
        <f t="shared" si="3"/>
        <v>3.0493341804559098</v>
      </c>
      <c r="N30" s="4">
        <f t="shared" si="4"/>
        <v>13.780113973979256</v>
      </c>
      <c r="W30" s="36">
        <f>IF(Graphs!$B$14="Yes",F30,$Y$47)</f>
        <v>92.346533419502009</v>
      </c>
      <c r="Y30" s="26">
        <f>IF(Graphs!$B$14="Yes",D30,$Y$47)</f>
        <v>1.47</v>
      </c>
      <c r="Z30" s="3">
        <f>IF(Graphs!$B$14="Yes",E30,$Y$47)</f>
        <v>1115</v>
      </c>
      <c r="AA30" s="4">
        <f>IF(Graphs!$B$14="Yes",G30,$Y$47)</f>
        <v>156.72747904457299</v>
      </c>
      <c r="AB30" s="4">
        <f>IF(Graphs!$B$14="Yes",H30,$Y$47)</f>
        <v>0.54459328636501281</v>
      </c>
      <c r="AC30" s="4">
        <f>IF(Graphs!$B$14="Yes",I30,$Y$47)</f>
        <v>1.1398362112332581</v>
      </c>
      <c r="AD30" s="4">
        <f>IF(Graphs!$B$14="Yes",J30,$Y$47)</f>
        <v>8.1194807916275646</v>
      </c>
      <c r="AE30" s="4">
        <f>IF(Graphs!$B$14="Yes",K30,$Y$47)</f>
        <v>1.4962407453377806</v>
      </c>
      <c r="AF30" s="4">
        <f>IF(Graphs!$B$14="Yes",L30,$Y$47)</f>
        <v>11.655337187527262</v>
      </c>
      <c r="AG30" s="4">
        <f>IF(Graphs!$B$14="Yes",M30,$Y$47)</f>
        <v>3.0493341804559098</v>
      </c>
      <c r="AH30" s="27">
        <f>IF(Graphs!$B$14="Yes",N30,$Y$47)</f>
        <v>13.780113973979256</v>
      </c>
    </row>
    <row r="31" spans="1:34" x14ac:dyDescent="0.25">
      <c r="A31" s="3">
        <v>25</v>
      </c>
      <c r="B31" s="3" t="s">
        <v>52</v>
      </c>
      <c r="C31" s="3">
        <v>246.94165062806206</v>
      </c>
      <c r="D31" s="4">
        <v>1.55</v>
      </c>
      <c r="E31" s="3">
        <f t="shared" si="0"/>
        <v>1115</v>
      </c>
      <c r="F31" s="4">
        <f>((2*C31*'String Lengths'!E31)^2)*E31/1000000000000</f>
        <v>97.583681159802595</v>
      </c>
      <c r="G31" s="4">
        <f t="shared" si="1"/>
        <v>184.13251061503192</v>
      </c>
      <c r="H31" s="4">
        <f>PI()*(D31^2)*E31*'String Lengths'!E31*C31/2000000000</f>
        <v>0.62241393866631656</v>
      </c>
      <c r="I31" s="4">
        <f>4*G31/'String Lengths'!E31</f>
        <v>1.2295994031053885</v>
      </c>
      <c r="J31" s="4">
        <f t="shared" si="2"/>
        <v>8.3231006767986315</v>
      </c>
      <c r="K31" s="4">
        <f>J31*(PI()^3)*(D31^4)/(0.128*G31*('String Lengths'!E31^2)*$K$47)</f>
        <v>1.3605115328780986</v>
      </c>
      <c r="L31" s="4">
        <f>0.008*('String Lengths'!E31^2)*C31*SQRT('Misc ref'!$B$9*E31/(J31*1000000000))/(PI()*D31)</f>
        <v>12.222905861704994</v>
      </c>
      <c r="M31" s="4">
        <f t="shared" si="3"/>
        <v>3.0183445489608465</v>
      </c>
      <c r="N31" s="4">
        <f t="shared" si="4"/>
        <v>15.705017534754615</v>
      </c>
      <c r="W31" s="36">
        <f>IF(Graphs!$B$14="Yes",F31,$Y$47)</f>
        <v>97.583681159802595</v>
      </c>
      <c r="Y31" s="26">
        <f>IF(Graphs!$B$14="Yes",D31,$Y$47)</f>
        <v>1.55</v>
      </c>
      <c r="Z31" s="3">
        <f>IF(Graphs!$B$14="Yes",E31,$Y$47)</f>
        <v>1115</v>
      </c>
      <c r="AA31" s="4">
        <f>IF(Graphs!$B$14="Yes",G31,$Y$47)</f>
        <v>184.13251061503192</v>
      </c>
      <c r="AB31" s="4">
        <f>IF(Graphs!$B$14="Yes",H31,$Y$47)</f>
        <v>0.62241393866631656</v>
      </c>
      <c r="AC31" s="4">
        <f>IF(Graphs!$B$14="Yes",I31,$Y$47)</f>
        <v>1.2295994031053885</v>
      </c>
      <c r="AD31" s="4">
        <f>IF(Graphs!$B$14="Yes",J31,$Y$47)</f>
        <v>8.3231006767986315</v>
      </c>
      <c r="AE31" s="4">
        <f>IF(Graphs!$B$14="Yes",K31,$Y$47)</f>
        <v>1.3605115328780986</v>
      </c>
      <c r="AF31" s="4">
        <f>IF(Graphs!$B$14="Yes",L31,$Y$47)</f>
        <v>12.222905861704994</v>
      </c>
      <c r="AG31" s="4">
        <f>IF(Graphs!$B$14="Yes",M31,$Y$47)</f>
        <v>3.0183445489608465</v>
      </c>
      <c r="AH31" s="27">
        <f>IF(Graphs!$B$14="Yes",N31,$Y$47)</f>
        <v>15.705017534754615</v>
      </c>
    </row>
    <row r="32" spans="1:34" x14ac:dyDescent="0.25">
      <c r="A32" s="3">
        <v>26</v>
      </c>
      <c r="B32" s="3" t="s">
        <v>53</v>
      </c>
      <c r="C32" s="3">
        <v>220</v>
      </c>
      <c r="D32" s="4">
        <v>1.67</v>
      </c>
      <c r="E32" s="3">
        <f t="shared" si="0"/>
        <v>1150</v>
      </c>
      <c r="F32" s="4">
        <f>((2*C32*'String Lengths'!E32)^2)*E32/1000000000000</f>
        <v>94.935699760000006</v>
      </c>
      <c r="G32" s="4">
        <f t="shared" si="1"/>
        <v>207.94686605161647</v>
      </c>
      <c r="H32" s="4">
        <f>PI()*(D32^2)*E32*'String Lengths'!E32*C32/2000000000</f>
        <v>0.72374657542675913</v>
      </c>
      <c r="I32" s="4">
        <f>4*G32/'String Lengths'!E32</f>
        <v>1.2737939727510963</v>
      </c>
      <c r="J32" s="4">
        <f t="shared" si="2"/>
        <v>8.2201473718128195</v>
      </c>
      <c r="K32" s="4">
        <f>J32*(PI()^3)*(D32^4)/(0.128*G32*('String Lengths'!E32^2)*$K$47)</f>
        <v>1.3490907131027559</v>
      </c>
      <c r="L32" s="4">
        <f>0.008*('String Lengths'!E32^2)*C32*SQRT('Misc ref'!$B$9*E32/(J32*1000000000))/(PI()*D32)</f>
        <v>12.274533750229999</v>
      </c>
      <c r="M32" s="4">
        <f t="shared" si="3"/>
        <v>2.7003974250505998</v>
      </c>
      <c r="N32" s="4">
        <f t="shared" si="4"/>
        <v>18.005385632298491</v>
      </c>
      <c r="W32" s="36">
        <f>IF(Graphs!$B$14="Yes",F32,$Y$47)</f>
        <v>94.935699760000006</v>
      </c>
      <c r="Y32" s="26">
        <f>IF(Graphs!$B$14="Yes",D32,$Y$47)</f>
        <v>1.67</v>
      </c>
      <c r="Z32" s="3">
        <f>IF(Graphs!$B$14="Yes",E32,$Y$47)</f>
        <v>1150</v>
      </c>
      <c r="AA32" s="4">
        <f>IF(Graphs!$B$14="Yes",G32,$Y$47)</f>
        <v>207.94686605161647</v>
      </c>
      <c r="AB32" s="4">
        <f>IF(Graphs!$B$14="Yes",H32,$Y$47)</f>
        <v>0.72374657542675913</v>
      </c>
      <c r="AC32" s="4">
        <f>IF(Graphs!$B$14="Yes",I32,$Y$47)</f>
        <v>1.2737939727510963</v>
      </c>
      <c r="AD32" s="4">
        <f>IF(Graphs!$B$14="Yes",J32,$Y$47)</f>
        <v>8.2201473718128195</v>
      </c>
      <c r="AE32" s="4">
        <f>IF(Graphs!$B$14="Yes",K32,$Y$47)</f>
        <v>1.3490907131027559</v>
      </c>
      <c r="AF32" s="4">
        <f>IF(Graphs!$B$14="Yes",L32,$Y$47)</f>
        <v>12.274533750229999</v>
      </c>
      <c r="AG32" s="4">
        <f>IF(Graphs!$B$14="Yes",M32,$Y$47)</f>
        <v>2.7003974250505998</v>
      </c>
      <c r="AH32" s="27">
        <f>IF(Graphs!$B$14="Yes",N32,$Y$47)</f>
        <v>18.005385632298491</v>
      </c>
    </row>
    <row r="33" spans="1:34" x14ac:dyDescent="0.25">
      <c r="A33" s="3">
        <v>27</v>
      </c>
      <c r="B33" s="3" t="s">
        <v>54</v>
      </c>
      <c r="C33" s="3">
        <v>195.99771799087463</v>
      </c>
      <c r="D33" s="4">
        <v>1.74</v>
      </c>
      <c r="E33" s="3">
        <f t="shared" si="0"/>
        <v>1150</v>
      </c>
      <c r="F33" s="4">
        <f>((2*C33*'String Lengths'!E33)^2)*E33/1000000000000</f>
        <v>90.085788668639509</v>
      </c>
      <c r="G33" s="4">
        <f t="shared" si="1"/>
        <v>214.21242758361268</v>
      </c>
      <c r="H33" s="4">
        <f>PI()*(D33^2)*E33*'String Lengths'!E33*C33/2000000000</f>
        <v>0.76535943544316642</v>
      </c>
      <c r="I33" s="4">
        <f>4*G33/'String Lengths'!E33</f>
        <v>1.2000696223171579</v>
      </c>
      <c r="J33" s="4">
        <f t="shared" si="2"/>
        <v>8.0315832165736101</v>
      </c>
      <c r="K33" s="4">
        <f>J33*(PI()^3)*(D33^4)/(0.128*G33*('String Lengths'!E33^2)*$K$47)</f>
        <v>1.2613379908898223</v>
      </c>
      <c r="L33" s="4">
        <f>0.008*('String Lengths'!E33^2)*C33*SQRT('Misc ref'!$B$9*E33/(J33*1000000000))/(PI()*D33)</f>
        <v>12.694331707184697</v>
      </c>
      <c r="M33" s="4">
        <f t="shared" si="3"/>
        <v>2.4880600460274045</v>
      </c>
      <c r="N33" s="4">
        <f t="shared" si="4"/>
        <v>19.09807266593824</v>
      </c>
      <c r="W33" s="36">
        <f>IF(Graphs!$B$14="Yes",F33,$Y$47)</f>
        <v>90.085788668639509</v>
      </c>
      <c r="Y33" s="26">
        <f>IF(Graphs!$B$14="Yes",D33,$Y$47)</f>
        <v>1.74</v>
      </c>
      <c r="Z33" s="3">
        <f>IF(Graphs!$B$14="Yes",E33,$Y$47)</f>
        <v>1150</v>
      </c>
      <c r="AA33" s="4">
        <f>IF(Graphs!$B$14="Yes",G33,$Y$47)</f>
        <v>214.21242758361268</v>
      </c>
      <c r="AB33" s="4">
        <f>IF(Graphs!$B$14="Yes",H33,$Y$47)</f>
        <v>0.76535943544316642</v>
      </c>
      <c r="AC33" s="4">
        <f>IF(Graphs!$B$14="Yes",I33,$Y$47)</f>
        <v>1.2000696223171579</v>
      </c>
      <c r="AD33" s="4">
        <f>IF(Graphs!$B$14="Yes",J33,$Y$47)</f>
        <v>8.0315832165736101</v>
      </c>
      <c r="AE33" s="4">
        <f>IF(Graphs!$B$14="Yes",K33,$Y$47)</f>
        <v>1.2613379908898223</v>
      </c>
      <c r="AF33" s="4">
        <f>IF(Graphs!$B$14="Yes",L33,$Y$47)</f>
        <v>12.694331707184697</v>
      </c>
      <c r="AG33" s="4">
        <f>IF(Graphs!$B$14="Yes",M33,$Y$47)</f>
        <v>2.4880600460274045</v>
      </c>
      <c r="AH33" s="27">
        <f>IF(Graphs!$B$14="Yes",N33,$Y$47)</f>
        <v>19.09807266593824</v>
      </c>
    </row>
    <row r="34" spans="1:34" x14ac:dyDescent="0.25">
      <c r="A34" s="2">
        <v>28</v>
      </c>
      <c r="B34" s="2" t="s">
        <v>55</v>
      </c>
      <c r="C34" s="2">
        <v>174.61411571650194</v>
      </c>
      <c r="D34" s="15">
        <v>1.81</v>
      </c>
      <c r="E34" s="2">
        <f t="shared" si="0"/>
        <v>1150</v>
      </c>
      <c r="F34" s="15">
        <f>((2*C34*'String Lengths'!E34)^2)*E34/1000000000000</f>
        <v>84.240305771624833</v>
      </c>
      <c r="G34" s="15">
        <f t="shared" si="1"/>
        <v>216.75392260599682</v>
      </c>
      <c r="H34" s="15">
        <f>PI()*(D34^2)*E34*'String Lengths'!E34*C34/2000000000</f>
        <v>0.8008587382363036</v>
      </c>
      <c r="I34" s="15">
        <f>4*G34/'String Lengths'!E34</f>
        <v>1.1187299231277255</v>
      </c>
      <c r="J34" s="15">
        <f t="shared" si="2"/>
        <v>7.8043113091763114</v>
      </c>
      <c r="K34" s="15">
        <f>J34*(PI()^3)*(D34^4)/(0.128*G34*('String Lengths'!E34^2)*$K$47)</f>
        <v>1.2037960670573475</v>
      </c>
      <c r="L34" s="15">
        <f>0.008*('String Lengths'!E34^2)*C34*SQRT('Misc ref'!$B$9*E34/(J34*1000000000))/(PI()*D34)</f>
        <v>12.994187246659674</v>
      </c>
      <c r="M34" s="15">
        <f t="shared" si="3"/>
        <v>2.2689685155301262</v>
      </c>
      <c r="N34" s="15">
        <f t="shared" si="4"/>
        <v>20.080827983795199</v>
      </c>
      <c r="W34" s="36">
        <f>IF(Graphs!$B$14="Yes",F34,$Y$47)</f>
        <v>84.240305771624833</v>
      </c>
      <c r="Y34" s="26">
        <f>IF(Graphs!$B$14="Yes",D34,$Y$47)</f>
        <v>1.81</v>
      </c>
      <c r="Z34" s="3">
        <f>IF(Graphs!$B$14="Yes",E34,$Y$47)</f>
        <v>1150</v>
      </c>
      <c r="AA34" s="4">
        <f>IF(Graphs!$B$14="Yes",G34,$Y$47)</f>
        <v>216.75392260599682</v>
      </c>
      <c r="AB34" s="4">
        <f>IF(Graphs!$B$14="Yes",H34,$Y$47)</f>
        <v>0.8008587382363036</v>
      </c>
      <c r="AC34" s="4">
        <f>IF(Graphs!$B$14="Yes",I34,$Y$47)</f>
        <v>1.1187299231277255</v>
      </c>
      <c r="AD34" s="4">
        <f>IF(Graphs!$B$14="Yes",J34,$Y$47)</f>
        <v>7.8043113091763114</v>
      </c>
      <c r="AE34" s="4">
        <f>IF(Graphs!$B$14="Yes",K34,$Y$47)</f>
        <v>1.2037960670573475</v>
      </c>
      <c r="AF34" s="4">
        <f>IF(Graphs!$B$14="Yes",L34,$Y$47)</f>
        <v>12.994187246659674</v>
      </c>
      <c r="AG34" s="4">
        <f>IF(Graphs!$B$14="Yes",M34,$Y$47)</f>
        <v>2.2689685155301262</v>
      </c>
      <c r="AH34" s="27">
        <f>IF(Graphs!$B$14="Yes",N34,$Y$47)</f>
        <v>20.080827983795199</v>
      </c>
    </row>
    <row r="35" spans="1:34" x14ac:dyDescent="0.25">
      <c r="A35" s="3">
        <v>29</v>
      </c>
      <c r="B35" s="3" t="s">
        <v>56</v>
      </c>
      <c r="C35" s="3">
        <v>164.81377845643496</v>
      </c>
      <c r="D35" s="4">
        <v>1.9</v>
      </c>
      <c r="E35" s="3">
        <f t="shared" si="0"/>
        <v>1150</v>
      </c>
      <c r="F35" s="4">
        <f>((2*C35*'String Lengths'!E35)^2)*E35/1000000000000</f>
        <v>88.797351561053944</v>
      </c>
      <c r="G35" s="4">
        <f t="shared" si="1"/>
        <v>251.76600935849959</v>
      </c>
      <c r="H35" s="4">
        <f>PI()*(D35^2)*E35*'String Lengths'!E35*C35/2000000000</f>
        <v>0.90603715954133246</v>
      </c>
      <c r="I35" s="4">
        <f>4*G35/'String Lengths'!E35</f>
        <v>1.1946192614875426</v>
      </c>
      <c r="J35" s="4">
        <f t="shared" si="2"/>
        <v>7.9814888849056516</v>
      </c>
      <c r="K35" s="4">
        <f>J35*(PI()^3)*(D35^4)/(0.128*G35*('String Lengths'!E35^2)*$K$47)</f>
        <v>1.0877284256312378</v>
      </c>
      <c r="L35" s="4">
        <f>0.008*('String Lengths'!E35^2)*C35*SQRT('Misc ref'!$B$9*E35/(J35*1000000000))/(PI()*D35)</f>
        <v>13.669900129093422</v>
      </c>
      <c r="M35" s="4">
        <f t="shared" si="3"/>
        <v>2.252987891397995</v>
      </c>
      <c r="N35" s="4">
        <f t="shared" si="4"/>
        <v>22.629814628089186</v>
      </c>
      <c r="W35" s="36">
        <f>IF(Graphs!$B$14="Yes",F35,$Y$47)</f>
        <v>88.797351561053944</v>
      </c>
      <c r="Y35" s="26">
        <f>IF(Graphs!$B$14="Yes",D35,$Y$47)</f>
        <v>1.9</v>
      </c>
      <c r="Z35" s="3">
        <f>IF(Graphs!$B$14="Yes",E35,$Y$47)</f>
        <v>1150</v>
      </c>
      <c r="AA35" s="4">
        <f>IF(Graphs!$B$14="Yes",G35,$Y$47)</f>
        <v>251.76600935849959</v>
      </c>
      <c r="AB35" s="4">
        <f>IF(Graphs!$B$14="Yes",H35,$Y$47)</f>
        <v>0.90603715954133246</v>
      </c>
      <c r="AC35" s="4">
        <f>IF(Graphs!$B$14="Yes",I35,$Y$47)</f>
        <v>1.1946192614875426</v>
      </c>
      <c r="AD35" s="4">
        <f>IF(Graphs!$B$14="Yes",J35,$Y$47)</f>
        <v>7.9814888849056516</v>
      </c>
      <c r="AE35" s="4">
        <f>IF(Graphs!$B$14="Yes",K35,$Y$47)</f>
        <v>1.0877284256312378</v>
      </c>
      <c r="AF35" s="4">
        <f>IF(Graphs!$B$14="Yes",L35,$Y$47)</f>
        <v>13.669900129093422</v>
      </c>
      <c r="AG35" s="4">
        <f>IF(Graphs!$B$14="Yes",M35,$Y$47)</f>
        <v>2.252987891397995</v>
      </c>
      <c r="AH35" s="27">
        <f>IF(Graphs!$B$14="Yes",N35,$Y$47)</f>
        <v>22.629814628089186</v>
      </c>
    </row>
    <row r="36" spans="1:34" x14ac:dyDescent="0.25">
      <c r="A36" s="3">
        <v>30</v>
      </c>
      <c r="B36" s="3" t="s">
        <v>57</v>
      </c>
      <c r="C36" s="3">
        <v>146.83238395870379</v>
      </c>
      <c r="D36" s="4">
        <v>2.0299999999999998</v>
      </c>
      <c r="E36" s="3">
        <f t="shared" si="0"/>
        <v>1150</v>
      </c>
      <c r="F36" s="4">
        <f>((2*C36*'String Lengths'!E36)^2)*E36/1000000000000</f>
        <v>81.586087313982361</v>
      </c>
      <c r="G36" s="4">
        <f t="shared" si="1"/>
        <v>264.05722992378628</v>
      </c>
      <c r="H36" s="4">
        <f>PI()*(D36^2)*E36*'String Lengths'!E36*C36/2000000000</f>
        <v>0.99137720831728493</v>
      </c>
      <c r="I36" s="4">
        <f>4*G36/'String Lengths'!E36</f>
        <v>1.1645302311964114</v>
      </c>
      <c r="J36" s="4">
        <f t="shared" si="2"/>
        <v>7.7011155078806492</v>
      </c>
      <c r="K36" s="4">
        <f>J36*(PI()^3)*(D36^4)/(0.128*G36*('String Lengths'!E36^2)*$K$47)</f>
        <v>1.1264179391463169</v>
      </c>
      <c r="L36" s="4">
        <f>0.008*('String Lengths'!E36^2)*C36*SQRT('Misc ref'!$B$9*E36/(J36*1000000000))/(PI()*D36)</f>
        <v>13.433086197579069</v>
      </c>
      <c r="M36" s="4">
        <f t="shared" si="3"/>
        <v>1.9724120703132941</v>
      </c>
      <c r="N36" s="4">
        <f t="shared" si="4"/>
        <v>24.925024538902797</v>
      </c>
      <c r="W36" s="36">
        <f>IF(Graphs!$B$14="Yes",F36,$Y$47)</f>
        <v>81.586087313982361</v>
      </c>
      <c r="Y36" s="26">
        <f>IF(Graphs!$B$14="Yes",D36,$Y$47)</f>
        <v>2.0299999999999998</v>
      </c>
      <c r="Z36" s="3">
        <f>IF(Graphs!$B$14="Yes",E36,$Y$47)</f>
        <v>1150</v>
      </c>
      <c r="AA36" s="4">
        <f>IF(Graphs!$B$14="Yes",G36,$Y$47)</f>
        <v>264.05722992378628</v>
      </c>
      <c r="AB36" s="4">
        <f>IF(Graphs!$B$14="Yes",H36,$Y$47)</f>
        <v>0.99137720831728493</v>
      </c>
      <c r="AC36" s="4">
        <f>IF(Graphs!$B$14="Yes",I36,$Y$47)</f>
        <v>1.1645302311964114</v>
      </c>
      <c r="AD36" s="4">
        <f>IF(Graphs!$B$14="Yes",J36,$Y$47)</f>
        <v>7.7011155078806492</v>
      </c>
      <c r="AE36" s="4">
        <f>IF(Graphs!$B$14="Yes",K36,$Y$47)</f>
        <v>1.1264179391463169</v>
      </c>
      <c r="AF36" s="4">
        <f>IF(Graphs!$B$14="Yes",L36,$Y$47)</f>
        <v>13.433086197579069</v>
      </c>
      <c r="AG36" s="4">
        <f>IF(Graphs!$B$14="Yes",M36,$Y$47)</f>
        <v>1.9724120703132941</v>
      </c>
      <c r="AH36" s="27">
        <f>IF(Graphs!$B$14="Yes",N36,$Y$47)</f>
        <v>24.925024538902797</v>
      </c>
    </row>
    <row r="37" spans="1:34" x14ac:dyDescent="0.25">
      <c r="A37" s="3">
        <v>31</v>
      </c>
      <c r="B37" s="3" t="s">
        <v>58</v>
      </c>
      <c r="C37" s="3">
        <v>130.81278265029934</v>
      </c>
      <c r="D37" s="4">
        <v>2.09</v>
      </c>
      <c r="E37" s="3">
        <f t="shared" si="0"/>
        <v>1150</v>
      </c>
      <c r="F37" s="4">
        <f>((2*C37*'String Lengths'!E37)^2)*E37/1000000000000</f>
        <v>73.301494030398501</v>
      </c>
      <c r="G37" s="4">
        <f t="shared" si="1"/>
        <v>251.47526826209568</v>
      </c>
      <c r="H37" s="4">
        <f>PI()*(D37^2)*E37*'String Lengths'!E37*C37/2000000000</f>
        <v>0.99606524543835362</v>
      </c>
      <c r="I37" s="4">
        <f>4*G37/'String Lengths'!E37</f>
        <v>1.0423845316563551</v>
      </c>
      <c r="J37" s="4">
        <f t="shared" si="2"/>
        <v>7.3790111837823709</v>
      </c>
      <c r="K37" s="4">
        <f>J37*(PI()^3)*(D37^4)/(0.128*G37*('String Lengths'!E37^2)*$K$47)</f>
        <v>1.1248841895090287</v>
      </c>
      <c r="L37" s="4">
        <f>0.008*('String Lengths'!E37^2)*C37*SQRT('Misc ref'!$B$9*E37/(J37*1000000000))/(PI()*D37)</f>
        <v>13.442240905748834</v>
      </c>
      <c r="M37" s="4">
        <f t="shared" si="3"/>
        <v>1.7584169379366852</v>
      </c>
      <c r="N37" s="4">
        <f t="shared" si="4"/>
        <v>25.3151568258777</v>
      </c>
      <c r="W37" s="36">
        <f>IF(Graphs!$B$14="Yes",F37,$Y$47)</f>
        <v>73.301494030398501</v>
      </c>
      <c r="Y37" s="26">
        <f>IF(Graphs!$B$14="Yes",D37,$Y$47)</f>
        <v>2.09</v>
      </c>
      <c r="Z37" s="3">
        <f>IF(Graphs!$B$14="Yes",E37,$Y$47)</f>
        <v>1150</v>
      </c>
      <c r="AA37" s="4">
        <f>IF(Graphs!$B$14="Yes",G37,$Y$47)</f>
        <v>251.47526826209568</v>
      </c>
      <c r="AB37" s="4">
        <f>IF(Graphs!$B$14="Yes",H37,$Y$47)</f>
        <v>0.99606524543835362</v>
      </c>
      <c r="AC37" s="4">
        <f>IF(Graphs!$B$14="Yes",I37,$Y$47)</f>
        <v>1.0423845316563551</v>
      </c>
      <c r="AD37" s="4">
        <f>IF(Graphs!$B$14="Yes",J37,$Y$47)</f>
        <v>7.3790111837823709</v>
      </c>
      <c r="AE37" s="4">
        <f>IF(Graphs!$B$14="Yes",K37,$Y$47)</f>
        <v>1.1248841895090287</v>
      </c>
      <c r="AF37" s="4">
        <f>IF(Graphs!$B$14="Yes",L37,$Y$47)</f>
        <v>13.442240905748834</v>
      </c>
      <c r="AG37" s="4">
        <f>IF(Graphs!$B$14="Yes",M37,$Y$47)</f>
        <v>1.7584169379366852</v>
      </c>
      <c r="AH37" s="27">
        <f>IF(Graphs!$B$14="Yes",N37,$Y$47)</f>
        <v>25.3151568258777</v>
      </c>
    </row>
    <row r="38" spans="1:34" x14ac:dyDescent="0.25">
      <c r="A38" s="3">
        <v>32</v>
      </c>
      <c r="B38" s="3" t="s">
        <v>59</v>
      </c>
      <c r="C38" s="3">
        <v>123.47082531403103</v>
      </c>
      <c r="D38" s="4">
        <v>2.19</v>
      </c>
      <c r="E38" s="3">
        <f t="shared" si="0"/>
        <v>1150</v>
      </c>
      <c r="F38" s="4">
        <f>((2*C38*'String Lengths'!E38)^2)*E38/1000000000000</f>
        <v>72.674506254712426</v>
      </c>
      <c r="G38" s="4">
        <f t="shared" si="1"/>
        <v>273.75382809110482</v>
      </c>
      <c r="H38" s="4">
        <f>PI()*(D38^2)*E38*'String Lengths'!E38*C38/2000000000</f>
        <v>1.0889754176298272</v>
      </c>
      <c r="I38" s="4">
        <f>4*G38/'String Lengths'!E38</f>
        <v>1.075653548491571</v>
      </c>
      <c r="J38" s="4">
        <f t="shared" si="2"/>
        <v>7.354633949222718</v>
      </c>
      <c r="K38" s="4">
        <f>J38*(PI()^3)*(D38^4)/(0.128*G38*('String Lengths'!E38^2)*$K$47)</f>
        <v>1.1157224480416925</v>
      </c>
      <c r="L38" s="4">
        <f>0.008*('String Lengths'!E38^2)*C38*SQRT('Misc ref'!$B$9*E38/(J38*1000000000))/(PI()*D38)</f>
        <v>13.49731846951318</v>
      </c>
      <c r="M38" s="4">
        <f t="shared" si="3"/>
        <v>1.6665250509571066</v>
      </c>
      <c r="N38" s="4">
        <f t="shared" si="4"/>
        <v>27.70378914927911</v>
      </c>
      <c r="W38" s="36">
        <f>IF(Graphs!$B$14="Yes",F38,$Y$47)</f>
        <v>72.674506254712426</v>
      </c>
      <c r="Y38" s="26">
        <f>IF(Graphs!$B$14="Yes",D38,$Y$47)</f>
        <v>2.19</v>
      </c>
      <c r="Z38" s="3">
        <f>IF(Graphs!$B$14="Yes",E38,$Y$47)</f>
        <v>1150</v>
      </c>
      <c r="AA38" s="4">
        <f>IF(Graphs!$B$14="Yes",G38,$Y$47)</f>
        <v>273.75382809110482</v>
      </c>
      <c r="AB38" s="4">
        <f>IF(Graphs!$B$14="Yes",H38,$Y$47)</f>
        <v>1.0889754176298272</v>
      </c>
      <c r="AC38" s="4">
        <f>IF(Graphs!$B$14="Yes",I38,$Y$47)</f>
        <v>1.075653548491571</v>
      </c>
      <c r="AD38" s="4">
        <f>IF(Graphs!$B$14="Yes",J38,$Y$47)</f>
        <v>7.354633949222718</v>
      </c>
      <c r="AE38" s="4">
        <f>IF(Graphs!$B$14="Yes",K38,$Y$47)</f>
        <v>1.1157224480416925</v>
      </c>
      <c r="AF38" s="4">
        <f>IF(Graphs!$B$14="Yes",L38,$Y$47)</f>
        <v>13.49731846951318</v>
      </c>
      <c r="AG38" s="4">
        <f>IF(Graphs!$B$14="Yes",M38,$Y$47)</f>
        <v>1.6665250509571066</v>
      </c>
      <c r="AH38" s="27">
        <f>IF(Graphs!$B$14="Yes",N38,$Y$47)</f>
        <v>27.70378914927911</v>
      </c>
    </row>
    <row r="39" spans="1:34" x14ac:dyDescent="0.25">
      <c r="A39" s="3">
        <v>33</v>
      </c>
      <c r="B39" s="3" t="s">
        <v>60</v>
      </c>
      <c r="C39" s="3">
        <v>110</v>
      </c>
      <c r="D39" s="4">
        <v>2.29</v>
      </c>
      <c r="E39" s="3">
        <f t="shared" si="0"/>
        <v>1150</v>
      </c>
      <c r="F39" s="4">
        <f>((2*C39*'String Lengths'!E39)^2)*E39/1000000000000</f>
        <v>63.368297740000003</v>
      </c>
      <c r="G39" s="4">
        <f t="shared" si="1"/>
        <v>260.99542034523859</v>
      </c>
      <c r="H39" s="4">
        <f>PI()*(D39^2)*E39*'String Lengths'!E39*C39/2000000000</f>
        <v>1.1118489407226659</v>
      </c>
      <c r="I39" s="4">
        <f>4*G39/'String Lengths'!E39</f>
        <v>0.97842706783594591</v>
      </c>
      <c r="J39" s="4">
        <f t="shared" si="2"/>
        <v>6.9928093066673807</v>
      </c>
      <c r="K39" s="4">
        <f>J39*(PI()^3)*(D39^4)/(0.128*G39*('String Lengths'!E39^2)*$K$47)</f>
        <v>1.210894468629099</v>
      </c>
      <c r="L39" s="4">
        <f>0.008*('String Lengths'!E39^2)*C39*SQRT('Misc ref'!$B$9*E39/(J39*1000000000))/(PI()*D39)</f>
        <v>12.956044560984104</v>
      </c>
      <c r="M39" s="4">
        <f t="shared" si="3"/>
        <v>1.4251649017082513</v>
      </c>
      <c r="N39" s="4">
        <f t="shared" si="4"/>
        <v>28.801329205276986</v>
      </c>
      <c r="W39" s="37">
        <f>IF(Graphs!$B$14="Yes",F39,$Y$47)</f>
        <v>63.368297740000003</v>
      </c>
      <c r="Y39" s="28">
        <f>IF(Graphs!$B$14="Yes",D39,$Y$47)</f>
        <v>2.29</v>
      </c>
      <c r="Z39" s="2">
        <f>IF(Graphs!$B$14="Yes",E39,$Y$47)</f>
        <v>1150</v>
      </c>
      <c r="AA39" s="15">
        <f>IF(Graphs!$B$14="Yes",G39,$Y$47)</f>
        <v>260.99542034523859</v>
      </c>
      <c r="AB39" s="15">
        <f>IF(Graphs!$B$14="Yes",H39,$Y$47)</f>
        <v>1.1118489407226659</v>
      </c>
      <c r="AC39" s="15">
        <f>IF(Graphs!$B$14="Yes",I39,$Y$47)</f>
        <v>0.97842706783594591</v>
      </c>
      <c r="AD39" s="15">
        <f>IF(Graphs!$B$14="Yes",J39,$Y$47)</f>
        <v>6.9928093066673807</v>
      </c>
      <c r="AE39" s="15">
        <f>IF(Graphs!$B$14="Yes",K39,$Y$47)</f>
        <v>1.210894468629099</v>
      </c>
      <c r="AF39" s="15">
        <f>IF(Graphs!$B$14="Yes",L39,$Y$47)</f>
        <v>12.956044560984104</v>
      </c>
      <c r="AG39" s="15">
        <f>IF(Graphs!$B$14="Yes",M39,$Y$47)</f>
        <v>1.4251649017082513</v>
      </c>
      <c r="AH39" s="29">
        <f>IF(Graphs!$B$14="Yes",N39,$Y$47)</f>
        <v>28.801329205276986</v>
      </c>
    </row>
    <row r="41" spans="1:34" x14ac:dyDescent="0.25">
      <c r="D41" s="3" t="s">
        <v>9</v>
      </c>
    </row>
    <row r="46" spans="1:34" x14ac:dyDescent="0.25">
      <c r="D46" s="9" t="s">
        <v>64</v>
      </c>
      <c r="E46" s="10" t="s">
        <v>62</v>
      </c>
    </row>
    <row r="47" spans="1:34" x14ac:dyDescent="0.25">
      <c r="D47" s="11">
        <v>1.18</v>
      </c>
      <c r="E47" s="12">
        <v>1080</v>
      </c>
      <c r="J47" s="19">
        <v>4.5290549599999999</v>
      </c>
      <c r="K47" s="47">
        <f>Gut!$K$127</f>
        <v>1.2946883554665936E-4</v>
      </c>
      <c r="Y47" s="21">
        <v>-100</v>
      </c>
    </row>
    <row r="48" spans="1:34" x14ac:dyDescent="0.25">
      <c r="D48" s="13">
        <v>1.67</v>
      </c>
      <c r="E48" s="18">
        <v>1150</v>
      </c>
      <c r="J48" s="20">
        <v>3.8879919999999998E-2</v>
      </c>
    </row>
    <row r="49" spans="4:5" x14ac:dyDescent="0.25">
      <c r="D49" s="3" t="s">
        <v>65</v>
      </c>
      <c r="E49" s="3">
        <f>AVERAGE(E47:E48)</f>
        <v>1115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D49B-3356-4F7E-B29B-5A522C464CAC}">
  <dimension ref="A1:E39"/>
  <sheetViews>
    <sheetView zoomScale="75" zoomScaleNormal="75" workbookViewId="0">
      <selection activeCell="E20" sqref="E20"/>
    </sheetView>
  </sheetViews>
  <sheetFormatPr defaultRowHeight="15" x14ac:dyDescent="0.25"/>
  <cols>
    <col min="2" max="3" width="11" customWidth="1"/>
  </cols>
  <sheetData>
    <row r="1" spans="1:5" x14ac:dyDescent="0.25">
      <c r="A1" t="s">
        <v>0</v>
      </c>
      <c r="B1" t="s">
        <v>2</v>
      </c>
      <c r="C1" t="s">
        <v>152</v>
      </c>
      <c r="E1" s="7" t="s">
        <v>5</v>
      </c>
    </row>
    <row r="2" spans="1:5" x14ac:dyDescent="0.25">
      <c r="A2" t="s">
        <v>3</v>
      </c>
      <c r="B2" t="s">
        <v>1</v>
      </c>
      <c r="C2" t="s">
        <v>153</v>
      </c>
      <c r="E2" s="8" t="s">
        <v>6</v>
      </c>
    </row>
    <row r="3" spans="1:5" x14ac:dyDescent="0.25">
      <c r="E3" s="8" t="s">
        <v>8</v>
      </c>
    </row>
    <row r="4" spans="1:5" x14ac:dyDescent="0.25">
      <c r="E4" s="8"/>
    </row>
    <row r="5" spans="1:5" x14ac:dyDescent="0.25">
      <c r="A5" s="1" t="s">
        <v>7</v>
      </c>
      <c r="B5" s="3">
        <v>73</v>
      </c>
      <c r="C5" s="42">
        <v>73</v>
      </c>
      <c r="E5" s="6" cm="1">
        <f t="array" ref="E5">IF(Graphs!$B$2=Table1[Column1],B5,IF(Graphs!$B$2=Table1[Column2],C5,0))</f>
        <v>73</v>
      </c>
    </row>
    <row r="6" spans="1:5" s="5" customFormat="1" x14ac:dyDescent="0.25">
      <c r="A6" s="2">
        <v>0</v>
      </c>
      <c r="B6" s="2">
        <v>81</v>
      </c>
      <c r="C6" s="43">
        <v>81</v>
      </c>
      <c r="E6" s="6" cm="1">
        <f t="array" ref="E6">IF(Graphs!$B$2=Table1[Column1],B6,IF(Graphs!$B$2=Table1[Column2],C6,0))</f>
        <v>81</v>
      </c>
    </row>
    <row r="7" spans="1:5" x14ac:dyDescent="0.25">
      <c r="A7" s="3">
        <v>1</v>
      </c>
      <c r="B7" s="3">
        <v>87</v>
      </c>
      <c r="C7" s="44">
        <v>87</v>
      </c>
      <c r="E7" s="6" cm="1">
        <f t="array" ref="E7">IF(Graphs!$B$2=Table1[Column1],B7,IF(Graphs!$B$2=Table1[Column2],C7,0))</f>
        <v>87</v>
      </c>
    </row>
    <row r="8" spans="1:5" x14ac:dyDescent="0.25">
      <c r="A8" s="3">
        <v>2</v>
      </c>
      <c r="B8" s="3">
        <v>95</v>
      </c>
      <c r="C8" s="44">
        <v>95</v>
      </c>
      <c r="E8" s="6" cm="1">
        <f t="array" ref="E8">IF(Graphs!$B$2=Table1[Column1],B8,IF(Graphs!$B$2=Table1[Column2],C8,0))</f>
        <v>95</v>
      </c>
    </row>
    <row r="9" spans="1:5" x14ac:dyDescent="0.25">
      <c r="A9" s="3">
        <v>3</v>
      </c>
      <c r="B9" s="3">
        <v>103</v>
      </c>
      <c r="C9" s="44">
        <v>103</v>
      </c>
      <c r="E9" s="6" cm="1">
        <f t="array" ref="E9">IF(Graphs!$B$2=Table1[Column1],B9,IF(Graphs!$B$2=Table1[Column2],C9,0))</f>
        <v>103</v>
      </c>
    </row>
    <row r="10" spans="1:5" x14ac:dyDescent="0.25">
      <c r="A10" s="3">
        <v>4</v>
      </c>
      <c r="B10" s="3">
        <v>113</v>
      </c>
      <c r="C10" s="44">
        <v>113</v>
      </c>
      <c r="E10" s="6" cm="1">
        <f t="array" ref="E10">IF(Graphs!$B$2=Table1[Column1],B10,IF(Graphs!$B$2=Table1[Column2],C10,0))</f>
        <v>113</v>
      </c>
    </row>
    <row r="11" spans="1:5" x14ac:dyDescent="0.25">
      <c r="A11" s="3">
        <v>5</v>
      </c>
      <c r="B11" s="3">
        <v>122</v>
      </c>
      <c r="C11" s="44">
        <v>122</v>
      </c>
      <c r="E11" s="6" cm="1">
        <f t="array" ref="E11">IF(Graphs!$B$2=Table1[Column1],B11,IF(Graphs!$B$2=Table1[Column2],C11,0))</f>
        <v>122</v>
      </c>
    </row>
    <row r="12" spans="1:5" x14ac:dyDescent="0.25">
      <c r="A12" s="3">
        <v>6</v>
      </c>
      <c r="B12" s="3">
        <v>133</v>
      </c>
      <c r="C12" s="44">
        <v>133</v>
      </c>
      <c r="E12" s="6" cm="1">
        <f t="array" ref="E12">IF(Graphs!$B$2=Table1[Column1],B12,IF(Graphs!$B$2=Table1[Column2],C12,0))</f>
        <v>133</v>
      </c>
    </row>
    <row r="13" spans="1:5" s="5" customFormat="1" x14ac:dyDescent="0.25">
      <c r="A13" s="2">
        <v>7</v>
      </c>
      <c r="B13" s="2">
        <v>144</v>
      </c>
      <c r="C13" s="43">
        <v>144</v>
      </c>
      <c r="E13" s="6" cm="1">
        <f t="array" ref="E13">IF(Graphs!$B$2=Table1[Column1],B13,IF(Graphs!$B$2=Table1[Column2],C13,0))</f>
        <v>144</v>
      </c>
    </row>
    <row r="14" spans="1:5" x14ac:dyDescent="0.25">
      <c r="A14" s="3">
        <v>8</v>
      </c>
      <c r="B14" s="3">
        <v>154</v>
      </c>
      <c r="C14" s="44">
        <v>154</v>
      </c>
      <c r="E14" s="6" cm="1">
        <f t="array" ref="E14">IF(Graphs!$B$2=Table1[Column1],B14,IF(Graphs!$B$2=Table1[Column2],C14,0))</f>
        <v>154</v>
      </c>
    </row>
    <row r="15" spans="1:5" x14ac:dyDescent="0.25">
      <c r="A15" s="3">
        <v>9</v>
      </c>
      <c r="B15" s="3">
        <v>169</v>
      </c>
      <c r="C15" s="44">
        <v>169</v>
      </c>
      <c r="E15" s="6" cm="1">
        <f t="array" ref="E15">IF(Graphs!$B$2=Table1[Column1],B15,IF(Graphs!$B$2=Table1[Column2],C15,0))</f>
        <v>169</v>
      </c>
    </row>
    <row r="16" spans="1:5" x14ac:dyDescent="0.25">
      <c r="A16" s="3">
        <v>10</v>
      </c>
      <c r="B16" s="3">
        <v>182</v>
      </c>
      <c r="C16" s="44">
        <v>182</v>
      </c>
      <c r="E16" s="6" cm="1">
        <f t="array" ref="E16">IF(Graphs!$B$2=Table1[Column1],B16,IF(Graphs!$B$2=Table1[Column2],C16,0))</f>
        <v>182</v>
      </c>
    </row>
    <row r="17" spans="1:5" x14ac:dyDescent="0.25">
      <c r="A17" s="3">
        <v>11</v>
      </c>
      <c r="B17" s="3">
        <v>197</v>
      </c>
      <c r="C17" s="44">
        <v>197</v>
      </c>
      <c r="E17" s="6" cm="1">
        <f t="array" ref="E17">IF(Graphs!$B$2=Table1[Column1],B17,IF(Graphs!$B$2=Table1[Column2],C17,0))</f>
        <v>197</v>
      </c>
    </row>
    <row r="18" spans="1:5" x14ac:dyDescent="0.25">
      <c r="A18" s="3">
        <v>12</v>
      </c>
      <c r="B18" s="3">
        <v>213</v>
      </c>
      <c r="C18" s="44">
        <v>213</v>
      </c>
      <c r="E18" s="6" cm="1">
        <f t="array" ref="E18">IF(Graphs!$B$2=Table1[Column1],B18,IF(Graphs!$B$2=Table1[Column2],C18,0))</f>
        <v>213</v>
      </c>
    </row>
    <row r="19" spans="1:5" x14ac:dyDescent="0.25">
      <c r="A19" s="3">
        <v>13</v>
      </c>
      <c r="B19" s="3">
        <v>231</v>
      </c>
      <c r="C19" s="44">
        <v>231</v>
      </c>
      <c r="E19" s="6" cm="1">
        <f t="array" ref="E19">IF(Graphs!$B$2=Table1[Column1],B19,IF(Graphs!$B$2=Table1[Column2],C19,0))</f>
        <v>231</v>
      </c>
    </row>
    <row r="20" spans="1:5" s="5" customFormat="1" x14ac:dyDescent="0.25">
      <c r="A20" s="2">
        <v>14</v>
      </c>
      <c r="B20" s="2">
        <v>250</v>
      </c>
      <c r="C20" s="43">
        <v>250</v>
      </c>
      <c r="E20" s="6" cm="1">
        <f t="array" ref="E20">IF(Graphs!$B$2=Table1[Column1],B20,IF(Graphs!$B$2=Table1[Column2],C20,0))</f>
        <v>250</v>
      </c>
    </row>
    <row r="21" spans="1:5" x14ac:dyDescent="0.25">
      <c r="A21" s="3">
        <v>15</v>
      </c>
      <c r="B21" s="3">
        <v>272</v>
      </c>
      <c r="C21" s="44">
        <v>272</v>
      </c>
      <c r="E21" s="6" cm="1">
        <f t="array" ref="E21">IF(Graphs!$B$2=Table1[Column1],B21,IF(Graphs!$B$2=Table1[Column2],C21,0))</f>
        <v>272</v>
      </c>
    </row>
    <row r="22" spans="1:5" x14ac:dyDescent="0.25">
      <c r="A22" s="3">
        <v>16</v>
      </c>
      <c r="B22" s="3">
        <v>293</v>
      </c>
      <c r="C22" s="44">
        <v>293</v>
      </c>
      <c r="E22" s="6" cm="1">
        <f t="array" ref="E22">IF(Graphs!$B$2=Table1[Column1],B22,IF(Graphs!$B$2=Table1[Column2],C22,0))</f>
        <v>293</v>
      </c>
    </row>
    <row r="23" spans="1:5" x14ac:dyDescent="0.25">
      <c r="A23" s="3">
        <v>17</v>
      </c>
      <c r="B23" s="3">
        <v>315</v>
      </c>
      <c r="C23" s="44">
        <v>315</v>
      </c>
      <c r="E23" s="6" cm="1">
        <f t="array" ref="E23">IF(Graphs!$B$2=Table1[Column1],B23,IF(Graphs!$B$2=Table1[Column2],C23,0))</f>
        <v>315</v>
      </c>
    </row>
    <row r="24" spans="1:5" x14ac:dyDescent="0.25">
      <c r="A24" s="3">
        <v>18</v>
      </c>
      <c r="B24" s="3">
        <v>341</v>
      </c>
      <c r="C24" s="44">
        <v>341</v>
      </c>
      <c r="E24" s="6" cm="1">
        <f t="array" ref="E24">IF(Graphs!$B$2=Table1[Column1],B24,IF(Graphs!$B$2=Table1[Column2],C24,0))</f>
        <v>341</v>
      </c>
    </row>
    <row r="25" spans="1:5" x14ac:dyDescent="0.25">
      <c r="A25" s="3">
        <v>19</v>
      </c>
      <c r="B25" s="3">
        <v>367</v>
      </c>
      <c r="C25" s="44">
        <v>367</v>
      </c>
      <c r="E25" s="6" cm="1">
        <f t="array" ref="E25">IF(Graphs!$B$2=Table1[Column1],B25,IF(Graphs!$B$2=Table1[Column2],C25,0))</f>
        <v>367</v>
      </c>
    </row>
    <row r="26" spans="1:5" x14ac:dyDescent="0.25">
      <c r="A26" s="3">
        <v>20</v>
      </c>
      <c r="B26" s="3">
        <v>397</v>
      </c>
      <c r="C26" s="44">
        <v>397</v>
      </c>
      <c r="E26" s="6" cm="1">
        <f t="array" ref="E26">IF(Graphs!$B$2=Table1[Column1],B26,IF(Graphs!$B$2=Table1[Column2],C26,0))</f>
        <v>397</v>
      </c>
    </row>
    <row r="27" spans="1:5" s="5" customFormat="1" x14ac:dyDescent="0.25">
      <c r="A27" s="2">
        <v>21</v>
      </c>
      <c r="B27" s="2">
        <v>433</v>
      </c>
      <c r="C27" s="43">
        <v>433</v>
      </c>
      <c r="E27" s="6" cm="1">
        <f t="array" ref="E27">IF(Graphs!$B$2=Table1[Column1],B27,IF(Graphs!$B$2=Table1[Column2],C27,0))</f>
        <v>433</v>
      </c>
    </row>
    <row r="28" spans="1:5" x14ac:dyDescent="0.25">
      <c r="A28" s="3">
        <v>22</v>
      </c>
      <c r="B28" s="3">
        <v>468</v>
      </c>
      <c r="C28" s="44">
        <v>468</v>
      </c>
      <c r="E28" s="6" cm="1">
        <f t="array" ref="E28">IF(Graphs!$B$2=Table1[Column1],B28,IF(Graphs!$B$2=Table1[Column2],C28,0))</f>
        <v>468</v>
      </c>
    </row>
    <row r="29" spans="1:5" x14ac:dyDescent="0.25">
      <c r="A29" s="3">
        <v>23</v>
      </c>
      <c r="B29" s="3">
        <v>507</v>
      </c>
      <c r="C29" s="44">
        <v>507</v>
      </c>
      <c r="E29" s="6" cm="1">
        <f t="array" ref="E29">IF(Graphs!$B$2=Table1[Column1],B29,IF(Graphs!$B$2=Table1[Column2],C29,0))</f>
        <v>507</v>
      </c>
    </row>
    <row r="30" spans="1:5" x14ac:dyDescent="0.25">
      <c r="A30" s="3">
        <v>24</v>
      </c>
      <c r="B30" s="3">
        <v>550</v>
      </c>
      <c r="C30" s="44">
        <v>550</v>
      </c>
      <c r="E30" s="6" cm="1">
        <f t="array" ref="E30">IF(Graphs!$B$2=Table1[Column1],B30,IF(Graphs!$B$2=Table1[Column2],C30,0))</f>
        <v>550</v>
      </c>
    </row>
    <row r="31" spans="1:5" x14ac:dyDescent="0.25">
      <c r="A31" s="3">
        <v>25</v>
      </c>
      <c r="B31" s="3">
        <v>599</v>
      </c>
      <c r="C31" s="44">
        <v>599</v>
      </c>
      <c r="E31" s="6" cm="1">
        <f t="array" ref="E31">IF(Graphs!$B$2=Table1[Column1],B31,IF(Graphs!$B$2=Table1[Column2],C31,0))</f>
        <v>599</v>
      </c>
    </row>
    <row r="32" spans="1:5" x14ac:dyDescent="0.25">
      <c r="A32" s="3">
        <v>26</v>
      </c>
      <c r="B32" s="3">
        <v>653</v>
      </c>
      <c r="C32" s="44">
        <v>653</v>
      </c>
      <c r="E32" s="6" cm="1">
        <f t="array" ref="E32">IF(Graphs!$B$2=Table1[Column1],B32,IF(Graphs!$B$2=Table1[Column2],C32,0))</f>
        <v>653</v>
      </c>
    </row>
    <row r="33" spans="1:5" x14ac:dyDescent="0.25">
      <c r="A33" s="3">
        <v>27</v>
      </c>
      <c r="B33" s="3">
        <v>714</v>
      </c>
      <c r="C33" s="44">
        <v>714</v>
      </c>
      <c r="E33" s="6" cm="1">
        <f t="array" ref="E33">IF(Graphs!$B$2=Table1[Column1],B33,IF(Graphs!$B$2=Table1[Column2],C33,0))</f>
        <v>714</v>
      </c>
    </row>
    <row r="34" spans="1:5" s="5" customFormat="1" x14ac:dyDescent="0.25">
      <c r="A34" s="2">
        <v>28</v>
      </c>
      <c r="B34" s="2">
        <v>775</v>
      </c>
      <c r="C34" s="43">
        <v>775</v>
      </c>
      <c r="E34" s="6" cm="1">
        <f t="array" ref="E34">IF(Graphs!$B$2=Table1[Column1],B34,IF(Graphs!$B$2=Table1[Column2],C34,0))</f>
        <v>775</v>
      </c>
    </row>
    <row r="35" spans="1:5" x14ac:dyDescent="0.25">
      <c r="A35" s="3">
        <v>29</v>
      </c>
      <c r="B35" s="3">
        <v>843</v>
      </c>
      <c r="C35" s="44">
        <v>843</v>
      </c>
      <c r="E35" s="6" cm="1">
        <f t="array" ref="E35">IF(Graphs!$B$2=Table1[Column1],B35,IF(Graphs!$B$2=Table1[Column2],C35,0))</f>
        <v>843</v>
      </c>
    </row>
    <row r="36" spans="1:5" x14ac:dyDescent="0.25">
      <c r="A36" s="3">
        <v>30</v>
      </c>
      <c r="B36" s="3">
        <v>907</v>
      </c>
      <c r="C36" s="44">
        <v>907</v>
      </c>
      <c r="E36" s="6" cm="1">
        <f t="array" ref="E36">IF(Graphs!$B$2=Table1[Column1],B36,IF(Graphs!$B$2=Table1[Column2],C36,0))</f>
        <v>907</v>
      </c>
    </row>
    <row r="37" spans="1:5" x14ac:dyDescent="0.25">
      <c r="A37" s="3">
        <v>31</v>
      </c>
      <c r="B37" s="3">
        <v>965</v>
      </c>
      <c r="C37" s="44">
        <v>965</v>
      </c>
      <c r="E37" s="6" cm="1">
        <f t="array" ref="E37">IF(Graphs!$B$2=Table1[Column1],B37,IF(Graphs!$B$2=Table1[Column2],C37,0))</f>
        <v>965</v>
      </c>
    </row>
    <row r="38" spans="1:5" x14ac:dyDescent="0.25">
      <c r="A38" s="3">
        <v>32</v>
      </c>
      <c r="B38" s="3">
        <v>1018</v>
      </c>
      <c r="C38" s="44">
        <v>1018</v>
      </c>
      <c r="E38" s="6" cm="1">
        <f t="array" ref="E38">IF(Graphs!$B$2=Table1[Column1],B38,IF(Graphs!$B$2=Table1[Column2],C38,0))</f>
        <v>1018</v>
      </c>
    </row>
    <row r="39" spans="1:5" x14ac:dyDescent="0.25">
      <c r="A39" s="3">
        <v>33</v>
      </c>
      <c r="B39" s="3">
        <v>1067</v>
      </c>
      <c r="C39" s="43">
        <v>1067</v>
      </c>
      <c r="E39" s="54" cm="1">
        <f t="array" ref="E39">IF(Graphs!$B$2=Table1[Column1],B39,IF(Graphs!$B$2=Table1[Column2],C39,0))</f>
        <v>1067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3517-2149-487F-A5AD-D109CA46A024}">
  <dimension ref="A1:E74"/>
  <sheetViews>
    <sheetView zoomScale="75" zoomScaleNormal="75" workbookViewId="0">
      <selection activeCell="H12" sqref="H12"/>
    </sheetView>
  </sheetViews>
  <sheetFormatPr defaultRowHeight="15" x14ac:dyDescent="0.25"/>
  <cols>
    <col min="1" max="1" width="8.85546875" style="3" bestFit="1" customWidth="1"/>
    <col min="2" max="2" width="9.7109375" style="3" bestFit="1" customWidth="1"/>
  </cols>
  <sheetData>
    <row r="1" spans="1:5" x14ac:dyDescent="0.25">
      <c r="A1" s="3" t="s">
        <v>0</v>
      </c>
      <c r="B1" s="3" t="s">
        <v>75</v>
      </c>
    </row>
    <row r="2" spans="1:5" x14ac:dyDescent="0.25">
      <c r="A2" s="3" t="s">
        <v>70</v>
      </c>
      <c r="B2" s="3" t="s">
        <v>154</v>
      </c>
    </row>
    <row r="3" spans="1:5" x14ac:dyDescent="0.25">
      <c r="A3" s="3" t="s">
        <v>8</v>
      </c>
      <c r="B3" s="3" t="s">
        <v>155</v>
      </c>
    </row>
    <row r="5" spans="1:5" x14ac:dyDescent="0.25">
      <c r="A5" s="3">
        <v>0.39</v>
      </c>
      <c r="B5" s="4">
        <v>6.686915285203475</v>
      </c>
      <c r="C5" s="55"/>
      <c r="D5" s="55"/>
      <c r="E5" s="55"/>
    </row>
    <row r="6" spans="1:5" x14ac:dyDescent="0.25">
      <c r="A6" s="3">
        <v>0.41</v>
      </c>
      <c r="B6" s="4">
        <v>6.6651476952632098</v>
      </c>
      <c r="C6" s="55"/>
      <c r="D6" s="55"/>
      <c r="E6" s="55"/>
    </row>
    <row r="7" spans="1:5" x14ac:dyDescent="0.25">
      <c r="A7" s="3">
        <v>0.43</v>
      </c>
      <c r="B7" s="4">
        <v>6.6424437302193189</v>
      </c>
      <c r="C7" s="55"/>
      <c r="D7" s="55"/>
      <c r="E7" s="55"/>
    </row>
    <row r="8" spans="1:5" x14ac:dyDescent="0.25">
      <c r="A8" s="3">
        <v>0.45</v>
      </c>
      <c r="B8" s="4">
        <v>6.6188239339855235</v>
      </c>
      <c r="C8" s="55"/>
      <c r="D8" s="55"/>
      <c r="E8" s="55"/>
    </row>
    <row r="9" spans="1:5" x14ac:dyDescent="0.25">
      <c r="A9" s="3">
        <v>0.47</v>
      </c>
      <c r="B9" s="4">
        <v>6.5943094508393685</v>
      </c>
      <c r="C9" s="55"/>
      <c r="D9" s="55"/>
      <c r="E9" s="55"/>
    </row>
    <row r="10" spans="1:5" x14ac:dyDescent="0.25">
      <c r="A10" s="3">
        <v>0.5</v>
      </c>
      <c r="B10" s="4">
        <v>6.5559077981431253</v>
      </c>
      <c r="C10" s="55"/>
      <c r="D10" s="55"/>
      <c r="E10" s="55"/>
    </row>
    <row r="11" spans="1:5" x14ac:dyDescent="0.25">
      <c r="A11" s="3">
        <v>0.52</v>
      </c>
      <c r="B11" s="4">
        <v>6.5292526411974832</v>
      </c>
      <c r="C11" s="55"/>
      <c r="D11" s="55"/>
      <c r="E11" s="55"/>
    </row>
    <row r="12" spans="1:5" x14ac:dyDescent="0.25">
      <c r="A12" s="3">
        <v>0.54</v>
      </c>
      <c r="B12" s="4">
        <v>6.5017808846108354</v>
      </c>
      <c r="C12" s="55"/>
      <c r="D12" s="55"/>
      <c r="E12" s="55"/>
    </row>
    <row r="13" spans="1:5" x14ac:dyDescent="0.25">
      <c r="A13" s="3">
        <v>0.56000000000000005</v>
      </c>
      <c r="B13" s="4">
        <v>6.4735158195218414</v>
      </c>
      <c r="C13" s="55"/>
      <c r="D13" s="55"/>
      <c r="E13" s="55"/>
    </row>
    <row r="14" spans="1:5" x14ac:dyDescent="0.25">
      <c r="A14" s="3">
        <v>0.57999999999999996</v>
      </c>
      <c r="B14" s="4">
        <v>6.4444810902804077</v>
      </c>
      <c r="C14" s="55"/>
      <c r="D14" s="55"/>
      <c r="E14" s="55"/>
    </row>
    <row r="15" spans="1:5" x14ac:dyDescent="0.25">
      <c r="A15" s="3">
        <v>0.6</v>
      </c>
      <c r="B15" s="4">
        <v>6.4147006498018122</v>
      </c>
      <c r="C15" s="55"/>
      <c r="D15" s="55"/>
      <c r="E15" s="55"/>
    </row>
    <row r="16" spans="1:5" x14ac:dyDescent="0.25">
      <c r="A16" s="3">
        <v>0.62</v>
      </c>
      <c r="B16" s="4">
        <v>6.3841987153685906</v>
      </c>
      <c r="C16" s="55"/>
      <c r="D16" s="55"/>
      <c r="E16" s="55"/>
    </row>
    <row r="17" spans="1:5" x14ac:dyDescent="0.25">
      <c r="A17" s="3">
        <v>0.64</v>
      </c>
      <c r="B17" s="4">
        <v>6.4212086514912716</v>
      </c>
      <c r="C17" s="55"/>
      <c r="D17" s="55"/>
      <c r="E17" s="55"/>
    </row>
    <row r="18" spans="1:5" x14ac:dyDescent="0.25">
      <c r="A18" s="3">
        <v>0.66</v>
      </c>
      <c r="B18" s="4">
        <v>6.3929857543498434</v>
      </c>
      <c r="C18" s="55"/>
      <c r="D18" s="55"/>
      <c r="E18" s="55"/>
    </row>
    <row r="19" spans="1:5" x14ac:dyDescent="0.25">
      <c r="A19" s="3">
        <v>0.68</v>
      </c>
      <c r="B19" s="4">
        <v>6.3641529512957193</v>
      </c>
      <c r="C19" s="55"/>
      <c r="D19" s="55"/>
      <c r="E19" s="55"/>
    </row>
    <row r="20" spans="1:5" x14ac:dyDescent="0.25">
      <c r="A20" s="3">
        <v>0.7</v>
      </c>
      <c r="B20" s="4">
        <v>6.3347300476775441</v>
      </c>
      <c r="C20" s="55"/>
      <c r="D20" s="55"/>
      <c r="E20" s="55"/>
    </row>
    <row r="21" spans="1:5" x14ac:dyDescent="0.25">
      <c r="A21" s="3">
        <v>0.73</v>
      </c>
      <c r="B21" s="4">
        <v>6.2895328487649378</v>
      </c>
      <c r="C21" s="55"/>
      <c r="D21" s="55"/>
      <c r="E21" s="55"/>
    </row>
    <row r="22" spans="1:5" x14ac:dyDescent="0.25">
      <c r="A22" s="3">
        <v>0.74</v>
      </c>
      <c r="B22" s="4">
        <v>6.2741936960013112</v>
      </c>
      <c r="C22" s="55"/>
      <c r="D22" s="55"/>
      <c r="E22" s="55"/>
    </row>
    <row r="23" spans="1:5" x14ac:dyDescent="0.25">
      <c r="A23" s="3">
        <v>0.76</v>
      </c>
      <c r="B23" s="4">
        <v>6.2431203080667235</v>
      </c>
      <c r="C23" s="55"/>
      <c r="D23" s="55"/>
      <c r="E23" s="55"/>
    </row>
    <row r="24" spans="1:5" x14ac:dyDescent="0.25">
      <c r="A24" s="3">
        <v>0.78</v>
      </c>
      <c r="B24" s="4">
        <v>6.2115368837416147</v>
      </c>
      <c r="C24" s="55"/>
      <c r="D24" s="55"/>
      <c r="E24" s="55"/>
    </row>
    <row r="25" spans="1:5" x14ac:dyDescent="0.25">
      <c r="A25" s="3">
        <v>0.79</v>
      </c>
      <c r="B25" s="4">
        <v>6.2593722890815942</v>
      </c>
      <c r="C25" s="55"/>
      <c r="D25" s="55"/>
      <c r="E25" s="55"/>
    </row>
    <row r="26" spans="1:5" x14ac:dyDescent="0.25">
      <c r="A26" s="3">
        <v>0.8</v>
      </c>
      <c r="B26" s="4">
        <v>6.2445770469577218</v>
      </c>
      <c r="C26" s="55"/>
      <c r="D26" s="55"/>
      <c r="E26" s="55"/>
    </row>
    <row r="27" spans="1:5" x14ac:dyDescent="0.25">
      <c r="A27" s="3">
        <v>0.85</v>
      </c>
      <c r="B27" s="4">
        <v>6.1689186455145038</v>
      </c>
      <c r="C27" s="55"/>
      <c r="D27" s="55"/>
      <c r="E27" s="55"/>
    </row>
    <row r="28" spans="1:5" x14ac:dyDescent="0.25">
      <c r="A28" s="3">
        <v>0.88</v>
      </c>
      <c r="B28" s="4">
        <v>6.1222549688387407</v>
      </c>
      <c r="C28" s="55"/>
      <c r="D28" s="55"/>
      <c r="E28" s="55"/>
    </row>
    <row r="29" spans="1:5" x14ac:dyDescent="0.25">
      <c r="A29" s="3">
        <v>0.9</v>
      </c>
      <c r="B29" s="4">
        <v>6.0906528357917518</v>
      </c>
      <c r="C29" s="55"/>
      <c r="D29" s="55"/>
      <c r="E29" s="55"/>
    </row>
    <row r="30" spans="1:5" x14ac:dyDescent="0.25">
      <c r="A30" s="3">
        <v>0.92</v>
      </c>
      <c r="B30" s="4">
        <v>6.0586761016560011</v>
      </c>
      <c r="C30" s="55"/>
      <c r="D30" s="55"/>
      <c r="E30" s="55"/>
    </row>
    <row r="31" spans="1:5" x14ac:dyDescent="0.25">
      <c r="A31" s="3">
        <v>0.95</v>
      </c>
      <c r="B31" s="4">
        <v>6.0100455160736628</v>
      </c>
      <c r="C31" s="55"/>
      <c r="D31" s="55"/>
      <c r="E31" s="55"/>
    </row>
    <row r="32" spans="1:5" x14ac:dyDescent="0.25">
      <c r="A32" s="3">
        <v>0.98</v>
      </c>
      <c r="B32" s="4">
        <v>5.9606665160432435</v>
      </c>
      <c r="C32" s="55"/>
      <c r="D32" s="55"/>
      <c r="E32" s="55"/>
    </row>
    <row r="33" spans="1:5" x14ac:dyDescent="0.25">
      <c r="A33" s="3">
        <v>1</v>
      </c>
      <c r="B33" s="4">
        <v>5.9273589894770797</v>
      </c>
      <c r="C33" s="55"/>
      <c r="D33" s="55"/>
      <c r="E33" s="55"/>
    </row>
    <row r="34" spans="1:5" x14ac:dyDescent="0.25">
      <c r="A34" s="3">
        <v>1.03</v>
      </c>
      <c r="B34" s="4">
        <v>5.876856273522673</v>
      </c>
      <c r="C34" s="55"/>
      <c r="D34" s="55"/>
      <c r="E34" s="55"/>
    </row>
    <row r="35" spans="1:5" x14ac:dyDescent="0.25">
      <c r="A35" s="3">
        <v>1.05</v>
      </c>
      <c r="B35" s="4">
        <v>5.8428503709650883</v>
      </c>
      <c r="C35" s="55"/>
      <c r="D35" s="55"/>
      <c r="E35" s="55"/>
    </row>
    <row r="36" spans="1:5" x14ac:dyDescent="0.25">
      <c r="A36" s="3">
        <v>1.08</v>
      </c>
      <c r="B36" s="4">
        <v>5.9900421717008578</v>
      </c>
      <c r="C36" s="55"/>
      <c r="D36" s="55"/>
      <c r="E36" s="55"/>
    </row>
    <row r="37" spans="1:5" x14ac:dyDescent="0.25">
      <c r="A37" s="3">
        <v>1.1000000000000001</v>
      </c>
      <c r="B37" s="4">
        <v>5.9606258830169283</v>
      </c>
      <c r="C37" s="55"/>
      <c r="D37" s="55"/>
      <c r="E37" s="55"/>
    </row>
    <row r="38" spans="1:5" x14ac:dyDescent="0.25">
      <c r="A38" s="3">
        <v>1.1299999999999999</v>
      </c>
      <c r="B38" s="4">
        <v>5.9160469938256934</v>
      </c>
      <c r="C38" s="55"/>
      <c r="D38" s="55"/>
      <c r="E38" s="55"/>
    </row>
    <row r="39" spans="1:5" x14ac:dyDescent="0.25">
      <c r="A39" s="3">
        <v>1.1499999999999999</v>
      </c>
      <c r="B39" s="4">
        <v>5.8860415931918402</v>
      </c>
      <c r="C39" s="55"/>
      <c r="D39" s="55"/>
      <c r="E39" s="55"/>
    </row>
    <row r="40" spans="1:5" x14ac:dyDescent="0.25">
      <c r="A40" s="3">
        <v>1.18</v>
      </c>
      <c r="B40" s="4">
        <v>5.8406327905747011</v>
      </c>
      <c r="C40" s="55"/>
      <c r="D40" s="55"/>
      <c r="E40" s="55"/>
    </row>
    <row r="41" spans="1:5" x14ac:dyDescent="0.25">
      <c r="A41" s="3">
        <v>1.2</v>
      </c>
      <c r="B41" s="4">
        <v>5.8101095372821252</v>
      </c>
      <c r="C41" s="55"/>
      <c r="D41" s="55"/>
      <c r="E41" s="55"/>
    </row>
    <row r="42" spans="1:5" x14ac:dyDescent="0.25">
      <c r="A42" s="3">
        <v>1.23</v>
      </c>
      <c r="B42" s="4">
        <v>5.8263189057354809</v>
      </c>
      <c r="C42" s="55"/>
      <c r="D42" s="55"/>
      <c r="E42" s="55"/>
    </row>
    <row r="43" spans="1:5" x14ac:dyDescent="0.25">
      <c r="A43" s="3">
        <v>1.25</v>
      </c>
      <c r="B43" s="4">
        <v>5.7967197240282875</v>
      </c>
      <c r="C43" s="55"/>
      <c r="D43" s="55"/>
      <c r="E43" s="55"/>
    </row>
    <row r="44" spans="1:5" x14ac:dyDescent="0.25">
      <c r="A44" s="3">
        <v>1.28</v>
      </c>
      <c r="B44" s="4">
        <v>5.7520035438980184</v>
      </c>
      <c r="C44" s="55"/>
      <c r="D44" s="55"/>
      <c r="E44" s="55"/>
    </row>
    <row r="45" spans="1:5" x14ac:dyDescent="0.25">
      <c r="A45" s="3">
        <v>1.3</v>
      </c>
      <c r="B45" s="4">
        <v>5.7219954899818388</v>
      </c>
      <c r="C45" s="55"/>
      <c r="D45" s="55"/>
      <c r="E45" s="55"/>
    </row>
    <row r="46" spans="1:5" x14ac:dyDescent="0.25">
      <c r="A46" s="3">
        <v>1.33</v>
      </c>
      <c r="B46" s="4">
        <v>5.6767116938917326</v>
      </c>
      <c r="C46" s="55"/>
      <c r="D46" s="55"/>
      <c r="E46" s="55"/>
    </row>
    <row r="47" spans="1:5" x14ac:dyDescent="0.25">
      <c r="A47" s="3">
        <v>1.35</v>
      </c>
      <c r="B47" s="4">
        <v>5.64635522179017</v>
      </c>
      <c r="C47" s="55"/>
      <c r="D47" s="55"/>
      <c r="E47" s="55"/>
    </row>
    <row r="48" spans="1:5" x14ac:dyDescent="0.25">
      <c r="A48" s="3">
        <v>1.43</v>
      </c>
      <c r="B48" s="4">
        <v>5.5237915578225047</v>
      </c>
      <c r="C48" s="55"/>
      <c r="D48" s="55"/>
      <c r="E48" s="55"/>
    </row>
    <row r="49" spans="1:5" x14ac:dyDescent="0.25">
      <c r="A49" s="3">
        <v>1.44</v>
      </c>
      <c r="B49" s="4">
        <v>5.5083616582621922</v>
      </c>
      <c r="C49" s="55"/>
      <c r="D49" s="55"/>
      <c r="E49" s="55"/>
    </row>
    <row r="50" spans="1:5" x14ac:dyDescent="0.25">
      <c r="A50" s="3">
        <v>1.45</v>
      </c>
      <c r="B50" s="4">
        <v>5.4929110944188251</v>
      </c>
      <c r="C50" s="55"/>
      <c r="D50" s="55"/>
      <c r="E50" s="55"/>
    </row>
    <row r="51" spans="1:5" x14ac:dyDescent="0.25">
      <c r="A51" s="3">
        <v>1.52</v>
      </c>
      <c r="B51" s="4">
        <v>5.3842672460747876</v>
      </c>
      <c r="C51" s="55"/>
      <c r="D51" s="55"/>
      <c r="E51" s="55"/>
    </row>
    <row r="52" spans="1:5" x14ac:dyDescent="0.25">
      <c r="A52" s="3">
        <v>1.53</v>
      </c>
      <c r="B52" s="4">
        <v>5.3686890855593221</v>
      </c>
      <c r="C52" s="55"/>
      <c r="D52" s="55"/>
      <c r="E52" s="55"/>
    </row>
    <row r="53" spans="1:5" x14ac:dyDescent="0.25">
      <c r="A53" s="3">
        <v>1.55</v>
      </c>
      <c r="B53" s="4">
        <v>5.3374995940446404</v>
      </c>
      <c r="C53" s="55"/>
      <c r="D53" s="55"/>
      <c r="E53" s="55"/>
    </row>
    <row r="54" spans="1:5" x14ac:dyDescent="0.25">
      <c r="A54" s="3">
        <v>1.58</v>
      </c>
      <c r="B54" s="4">
        <v>5.8371578558318289</v>
      </c>
      <c r="C54" s="55"/>
      <c r="D54" s="55"/>
      <c r="E54" s="55"/>
    </row>
    <row r="55" spans="1:5" x14ac:dyDescent="0.25">
      <c r="A55" s="3">
        <v>1.6</v>
      </c>
      <c r="B55" s="4">
        <v>5.8143194353318872</v>
      </c>
      <c r="C55" s="55"/>
      <c r="D55" s="55"/>
      <c r="E55" s="55"/>
    </row>
    <row r="56" spans="1:5" x14ac:dyDescent="0.25">
      <c r="A56" s="3">
        <v>1.65</v>
      </c>
      <c r="B56" s="4">
        <v>5.7567701721263669</v>
      </c>
      <c r="C56" s="55"/>
      <c r="D56" s="55"/>
      <c r="E56" s="55"/>
    </row>
    <row r="57" spans="1:5" x14ac:dyDescent="0.25">
      <c r="A57" s="3">
        <v>1.68</v>
      </c>
      <c r="B57" s="4">
        <v>5.7219526976434842</v>
      </c>
      <c r="C57" s="55"/>
      <c r="D57" s="55"/>
      <c r="E57" s="55"/>
    </row>
    <row r="58" spans="1:5" x14ac:dyDescent="0.25">
      <c r="A58" s="3">
        <v>1.7</v>
      </c>
      <c r="B58" s="4">
        <v>5.698630467430263</v>
      </c>
      <c r="C58" s="55"/>
      <c r="D58" s="55"/>
      <c r="E58" s="55"/>
    </row>
    <row r="59" spans="1:5" x14ac:dyDescent="0.25">
      <c r="A59" s="3">
        <v>1.75</v>
      </c>
      <c r="B59" s="4">
        <v>5.6399700678061322</v>
      </c>
      <c r="C59" s="55"/>
      <c r="D59" s="55"/>
      <c r="E59" s="55"/>
    </row>
    <row r="60" spans="1:5" x14ac:dyDescent="0.25">
      <c r="A60" s="3">
        <v>1.78</v>
      </c>
      <c r="B60" s="4">
        <v>5.6045522090662017</v>
      </c>
      <c r="C60" s="55"/>
      <c r="D60" s="55"/>
      <c r="E60" s="55"/>
    </row>
    <row r="61" spans="1:5" x14ac:dyDescent="0.25">
      <c r="A61" s="3">
        <v>1.8</v>
      </c>
      <c r="B61" s="4">
        <v>5.5808568416690871</v>
      </c>
      <c r="C61" s="55"/>
      <c r="D61" s="55"/>
      <c r="E61" s="55"/>
    </row>
    <row r="62" spans="1:5" x14ac:dyDescent="0.25">
      <c r="A62" s="3">
        <v>1.83</v>
      </c>
      <c r="B62" s="4">
        <v>5.7372425308731074</v>
      </c>
      <c r="C62" s="55"/>
      <c r="D62" s="55"/>
      <c r="E62" s="55"/>
    </row>
    <row r="63" spans="1:5" x14ac:dyDescent="0.25">
      <c r="A63" s="3">
        <v>1.85</v>
      </c>
      <c r="B63" s="4">
        <v>5.7160552325567373</v>
      </c>
      <c r="C63" s="55"/>
      <c r="D63" s="55"/>
      <c r="E63" s="55"/>
    </row>
    <row r="64" spans="1:5" x14ac:dyDescent="0.25">
      <c r="A64" s="3">
        <v>1.9</v>
      </c>
      <c r="B64" s="4">
        <v>5.6627799799063521</v>
      </c>
      <c r="C64" s="55"/>
      <c r="D64" s="55"/>
      <c r="E64" s="55"/>
    </row>
    <row r="65" spans="1:5" x14ac:dyDescent="0.25">
      <c r="A65" s="3">
        <v>1.96</v>
      </c>
      <c r="B65" s="4">
        <v>5.5983296929375452</v>
      </c>
      <c r="C65" s="55"/>
      <c r="D65" s="55"/>
      <c r="E65" s="55"/>
    </row>
    <row r="66" spans="1:5" x14ac:dyDescent="0.25">
      <c r="A66" s="3">
        <v>2</v>
      </c>
      <c r="B66" s="4">
        <v>5.5550879956275407</v>
      </c>
      <c r="C66" s="55"/>
      <c r="D66" s="55"/>
      <c r="E66" s="55"/>
    </row>
    <row r="67" spans="1:5" x14ac:dyDescent="0.25">
      <c r="A67" s="3">
        <v>2.0499999999999998</v>
      </c>
      <c r="B67" s="4">
        <v>5.500770760138308</v>
      </c>
      <c r="C67" s="55"/>
      <c r="D67" s="55"/>
      <c r="E67" s="55"/>
    </row>
    <row r="68" spans="1:5" x14ac:dyDescent="0.25">
      <c r="A68" s="3">
        <v>2.08</v>
      </c>
      <c r="B68" s="4">
        <v>5.46805733229289</v>
      </c>
      <c r="C68" s="55"/>
      <c r="D68" s="55"/>
      <c r="E68" s="55"/>
    </row>
    <row r="69" spans="1:5" x14ac:dyDescent="0.25">
      <c r="A69" s="3">
        <v>2.1</v>
      </c>
      <c r="B69" s="4">
        <v>5.4462033126940943</v>
      </c>
      <c r="C69" s="55"/>
      <c r="D69" s="55"/>
      <c r="E69" s="55"/>
    </row>
    <row r="70" spans="1:5" x14ac:dyDescent="0.25">
      <c r="A70" s="3">
        <v>2.1800000000000002</v>
      </c>
      <c r="B70" s="4">
        <v>5.4116037077554733</v>
      </c>
      <c r="C70" s="55"/>
      <c r="D70" s="55"/>
      <c r="E70" s="55"/>
    </row>
    <row r="71" spans="1:5" x14ac:dyDescent="0.25">
      <c r="A71" s="3">
        <v>2.2000000000000002</v>
      </c>
      <c r="B71" s="4">
        <v>5.3901585119837225</v>
      </c>
      <c r="C71" s="55"/>
      <c r="D71" s="55"/>
      <c r="E71" s="55"/>
    </row>
    <row r="72" spans="1:5" x14ac:dyDescent="0.25">
      <c r="A72" s="3">
        <v>2.29</v>
      </c>
      <c r="B72" s="4">
        <v>5.293392493718307</v>
      </c>
      <c r="C72" s="55"/>
      <c r="D72" s="55"/>
      <c r="E72" s="55"/>
    </row>
    <row r="73" spans="1:5" x14ac:dyDescent="0.25">
      <c r="A73" s="3">
        <v>2.35</v>
      </c>
      <c r="B73" s="4">
        <v>5.2287233105619642</v>
      </c>
      <c r="C73" s="55"/>
      <c r="D73" s="55"/>
      <c r="E73" s="55"/>
    </row>
    <row r="74" spans="1:5" x14ac:dyDescent="0.25">
      <c r="A74" s="3">
        <v>2.5</v>
      </c>
      <c r="B74" s="4">
        <v>5.0669619872467386</v>
      </c>
      <c r="C74" s="55"/>
      <c r="D74" s="55"/>
      <c r="E74" s="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A39E-36C5-4CBC-8FEE-4D6AEC49F9C3}">
  <dimension ref="A2:C44"/>
  <sheetViews>
    <sheetView topLeftCell="A20" workbookViewId="0">
      <selection activeCell="B50" sqref="B50"/>
    </sheetView>
  </sheetViews>
  <sheetFormatPr defaultRowHeight="15" x14ac:dyDescent="0.25"/>
  <cols>
    <col min="1" max="1" width="28.85546875" bestFit="1" customWidth="1"/>
    <col min="2" max="2" width="54.140625" style="48" customWidth="1"/>
    <col min="3" max="3" width="114" customWidth="1"/>
  </cols>
  <sheetData>
    <row r="2" spans="1:3" x14ac:dyDescent="0.25">
      <c r="A2" s="48" t="s">
        <v>157</v>
      </c>
      <c r="B2" s="48" t="s">
        <v>158</v>
      </c>
    </row>
    <row r="3" spans="1:3" x14ac:dyDescent="0.25">
      <c r="A3" s="48" t="s">
        <v>10</v>
      </c>
      <c r="B3" s="48" t="s">
        <v>159</v>
      </c>
    </row>
    <row r="4" spans="1:3" x14ac:dyDescent="0.25">
      <c r="A4" s="48" t="s">
        <v>11</v>
      </c>
      <c r="B4" s="48" t="s">
        <v>160</v>
      </c>
    </row>
    <row r="5" spans="1:3" x14ac:dyDescent="0.25">
      <c r="A5" s="48"/>
      <c r="B5" s="48" t="s">
        <v>161</v>
      </c>
    </row>
    <row r="8" spans="1:3" x14ac:dyDescent="0.25">
      <c r="A8" s="22" t="s">
        <v>84</v>
      </c>
      <c r="B8" s="49">
        <v>0.05</v>
      </c>
    </row>
    <row r="9" spans="1:3" x14ac:dyDescent="0.25">
      <c r="A9" s="23" t="s">
        <v>85</v>
      </c>
      <c r="B9" s="50">
        <f>B8/(1-B8)</f>
        <v>5.2631578947368425E-2</v>
      </c>
    </row>
    <row r="13" spans="1:3" x14ac:dyDescent="0.25">
      <c r="A13" t="s">
        <v>90</v>
      </c>
    </row>
    <row r="14" spans="1:3" x14ac:dyDescent="0.25">
      <c r="A14" s="51">
        <v>1</v>
      </c>
      <c r="B14" s="48" t="s">
        <v>92</v>
      </c>
      <c r="C14" s="53" t="s">
        <v>150</v>
      </c>
    </row>
    <row r="15" spans="1:3" x14ac:dyDescent="0.25">
      <c r="A15" s="51">
        <v>2</v>
      </c>
      <c r="B15" s="48" t="s">
        <v>91</v>
      </c>
      <c r="C15" s="53" t="s">
        <v>93</v>
      </c>
    </row>
    <row r="16" spans="1:3" ht="30" x14ac:dyDescent="0.25">
      <c r="A16" s="51">
        <v>3</v>
      </c>
      <c r="B16" s="48" t="s">
        <v>96</v>
      </c>
      <c r="C16" s="53" t="s">
        <v>94</v>
      </c>
    </row>
    <row r="17" spans="1:3" ht="30" x14ac:dyDescent="0.25">
      <c r="A17" s="51">
        <v>4</v>
      </c>
      <c r="B17" s="48" t="s">
        <v>95</v>
      </c>
      <c r="C17" s="53" t="s">
        <v>97</v>
      </c>
    </row>
    <row r="19" spans="1:3" x14ac:dyDescent="0.25">
      <c r="A19" t="s">
        <v>99</v>
      </c>
    </row>
    <row r="20" spans="1:3" x14ac:dyDescent="0.25">
      <c r="A20" s="3" t="s">
        <v>100</v>
      </c>
      <c r="B20" s="48" t="s">
        <v>102</v>
      </c>
      <c r="C20" t="s">
        <v>104</v>
      </c>
    </row>
    <row r="21" spans="1:3" x14ac:dyDescent="0.25">
      <c r="A21" s="3" t="s">
        <v>101</v>
      </c>
      <c r="B21" s="48" t="s">
        <v>103</v>
      </c>
      <c r="C21" t="s">
        <v>105</v>
      </c>
    </row>
    <row r="22" spans="1:3" x14ac:dyDescent="0.25">
      <c r="A22" s="3" t="s">
        <v>106</v>
      </c>
      <c r="B22" s="48" t="s">
        <v>107</v>
      </c>
      <c r="C22" t="s">
        <v>112</v>
      </c>
    </row>
    <row r="23" spans="1:3" x14ac:dyDescent="0.25">
      <c r="A23" s="3" t="s">
        <v>109</v>
      </c>
      <c r="B23" s="48" t="s">
        <v>110</v>
      </c>
    </row>
    <row r="24" spans="1:3" x14ac:dyDescent="0.25">
      <c r="A24" s="3" t="s">
        <v>139</v>
      </c>
      <c r="B24" s="48" t="s">
        <v>140</v>
      </c>
    </row>
    <row r="25" spans="1:3" x14ac:dyDescent="0.25">
      <c r="A25" s="3" t="s">
        <v>113</v>
      </c>
      <c r="B25" s="48" t="s">
        <v>114</v>
      </c>
    </row>
    <row r="26" spans="1:3" x14ac:dyDescent="0.25">
      <c r="A26" s="3" t="s">
        <v>115</v>
      </c>
      <c r="B26" s="48" t="s">
        <v>71</v>
      </c>
      <c r="C26" t="s">
        <v>116</v>
      </c>
    </row>
    <row r="27" spans="1:3" x14ac:dyDescent="0.25">
      <c r="A27" s="3" t="s">
        <v>120</v>
      </c>
      <c r="B27" s="48" t="s">
        <v>121</v>
      </c>
    </row>
    <row r="28" spans="1:3" x14ac:dyDescent="0.25">
      <c r="A28" s="3" t="s">
        <v>129</v>
      </c>
      <c r="B28" s="48" t="s">
        <v>130</v>
      </c>
    </row>
    <row r="29" spans="1:3" x14ac:dyDescent="0.25">
      <c r="A29" s="3" t="s">
        <v>136</v>
      </c>
      <c r="B29" s="48" t="s">
        <v>85</v>
      </c>
      <c r="C29" t="s">
        <v>137</v>
      </c>
    </row>
    <row r="30" spans="1:3" x14ac:dyDescent="0.25">
      <c r="A30" s="3" t="s">
        <v>146</v>
      </c>
      <c r="B30" s="48" t="s">
        <v>145</v>
      </c>
    </row>
    <row r="31" spans="1:3" x14ac:dyDescent="0.25">
      <c r="A31" s="3"/>
    </row>
    <row r="32" spans="1:3" x14ac:dyDescent="0.25">
      <c r="A32" t="s">
        <v>98</v>
      </c>
    </row>
    <row r="33" spans="1:3" x14ac:dyDescent="0.25">
      <c r="A33" s="3" t="s">
        <v>22</v>
      </c>
      <c r="B33" s="48" t="s">
        <v>108</v>
      </c>
      <c r="C33" t="s">
        <v>149</v>
      </c>
    </row>
    <row r="34" spans="1:3" x14ac:dyDescent="0.25">
      <c r="A34" s="3" t="s">
        <v>66</v>
      </c>
      <c r="B34" s="48" t="s">
        <v>111</v>
      </c>
    </row>
    <row r="35" spans="1:3" x14ac:dyDescent="0.25">
      <c r="A35" s="3" t="s">
        <v>68</v>
      </c>
      <c r="B35" s="48" t="s">
        <v>141</v>
      </c>
    </row>
    <row r="36" spans="1:3" x14ac:dyDescent="0.25">
      <c r="A36" s="3" t="s">
        <v>71</v>
      </c>
      <c r="B36" s="48" t="s">
        <v>118</v>
      </c>
      <c r="C36" t="s">
        <v>117</v>
      </c>
    </row>
    <row r="37" spans="1:3" x14ac:dyDescent="0.25">
      <c r="A37" s="3" t="s">
        <v>73</v>
      </c>
      <c r="B37" s="48" t="s">
        <v>142</v>
      </c>
      <c r="C37" t="s">
        <v>119</v>
      </c>
    </row>
    <row r="38" spans="1:3" x14ac:dyDescent="0.25">
      <c r="A38" s="3" t="s">
        <v>122</v>
      </c>
      <c r="B38" s="48" t="s">
        <v>128</v>
      </c>
      <c r="C38" t="s">
        <v>125</v>
      </c>
    </row>
    <row r="39" spans="1:3" ht="30" x14ac:dyDescent="0.25">
      <c r="A39" s="51" t="s">
        <v>123</v>
      </c>
      <c r="B39" s="48" t="s">
        <v>127</v>
      </c>
      <c r="C39" s="52" t="s">
        <v>126</v>
      </c>
    </row>
    <row r="40" spans="1:3" x14ac:dyDescent="0.25">
      <c r="A40" s="3" t="s">
        <v>124</v>
      </c>
      <c r="B40" s="48" t="s">
        <v>156</v>
      </c>
      <c r="C40" t="s">
        <v>151</v>
      </c>
    </row>
    <row r="41" spans="1:3" x14ac:dyDescent="0.25">
      <c r="A41" s="3" t="s">
        <v>130</v>
      </c>
      <c r="B41" s="48" t="s">
        <v>131</v>
      </c>
      <c r="C41" t="s">
        <v>132</v>
      </c>
    </row>
    <row r="42" spans="1:3" x14ac:dyDescent="0.25">
      <c r="A42" s="3" t="s">
        <v>133</v>
      </c>
      <c r="B42" s="48" t="s">
        <v>143</v>
      </c>
      <c r="C42" t="s">
        <v>134</v>
      </c>
    </row>
    <row r="43" spans="1:3" x14ac:dyDescent="0.25">
      <c r="A43" s="3" t="s">
        <v>135</v>
      </c>
      <c r="B43" s="48" t="s">
        <v>147</v>
      </c>
      <c r="C43" t="s">
        <v>138</v>
      </c>
    </row>
    <row r="44" spans="1:3" x14ac:dyDescent="0.25">
      <c r="A44" s="3" t="s">
        <v>144</v>
      </c>
      <c r="B44" s="48" t="s">
        <v>148</v>
      </c>
    </row>
  </sheetData>
  <hyperlinks>
    <hyperlink ref="C14" r:id="rId1" xr:uid="{EB4E5EA3-65CD-4D7E-B750-F5092401C028}"/>
    <hyperlink ref="C15" r:id="rId2" xr:uid="{5C7D1673-212B-4BF7-85A5-DBD917CCCC85}"/>
    <hyperlink ref="C16" r:id="rId3" xr:uid="{D85BB165-C122-4631-900A-796CB0ACD0A0}"/>
    <hyperlink ref="C17" r:id="rId4" xr:uid="{A4C732C1-AE32-4850-9B8F-8288513DB4CD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Graphs</vt:lpstr>
      <vt:lpstr>Test Set</vt:lpstr>
      <vt:lpstr>Gut</vt:lpstr>
      <vt:lpstr>Fluorocarbon</vt:lpstr>
      <vt:lpstr>Nylon</vt:lpstr>
      <vt:lpstr>String Lengths</vt:lpstr>
      <vt:lpstr>Gut E est</vt:lpstr>
      <vt:lpstr>Misc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Lynch-Aird</dc:creator>
  <cp:lastModifiedBy>Nicolas Lynch-Aird</cp:lastModifiedBy>
  <dcterms:created xsi:type="dcterms:W3CDTF">2023-12-23T08:25:49Z</dcterms:created>
  <dcterms:modified xsi:type="dcterms:W3CDTF">2024-06-16T07:16:57Z</dcterms:modified>
</cp:coreProperties>
</file>